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-105" yWindow="-105" windowWidth="23250" windowHeight="12570"/>
  </bookViews>
  <sheets>
    <sheet name="20200622_1718073_taebdc" sheetId="1" r:id="rId1"/>
  </sheet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2" i="1" l="1"/>
  <c r="D2" i="1"/>
  <c r="C3" i="1"/>
  <c r="D3" i="1"/>
  <c r="C4" i="1"/>
  <c r="D4" i="1"/>
  <c r="C5" i="1"/>
  <c r="D5" i="1"/>
  <c r="C6" i="1"/>
  <c r="D6" i="1"/>
  <c r="C7" i="1"/>
  <c r="D7" i="1"/>
  <c r="C8" i="1"/>
  <c r="D8" i="1"/>
  <c r="C9" i="1"/>
  <c r="D9" i="1"/>
  <c r="C10" i="1"/>
  <c r="D10" i="1"/>
  <c r="C11" i="1"/>
  <c r="D11" i="1"/>
  <c r="C12" i="1"/>
  <c r="D12" i="1"/>
  <c r="C13" i="1"/>
  <c r="D13" i="1"/>
  <c r="C14" i="1"/>
  <c r="D14" i="1"/>
  <c r="C15" i="1"/>
  <c r="D15" i="1"/>
  <c r="C16" i="1"/>
  <c r="D16" i="1"/>
  <c r="C17" i="1"/>
  <c r="D17" i="1"/>
  <c r="C18" i="1"/>
  <c r="D18" i="1"/>
  <c r="C19" i="1"/>
  <c r="D19" i="1"/>
  <c r="C20" i="1"/>
  <c r="D20" i="1"/>
  <c r="C21" i="1"/>
  <c r="D21" i="1"/>
  <c r="C22" i="1"/>
  <c r="D22" i="1"/>
  <c r="C23" i="1"/>
  <c r="D23" i="1"/>
  <c r="C24" i="1"/>
  <c r="D24" i="1"/>
  <c r="C25" i="1"/>
  <c r="D25" i="1"/>
  <c r="C26" i="1"/>
  <c r="D26" i="1"/>
  <c r="C27" i="1"/>
  <c r="D27" i="1"/>
  <c r="C28" i="1"/>
  <c r="D28" i="1"/>
  <c r="C29" i="1"/>
  <c r="D29" i="1"/>
  <c r="C30" i="1"/>
  <c r="D30" i="1"/>
  <c r="C31" i="1"/>
  <c r="D31" i="1"/>
  <c r="C32" i="1"/>
  <c r="D32" i="1"/>
  <c r="C33" i="1"/>
  <c r="D33" i="1"/>
  <c r="C34" i="1"/>
  <c r="D34" i="1"/>
  <c r="C35" i="1"/>
  <c r="D35" i="1"/>
  <c r="C36" i="1"/>
  <c r="D36" i="1"/>
  <c r="C37" i="1"/>
  <c r="D37" i="1"/>
  <c r="C38" i="1"/>
  <c r="D38" i="1"/>
  <c r="C39" i="1"/>
  <c r="D39" i="1"/>
  <c r="C40" i="1"/>
  <c r="D40" i="1"/>
  <c r="C41" i="1"/>
  <c r="D41" i="1"/>
  <c r="C42" i="1"/>
  <c r="D42" i="1"/>
  <c r="C43" i="1"/>
  <c r="D43" i="1"/>
  <c r="C44" i="1"/>
  <c r="D44" i="1"/>
  <c r="C45" i="1"/>
  <c r="D45" i="1"/>
  <c r="C46" i="1"/>
  <c r="D46" i="1"/>
  <c r="C47" i="1"/>
  <c r="D47" i="1"/>
  <c r="C48" i="1"/>
  <c r="D48" i="1"/>
  <c r="C49" i="1"/>
  <c r="D49" i="1"/>
  <c r="C50" i="1"/>
  <c r="D50" i="1"/>
  <c r="C51" i="1"/>
  <c r="D51" i="1"/>
  <c r="C52" i="1"/>
  <c r="D52" i="1"/>
  <c r="C53" i="1"/>
  <c r="D53" i="1"/>
  <c r="C54" i="1"/>
  <c r="D54" i="1"/>
  <c r="C55" i="1"/>
  <c r="D55" i="1"/>
  <c r="C56" i="1"/>
  <c r="D56" i="1"/>
  <c r="C57" i="1"/>
  <c r="D57" i="1"/>
  <c r="C58" i="1"/>
  <c r="D58" i="1"/>
  <c r="C59" i="1"/>
  <c r="D59" i="1"/>
  <c r="C60" i="1"/>
  <c r="D60" i="1"/>
  <c r="C61" i="1"/>
  <c r="D61" i="1"/>
  <c r="C62" i="1"/>
  <c r="D62" i="1"/>
  <c r="C63" i="1"/>
  <c r="D63" i="1"/>
  <c r="C64" i="1"/>
  <c r="D64" i="1"/>
  <c r="C65" i="1"/>
  <c r="D65" i="1"/>
  <c r="C66" i="1"/>
  <c r="D66" i="1"/>
  <c r="C67" i="1"/>
  <c r="D67" i="1"/>
  <c r="C68" i="1"/>
  <c r="D68" i="1"/>
  <c r="C69" i="1"/>
  <c r="D69" i="1"/>
  <c r="C70" i="1"/>
  <c r="D70" i="1"/>
  <c r="C71" i="1"/>
  <c r="D71" i="1"/>
  <c r="C72" i="1"/>
  <c r="D72" i="1"/>
  <c r="C73" i="1"/>
  <c r="D73" i="1"/>
  <c r="C74" i="1"/>
  <c r="D74" i="1"/>
  <c r="C75" i="1"/>
  <c r="D75" i="1"/>
  <c r="C76" i="1"/>
  <c r="D76" i="1"/>
  <c r="C77" i="1"/>
  <c r="D77" i="1"/>
  <c r="C78" i="1"/>
  <c r="D78" i="1"/>
  <c r="C79" i="1"/>
  <c r="D79" i="1"/>
  <c r="C80" i="1"/>
  <c r="D80" i="1"/>
  <c r="C81" i="1"/>
  <c r="D81" i="1"/>
  <c r="C82" i="1"/>
  <c r="D82" i="1"/>
  <c r="C83" i="1"/>
  <c r="D83" i="1"/>
  <c r="C84" i="1"/>
  <c r="D84" i="1"/>
  <c r="C85" i="1"/>
  <c r="D85" i="1"/>
  <c r="C86" i="1"/>
  <c r="D86" i="1"/>
  <c r="C87" i="1"/>
  <c r="D87" i="1"/>
  <c r="C88" i="1"/>
  <c r="D88" i="1"/>
  <c r="C89" i="1"/>
  <c r="D89" i="1"/>
  <c r="C90" i="1"/>
  <c r="D90" i="1"/>
  <c r="C91" i="1"/>
  <c r="D91" i="1"/>
  <c r="C92" i="1"/>
  <c r="D92" i="1"/>
  <c r="C93" i="1"/>
  <c r="D93" i="1"/>
  <c r="C94" i="1"/>
  <c r="D94" i="1"/>
  <c r="C95" i="1"/>
  <c r="D95" i="1"/>
  <c r="C96" i="1"/>
  <c r="D96" i="1"/>
  <c r="C97" i="1"/>
  <c r="D97" i="1"/>
  <c r="C98" i="1"/>
  <c r="D98" i="1"/>
  <c r="C99" i="1"/>
  <c r="D99" i="1"/>
  <c r="C100" i="1"/>
  <c r="D100" i="1"/>
  <c r="C101" i="1"/>
  <c r="D101" i="1"/>
  <c r="C102" i="1"/>
  <c r="D102" i="1"/>
  <c r="C103" i="1"/>
  <c r="D103" i="1"/>
  <c r="C104" i="1"/>
  <c r="D104" i="1"/>
  <c r="C105" i="1"/>
  <c r="D105" i="1"/>
  <c r="C106" i="1"/>
  <c r="D106" i="1"/>
  <c r="C107" i="1"/>
  <c r="D107" i="1"/>
  <c r="C108" i="1"/>
  <c r="D108" i="1"/>
  <c r="C109" i="1"/>
  <c r="D109" i="1"/>
  <c r="C110" i="1"/>
  <c r="D110" i="1"/>
  <c r="C111" i="1"/>
  <c r="D111" i="1"/>
  <c r="C112" i="1"/>
  <c r="D112" i="1"/>
  <c r="C113" i="1"/>
  <c r="D113" i="1"/>
  <c r="C114" i="1"/>
  <c r="D114" i="1"/>
  <c r="C115" i="1"/>
  <c r="D115" i="1"/>
  <c r="C116" i="1"/>
  <c r="D116" i="1"/>
  <c r="C117" i="1"/>
  <c r="D117" i="1"/>
  <c r="C118" i="1"/>
  <c r="D118" i="1"/>
  <c r="C119" i="1"/>
  <c r="D119" i="1"/>
  <c r="C120" i="1"/>
  <c r="D120" i="1"/>
  <c r="C121" i="1"/>
  <c r="D121" i="1"/>
  <c r="C122" i="1"/>
  <c r="D122" i="1"/>
  <c r="C123" i="1"/>
  <c r="D123" i="1"/>
  <c r="C124" i="1"/>
  <c r="D124" i="1"/>
  <c r="C125" i="1"/>
  <c r="D125" i="1"/>
  <c r="C126" i="1"/>
  <c r="D126" i="1"/>
  <c r="C127" i="1"/>
  <c r="D127" i="1"/>
  <c r="C128" i="1"/>
  <c r="D128" i="1"/>
  <c r="C129" i="1"/>
  <c r="D129" i="1"/>
  <c r="C130" i="1"/>
  <c r="D130" i="1"/>
  <c r="C131" i="1"/>
  <c r="D131" i="1"/>
  <c r="C132" i="1"/>
  <c r="D132" i="1"/>
  <c r="C133" i="1"/>
  <c r="D133" i="1"/>
  <c r="C134" i="1"/>
  <c r="D134" i="1"/>
  <c r="C135" i="1"/>
  <c r="D135" i="1"/>
  <c r="C136" i="1"/>
  <c r="D136" i="1"/>
  <c r="C137" i="1"/>
  <c r="D137" i="1"/>
  <c r="C138" i="1"/>
  <c r="D138" i="1"/>
  <c r="C139" i="1"/>
  <c r="D139" i="1"/>
  <c r="C140" i="1"/>
  <c r="D140" i="1"/>
  <c r="C141" i="1"/>
  <c r="D141" i="1"/>
  <c r="C142" i="1"/>
  <c r="D142" i="1"/>
  <c r="C143" i="1"/>
  <c r="D143" i="1"/>
  <c r="C144" i="1"/>
  <c r="D144" i="1"/>
  <c r="C145" i="1"/>
  <c r="D145" i="1"/>
  <c r="C146" i="1"/>
  <c r="D146" i="1"/>
  <c r="C147" i="1"/>
  <c r="D147" i="1"/>
  <c r="C148" i="1"/>
  <c r="D148" i="1"/>
  <c r="C149" i="1"/>
  <c r="D149" i="1"/>
  <c r="C150" i="1"/>
  <c r="D150" i="1"/>
  <c r="C151" i="1"/>
  <c r="D151" i="1"/>
  <c r="C152" i="1"/>
  <c r="D152" i="1"/>
  <c r="C153" i="1"/>
  <c r="D153" i="1"/>
  <c r="C154" i="1"/>
  <c r="D154" i="1"/>
  <c r="C155" i="1"/>
  <c r="D155" i="1"/>
  <c r="C156" i="1"/>
  <c r="D156" i="1"/>
  <c r="C157" i="1"/>
  <c r="D157" i="1"/>
  <c r="C158" i="1"/>
  <c r="D158" i="1"/>
  <c r="C159" i="1"/>
  <c r="D159" i="1"/>
  <c r="C160" i="1"/>
  <c r="D160" i="1"/>
  <c r="C161" i="1"/>
  <c r="D161" i="1"/>
  <c r="C162" i="1"/>
  <c r="D162" i="1"/>
  <c r="C163" i="1"/>
  <c r="D163" i="1"/>
  <c r="C164" i="1"/>
  <c r="D164" i="1"/>
  <c r="C165" i="1"/>
  <c r="D165" i="1"/>
  <c r="C166" i="1"/>
  <c r="D166" i="1"/>
  <c r="C167" i="1"/>
  <c r="D167" i="1"/>
  <c r="C168" i="1"/>
  <c r="D168" i="1"/>
  <c r="C169" i="1"/>
  <c r="D169" i="1"/>
  <c r="C170" i="1"/>
  <c r="D170" i="1"/>
  <c r="C171" i="1"/>
  <c r="D171" i="1"/>
  <c r="C172" i="1"/>
  <c r="D172" i="1"/>
  <c r="C173" i="1"/>
  <c r="D173" i="1"/>
  <c r="C174" i="1"/>
  <c r="D174" i="1"/>
  <c r="C175" i="1"/>
  <c r="D175" i="1"/>
  <c r="C176" i="1"/>
  <c r="D176" i="1"/>
  <c r="C177" i="1"/>
  <c r="D177" i="1"/>
  <c r="C178" i="1"/>
  <c r="D178" i="1"/>
  <c r="C179" i="1"/>
  <c r="D179" i="1"/>
  <c r="C180" i="1"/>
  <c r="D180" i="1"/>
  <c r="C181" i="1"/>
  <c r="D181" i="1"/>
  <c r="C182" i="1"/>
  <c r="D182" i="1"/>
  <c r="C183" i="1"/>
  <c r="D183" i="1"/>
  <c r="C184" i="1"/>
  <c r="D184" i="1"/>
  <c r="C185" i="1"/>
  <c r="D185" i="1"/>
  <c r="C186" i="1"/>
  <c r="D186" i="1"/>
  <c r="C187" i="1"/>
  <c r="D187" i="1"/>
  <c r="C188" i="1"/>
  <c r="D188" i="1"/>
  <c r="C189" i="1"/>
  <c r="D189" i="1"/>
  <c r="C190" i="1"/>
  <c r="D190" i="1"/>
  <c r="C191" i="1"/>
  <c r="D191" i="1"/>
  <c r="C192" i="1"/>
  <c r="D192" i="1"/>
  <c r="C193" i="1"/>
  <c r="D193" i="1"/>
  <c r="C194" i="1"/>
  <c r="D194" i="1"/>
  <c r="C195" i="1"/>
  <c r="D195" i="1"/>
  <c r="C196" i="1"/>
  <c r="D196" i="1"/>
  <c r="C197" i="1"/>
  <c r="D197" i="1"/>
  <c r="C198" i="1"/>
  <c r="D198" i="1"/>
  <c r="C199" i="1"/>
  <c r="D199" i="1"/>
  <c r="C200" i="1"/>
  <c r="D200" i="1"/>
  <c r="C201" i="1"/>
  <c r="D201" i="1"/>
  <c r="C202" i="1"/>
  <c r="D202" i="1"/>
  <c r="C203" i="1"/>
  <c r="D203" i="1"/>
  <c r="C204" i="1"/>
  <c r="D204" i="1"/>
  <c r="C205" i="1"/>
  <c r="D205" i="1"/>
  <c r="C206" i="1"/>
  <c r="D206" i="1"/>
  <c r="C207" i="1"/>
  <c r="D207" i="1"/>
  <c r="C208" i="1"/>
  <c r="D208" i="1"/>
  <c r="C209" i="1"/>
  <c r="D209" i="1"/>
  <c r="C210" i="1"/>
  <c r="D210" i="1"/>
  <c r="C211" i="1"/>
  <c r="D211" i="1"/>
  <c r="C212" i="1"/>
  <c r="D212" i="1"/>
  <c r="C213" i="1"/>
  <c r="D213" i="1"/>
  <c r="C214" i="1"/>
  <c r="D214" i="1"/>
  <c r="C215" i="1"/>
  <c r="D215" i="1"/>
  <c r="C216" i="1"/>
  <c r="D216" i="1"/>
  <c r="C217" i="1"/>
  <c r="D217" i="1"/>
  <c r="C218" i="1"/>
  <c r="D218" i="1"/>
  <c r="C219" i="1"/>
  <c r="D219" i="1"/>
  <c r="C220" i="1"/>
  <c r="D220" i="1"/>
  <c r="C221" i="1"/>
  <c r="D221" i="1"/>
  <c r="C222" i="1"/>
  <c r="D222" i="1"/>
  <c r="C223" i="1"/>
  <c r="D223" i="1"/>
  <c r="C224" i="1"/>
  <c r="D224" i="1"/>
  <c r="C225" i="1"/>
  <c r="D225" i="1"/>
  <c r="C226" i="1"/>
  <c r="D226" i="1"/>
  <c r="C227" i="1"/>
  <c r="D227" i="1"/>
  <c r="C228" i="1"/>
  <c r="D228" i="1"/>
  <c r="C229" i="1"/>
  <c r="D229" i="1"/>
  <c r="C230" i="1"/>
  <c r="D230" i="1"/>
  <c r="C231" i="1"/>
  <c r="D231" i="1"/>
  <c r="C232" i="1"/>
  <c r="D232" i="1"/>
  <c r="C233" i="1"/>
  <c r="D233" i="1"/>
  <c r="C234" i="1"/>
  <c r="D234" i="1"/>
  <c r="C235" i="1"/>
  <c r="D235" i="1"/>
  <c r="C236" i="1"/>
  <c r="D236" i="1"/>
  <c r="C237" i="1"/>
  <c r="D237" i="1"/>
  <c r="C238" i="1"/>
  <c r="D238" i="1"/>
  <c r="C239" i="1"/>
  <c r="D239" i="1"/>
  <c r="C240" i="1"/>
  <c r="D240" i="1"/>
  <c r="C241" i="1"/>
  <c r="D241" i="1"/>
  <c r="C242" i="1"/>
  <c r="D242" i="1"/>
  <c r="C243" i="1"/>
  <c r="D243" i="1"/>
  <c r="C244" i="1"/>
  <c r="D244" i="1"/>
  <c r="C245" i="1"/>
  <c r="D245" i="1"/>
  <c r="C246" i="1"/>
  <c r="D246" i="1"/>
  <c r="C247" i="1"/>
  <c r="D247" i="1"/>
  <c r="C248" i="1"/>
  <c r="D248" i="1"/>
  <c r="C249" i="1"/>
  <c r="D249" i="1"/>
  <c r="C250" i="1"/>
  <c r="D250" i="1"/>
  <c r="C251" i="1"/>
  <c r="D251" i="1"/>
  <c r="C252" i="1"/>
  <c r="D252" i="1"/>
  <c r="C253" i="1"/>
  <c r="D253" i="1"/>
  <c r="C254" i="1"/>
  <c r="D254" i="1"/>
  <c r="C255" i="1"/>
  <c r="D255" i="1"/>
  <c r="C256" i="1"/>
  <c r="D256" i="1"/>
  <c r="C257" i="1"/>
  <c r="D257" i="1"/>
  <c r="C258" i="1"/>
  <c r="D258" i="1"/>
  <c r="C259" i="1"/>
  <c r="D259" i="1"/>
  <c r="C260" i="1"/>
  <c r="D260" i="1"/>
  <c r="C261" i="1"/>
  <c r="D261" i="1"/>
  <c r="C262" i="1"/>
  <c r="D262" i="1"/>
  <c r="C263" i="1"/>
  <c r="D263" i="1"/>
  <c r="C264" i="1"/>
  <c r="D264" i="1"/>
  <c r="C265" i="1"/>
  <c r="D265" i="1"/>
  <c r="C266" i="1"/>
  <c r="D266" i="1"/>
  <c r="C267" i="1"/>
  <c r="D267" i="1"/>
  <c r="C268" i="1"/>
  <c r="D268" i="1"/>
  <c r="C269" i="1"/>
  <c r="D269" i="1"/>
  <c r="C270" i="1"/>
  <c r="D270" i="1"/>
  <c r="C271" i="1"/>
  <c r="D271" i="1"/>
  <c r="C272" i="1"/>
  <c r="D272" i="1"/>
  <c r="C273" i="1"/>
  <c r="D273" i="1"/>
  <c r="C274" i="1"/>
  <c r="D274" i="1"/>
  <c r="C275" i="1"/>
  <c r="D275" i="1"/>
  <c r="C276" i="1"/>
  <c r="D276" i="1"/>
  <c r="C277" i="1"/>
  <c r="D277" i="1"/>
  <c r="C278" i="1"/>
  <c r="D278" i="1"/>
  <c r="C279" i="1"/>
  <c r="D279" i="1"/>
  <c r="C280" i="1"/>
  <c r="D280" i="1"/>
  <c r="C281" i="1"/>
  <c r="D281" i="1"/>
  <c r="C282" i="1"/>
  <c r="D282" i="1"/>
  <c r="C283" i="1"/>
  <c r="D283" i="1"/>
  <c r="C284" i="1"/>
  <c r="D284" i="1"/>
  <c r="C285" i="1"/>
  <c r="D285" i="1"/>
  <c r="C286" i="1"/>
  <c r="D286" i="1"/>
  <c r="C287" i="1"/>
  <c r="D287" i="1"/>
  <c r="C288" i="1"/>
  <c r="D288" i="1"/>
  <c r="C289" i="1"/>
  <c r="D289" i="1"/>
  <c r="C290" i="1"/>
  <c r="D290" i="1"/>
  <c r="C291" i="1"/>
  <c r="D291" i="1"/>
  <c r="C292" i="1"/>
  <c r="D292" i="1"/>
  <c r="C293" i="1"/>
  <c r="D293" i="1"/>
  <c r="C294" i="1"/>
  <c r="D294" i="1"/>
  <c r="C295" i="1"/>
  <c r="D295" i="1"/>
  <c r="C296" i="1"/>
  <c r="D296" i="1"/>
  <c r="C297" i="1"/>
  <c r="D297" i="1"/>
  <c r="C298" i="1"/>
  <c r="D298" i="1"/>
  <c r="C299" i="1"/>
  <c r="D299" i="1"/>
  <c r="C300" i="1"/>
  <c r="D300" i="1"/>
  <c r="C301" i="1"/>
  <c r="D301" i="1"/>
  <c r="C302" i="1"/>
  <c r="D302" i="1"/>
  <c r="C303" i="1"/>
  <c r="D303" i="1"/>
  <c r="C304" i="1"/>
  <c r="D304" i="1"/>
  <c r="C305" i="1"/>
  <c r="D305" i="1"/>
  <c r="C306" i="1"/>
  <c r="D306" i="1"/>
  <c r="C307" i="1"/>
  <c r="D307" i="1"/>
  <c r="C308" i="1"/>
  <c r="D308" i="1"/>
  <c r="C309" i="1"/>
  <c r="D309" i="1"/>
  <c r="C310" i="1"/>
  <c r="D310" i="1"/>
  <c r="C311" i="1"/>
  <c r="D311" i="1"/>
  <c r="C312" i="1"/>
  <c r="D312" i="1"/>
  <c r="C313" i="1"/>
  <c r="D313" i="1"/>
  <c r="C314" i="1"/>
  <c r="D314" i="1"/>
  <c r="C315" i="1"/>
  <c r="D315" i="1"/>
  <c r="C316" i="1"/>
  <c r="D316" i="1"/>
  <c r="C317" i="1"/>
  <c r="D317" i="1"/>
  <c r="C318" i="1"/>
  <c r="D318" i="1"/>
  <c r="C319" i="1"/>
  <c r="D319" i="1"/>
  <c r="C320" i="1"/>
  <c r="D320" i="1"/>
  <c r="C321" i="1"/>
  <c r="D321" i="1"/>
  <c r="C322" i="1"/>
  <c r="D322" i="1"/>
  <c r="C323" i="1"/>
  <c r="D323" i="1"/>
  <c r="C324" i="1"/>
  <c r="D324" i="1"/>
  <c r="C325" i="1"/>
  <c r="D325" i="1"/>
  <c r="C326" i="1"/>
  <c r="D326" i="1"/>
  <c r="C327" i="1"/>
  <c r="D327" i="1"/>
  <c r="C328" i="1"/>
  <c r="D328" i="1"/>
  <c r="C329" i="1"/>
  <c r="D329" i="1"/>
  <c r="C330" i="1"/>
  <c r="D330" i="1"/>
  <c r="C331" i="1"/>
  <c r="D331" i="1"/>
  <c r="C332" i="1"/>
  <c r="D332" i="1"/>
  <c r="C333" i="1"/>
  <c r="D333" i="1"/>
  <c r="C334" i="1"/>
  <c r="D334" i="1"/>
  <c r="C335" i="1"/>
  <c r="D335" i="1"/>
  <c r="C336" i="1"/>
  <c r="D336" i="1"/>
  <c r="C337" i="1"/>
  <c r="D337" i="1"/>
  <c r="C338" i="1"/>
  <c r="D338" i="1"/>
  <c r="C339" i="1"/>
  <c r="D339" i="1"/>
  <c r="C340" i="1"/>
  <c r="D340" i="1"/>
  <c r="C341" i="1"/>
  <c r="D341" i="1"/>
  <c r="C342" i="1"/>
  <c r="D342" i="1"/>
  <c r="C343" i="1"/>
  <c r="D343" i="1"/>
  <c r="C344" i="1"/>
  <c r="D344" i="1"/>
  <c r="C345" i="1"/>
  <c r="D345" i="1"/>
  <c r="C346" i="1"/>
  <c r="D346" i="1"/>
  <c r="C347" i="1"/>
  <c r="D347" i="1"/>
  <c r="C348" i="1"/>
  <c r="D348" i="1"/>
  <c r="C349" i="1"/>
  <c r="D349" i="1"/>
  <c r="C350" i="1"/>
  <c r="D350" i="1"/>
  <c r="C351" i="1"/>
  <c r="D351" i="1"/>
  <c r="C352" i="1"/>
  <c r="D352" i="1"/>
  <c r="C353" i="1"/>
  <c r="D353" i="1"/>
  <c r="C354" i="1"/>
  <c r="D354" i="1"/>
  <c r="C355" i="1"/>
  <c r="D355" i="1"/>
  <c r="C356" i="1"/>
  <c r="D356" i="1"/>
  <c r="C357" i="1"/>
  <c r="D357" i="1"/>
  <c r="C358" i="1"/>
  <c r="D358" i="1"/>
  <c r="C359" i="1"/>
  <c r="D359" i="1"/>
  <c r="C360" i="1"/>
  <c r="D360" i="1"/>
  <c r="C361" i="1"/>
  <c r="D361" i="1"/>
  <c r="C362" i="1"/>
  <c r="D362" i="1"/>
  <c r="C363" i="1"/>
  <c r="D363" i="1"/>
  <c r="C364" i="1"/>
  <c r="D364" i="1"/>
  <c r="C365" i="1"/>
  <c r="D365" i="1"/>
  <c r="C366" i="1"/>
  <c r="D366" i="1"/>
  <c r="C367" i="1"/>
  <c r="D367" i="1"/>
  <c r="C368" i="1"/>
  <c r="D368" i="1"/>
  <c r="C369" i="1"/>
  <c r="D369" i="1"/>
  <c r="C370" i="1"/>
  <c r="D370" i="1"/>
  <c r="C371" i="1"/>
  <c r="D371" i="1"/>
  <c r="C372" i="1"/>
  <c r="D372" i="1"/>
  <c r="C373" i="1"/>
  <c r="D373" i="1"/>
  <c r="C374" i="1"/>
  <c r="D374" i="1"/>
  <c r="C375" i="1"/>
  <c r="D375" i="1"/>
  <c r="C376" i="1"/>
  <c r="D376" i="1"/>
  <c r="C377" i="1"/>
  <c r="D377" i="1"/>
  <c r="C378" i="1"/>
  <c r="D378" i="1"/>
  <c r="C379" i="1"/>
  <c r="D379" i="1"/>
  <c r="C380" i="1"/>
  <c r="D380" i="1"/>
  <c r="C381" i="1"/>
  <c r="D381" i="1"/>
  <c r="C382" i="1"/>
  <c r="D382" i="1"/>
  <c r="C383" i="1"/>
  <c r="D383" i="1"/>
  <c r="C384" i="1"/>
  <c r="D384" i="1"/>
  <c r="C385" i="1"/>
  <c r="D385" i="1"/>
  <c r="C386" i="1"/>
  <c r="D386" i="1"/>
  <c r="C387" i="1"/>
  <c r="D387" i="1"/>
  <c r="C388" i="1"/>
  <c r="D388" i="1"/>
  <c r="C389" i="1"/>
  <c r="D389" i="1"/>
  <c r="C390" i="1"/>
  <c r="D390" i="1"/>
  <c r="C391" i="1"/>
  <c r="D391" i="1"/>
  <c r="C392" i="1"/>
  <c r="D392" i="1"/>
  <c r="C393" i="1"/>
  <c r="D393" i="1"/>
  <c r="C394" i="1"/>
  <c r="D394" i="1"/>
  <c r="C395" i="1"/>
  <c r="D395" i="1"/>
  <c r="C396" i="1"/>
  <c r="D396" i="1"/>
  <c r="C397" i="1"/>
  <c r="D397" i="1"/>
  <c r="C398" i="1"/>
  <c r="D398" i="1"/>
  <c r="C399" i="1"/>
  <c r="D399" i="1"/>
  <c r="C400" i="1"/>
  <c r="D400" i="1"/>
  <c r="C401" i="1"/>
  <c r="D401" i="1"/>
  <c r="C402" i="1"/>
  <c r="D402" i="1"/>
  <c r="C403" i="1"/>
  <c r="D403" i="1"/>
  <c r="C404" i="1"/>
  <c r="D404" i="1"/>
  <c r="C405" i="1"/>
  <c r="D405" i="1"/>
  <c r="C406" i="1"/>
  <c r="D406" i="1"/>
  <c r="C407" i="1"/>
  <c r="D407" i="1"/>
  <c r="C408" i="1"/>
  <c r="D408" i="1"/>
  <c r="C409" i="1"/>
  <c r="D409" i="1"/>
  <c r="C410" i="1"/>
  <c r="D410" i="1"/>
  <c r="C411" i="1"/>
  <c r="D411" i="1"/>
  <c r="C412" i="1"/>
  <c r="D412" i="1"/>
  <c r="C413" i="1"/>
  <c r="D413" i="1"/>
  <c r="C414" i="1"/>
  <c r="D414" i="1"/>
  <c r="C415" i="1"/>
  <c r="D415" i="1"/>
  <c r="C416" i="1"/>
  <c r="D416" i="1"/>
  <c r="C417" i="1"/>
  <c r="D417" i="1"/>
  <c r="C418" i="1"/>
  <c r="D418" i="1"/>
  <c r="C419" i="1"/>
  <c r="D419" i="1"/>
  <c r="C420" i="1"/>
  <c r="D420" i="1"/>
  <c r="C421" i="1"/>
  <c r="D421" i="1"/>
  <c r="C422" i="1"/>
  <c r="D422" i="1"/>
  <c r="C423" i="1"/>
  <c r="D423" i="1"/>
  <c r="C424" i="1"/>
  <c r="D424" i="1"/>
  <c r="C425" i="1"/>
  <c r="D425" i="1"/>
  <c r="C426" i="1"/>
  <c r="D426" i="1"/>
  <c r="C427" i="1"/>
  <c r="D427" i="1"/>
  <c r="C428" i="1"/>
  <c r="D428" i="1"/>
  <c r="C429" i="1"/>
  <c r="D429" i="1"/>
  <c r="C430" i="1"/>
  <c r="D430" i="1"/>
  <c r="C431" i="1"/>
  <c r="D431" i="1"/>
  <c r="C432" i="1"/>
  <c r="D432" i="1"/>
  <c r="C433" i="1"/>
  <c r="D433" i="1"/>
  <c r="C434" i="1"/>
  <c r="D434" i="1"/>
  <c r="C435" i="1"/>
  <c r="D435" i="1"/>
  <c r="C436" i="1"/>
  <c r="D436" i="1"/>
  <c r="C437" i="1"/>
  <c r="D437" i="1"/>
  <c r="C438" i="1"/>
  <c r="D438" i="1"/>
  <c r="C439" i="1"/>
  <c r="D439" i="1"/>
  <c r="C440" i="1"/>
  <c r="D440" i="1"/>
  <c r="C441" i="1"/>
  <c r="D441" i="1"/>
  <c r="C442" i="1"/>
  <c r="D442" i="1"/>
  <c r="C443" i="1"/>
  <c r="D443" i="1"/>
  <c r="C444" i="1"/>
  <c r="D444" i="1"/>
  <c r="C445" i="1"/>
  <c r="D445" i="1"/>
  <c r="C446" i="1"/>
  <c r="D446" i="1"/>
  <c r="C447" i="1"/>
  <c r="D447" i="1"/>
  <c r="C448" i="1"/>
  <c r="D448" i="1"/>
  <c r="C449" i="1"/>
  <c r="D449" i="1"/>
  <c r="C450" i="1"/>
  <c r="D450" i="1"/>
  <c r="C451" i="1"/>
  <c r="D451" i="1"/>
  <c r="C452" i="1"/>
  <c r="D452" i="1"/>
  <c r="C453" i="1"/>
  <c r="D453" i="1"/>
  <c r="C454" i="1"/>
  <c r="D454" i="1"/>
  <c r="C455" i="1"/>
  <c r="D455" i="1"/>
  <c r="C456" i="1"/>
  <c r="D456" i="1"/>
  <c r="C457" i="1"/>
  <c r="D457" i="1"/>
  <c r="C458" i="1"/>
  <c r="D458" i="1"/>
  <c r="C459" i="1"/>
  <c r="D459" i="1"/>
  <c r="C460" i="1"/>
  <c r="D460" i="1"/>
  <c r="C461" i="1"/>
  <c r="D461" i="1"/>
  <c r="C462" i="1"/>
  <c r="D462" i="1"/>
  <c r="C463" i="1"/>
  <c r="D463" i="1"/>
  <c r="C464" i="1"/>
  <c r="D464" i="1"/>
  <c r="C465" i="1"/>
  <c r="D465" i="1"/>
  <c r="C466" i="1"/>
  <c r="D466" i="1"/>
  <c r="C467" i="1"/>
  <c r="D467" i="1"/>
  <c r="C468" i="1"/>
  <c r="D468" i="1"/>
  <c r="C469" i="1"/>
  <c r="D469" i="1"/>
  <c r="C470" i="1"/>
  <c r="D470" i="1"/>
  <c r="C471" i="1"/>
  <c r="D471" i="1"/>
  <c r="C472" i="1"/>
  <c r="D472" i="1"/>
  <c r="C473" i="1"/>
  <c r="D473" i="1"/>
  <c r="C474" i="1"/>
  <c r="D474" i="1"/>
  <c r="C475" i="1"/>
  <c r="D475" i="1"/>
  <c r="C476" i="1"/>
  <c r="D476" i="1"/>
  <c r="C477" i="1"/>
  <c r="D477" i="1"/>
  <c r="C478" i="1"/>
  <c r="D478" i="1"/>
  <c r="C479" i="1"/>
  <c r="D479" i="1"/>
  <c r="C480" i="1"/>
  <c r="D480" i="1"/>
  <c r="C481" i="1"/>
  <c r="D481" i="1"/>
  <c r="C482" i="1"/>
  <c r="D482" i="1"/>
  <c r="C483" i="1"/>
  <c r="D483" i="1"/>
  <c r="C484" i="1"/>
  <c r="D484" i="1"/>
  <c r="C485" i="1"/>
  <c r="D485" i="1"/>
  <c r="C486" i="1"/>
  <c r="D486" i="1"/>
  <c r="C487" i="1"/>
  <c r="D487" i="1"/>
  <c r="C488" i="1"/>
  <c r="D488" i="1"/>
  <c r="C489" i="1"/>
  <c r="D489" i="1"/>
  <c r="C490" i="1"/>
  <c r="D490" i="1"/>
  <c r="C491" i="1"/>
  <c r="D491" i="1"/>
  <c r="C492" i="1"/>
  <c r="D492" i="1"/>
  <c r="C493" i="1"/>
  <c r="D493" i="1"/>
  <c r="C494" i="1"/>
  <c r="D494" i="1"/>
  <c r="C495" i="1"/>
  <c r="D495" i="1"/>
  <c r="C496" i="1"/>
  <c r="D496" i="1"/>
  <c r="C497" i="1"/>
  <c r="D497" i="1"/>
  <c r="C498" i="1"/>
  <c r="D498" i="1"/>
  <c r="C499" i="1"/>
  <c r="D499" i="1"/>
  <c r="C500" i="1"/>
  <c r="D500" i="1"/>
  <c r="C501" i="1"/>
  <c r="D501" i="1"/>
  <c r="C502" i="1"/>
  <c r="D502" i="1"/>
  <c r="C503" i="1"/>
  <c r="D503" i="1"/>
  <c r="C504" i="1"/>
  <c r="D504" i="1"/>
  <c r="C505" i="1"/>
  <c r="D505" i="1"/>
  <c r="C506" i="1"/>
  <c r="D506" i="1"/>
  <c r="C507" i="1"/>
  <c r="D507" i="1"/>
  <c r="C508" i="1"/>
  <c r="D508" i="1"/>
  <c r="C509" i="1"/>
  <c r="D509" i="1"/>
  <c r="C510" i="1"/>
  <c r="D510" i="1"/>
  <c r="C511" i="1"/>
  <c r="D511" i="1"/>
  <c r="C512" i="1"/>
  <c r="D512" i="1"/>
  <c r="C513" i="1"/>
  <c r="D513" i="1"/>
  <c r="C514" i="1"/>
  <c r="D514" i="1"/>
  <c r="C515" i="1"/>
  <c r="D515" i="1"/>
  <c r="C516" i="1"/>
  <c r="D516" i="1"/>
  <c r="C517" i="1"/>
  <c r="D517" i="1"/>
  <c r="C518" i="1"/>
  <c r="D518" i="1"/>
  <c r="C519" i="1"/>
  <c r="D519" i="1"/>
  <c r="C520" i="1"/>
  <c r="D520" i="1"/>
  <c r="C521" i="1"/>
  <c r="D521" i="1"/>
  <c r="C522" i="1"/>
  <c r="D522" i="1"/>
  <c r="C523" i="1"/>
  <c r="D523" i="1"/>
  <c r="C524" i="1"/>
  <c r="D524" i="1"/>
  <c r="C525" i="1"/>
  <c r="D525" i="1"/>
  <c r="C526" i="1"/>
  <c r="D526" i="1"/>
  <c r="C527" i="1"/>
  <c r="D527" i="1"/>
  <c r="C528" i="1"/>
  <c r="D528" i="1"/>
  <c r="C529" i="1"/>
  <c r="D529" i="1"/>
  <c r="C530" i="1"/>
  <c r="D530" i="1"/>
  <c r="C531" i="1"/>
  <c r="D531" i="1"/>
  <c r="C532" i="1"/>
  <c r="D532" i="1"/>
  <c r="C533" i="1"/>
  <c r="D533" i="1"/>
  <c r="C534" i="1"/>
  <c r="D534" i="1"/>
  <c r="C535" i="1"/>
  <c r="D535" i="1"/>
  <c r="C536" i="1"/>
  <c r="D536" i="1"/>
  <c r="C537" i="1"/>
  <c r="D537" i="1"/>
  <c r="C538" i="1"/>
  <c r="D538" i="1"/>
  <c r="C539" i="1"/>
  <c r="D539" i="1"/>
  <c r="C540" i="1"/>
  <c r="D540" i="1"/>
  <c r="C541" i="1"/>
  <c r="D541" i="1"/>
  <c r="C542" i="1"/>
  <c r="D542" i="1"/>
  <c r="C543" i="1"/>
  <c r="D543" i="1"/>
  <c r="C544" i="1"/>
  <c r="D544" i="1"/>
  <c r="C545" i="1"/>
  <c r="D545" i="1"/>
  <c r="C546" i="1"/>
  <c r="D546" i="1"/>
  <c r="C547" i="1"/>
  <c r="D547" i="1"/>
  <c r="C548" i="1"/>
  <c r="D548" i="1"/>
  <c r="C549" i="1"/>
  <c r="D549" i="1"/>
  <c r="C550" i="1"/>
  <c r="D550" i="1"/>
  <c r="C551" i="1"/>
  <c r="D551" i="1"/>
  <c r="C552" i="1"/>
  <c r="D552" i="1"/>
  <c r="C553" i="1"/>
  <c r="D553" i="1"/>
  <c r="C554" i="1"/>
  <c r="D554" i="1"/>
  <c r="C555" i="1"/>
  <c r="D555" i="1"/>
  <c r="C556" i="1"/>
  <c r="D556" i="1"/>
  <c r="C557" i="1"/>
  <c r="D557" i="1"/>
  <c r="C558" i="1"/>
  <c r="D558" i="1"/>
  <c r="C559" i="1"/>
  <c r="D559" i="1"/>
  <c r="C560" i="1"/>
  <c r="D560" i="1"/>
  <c r="C561" i="1"/>
  <c r="D561" i="1"/>
  <c r="C562" i="1"/>
  <c r="D562" i="1"/>
  <c r="C563" i="1"/>
  <c r="D563" i="1"/>
  <c r="C564" i="1"/>
  <c r="D564" i="1"/>
  <c r="C565" i="1"/>
  <c r="D565" i="1"/>
  <c r="C566" i="1"/>
  <c r="D566" i="1"/>
  <c r="C567" i="1"/>
  <c r="D567" i="1"/>
  <c r="C568" i="1"/>
  <c r="D568" i="1"/>
  <c r="C569" i="1"/>
  <c r="D569" i="1"/>
  <c r="C570" i="1"/>
  <c r="D570" i="1"/>
  <c r="C571" i="1"/>
  <c r="D571" i="1"/>
  <c r="C572" i="1"/>
  <c r="D572" i="1"/>
  <c r="C573" i="1"/>
  <c r="D573" i="1"/>
  <c r="C574" i="1"/>
  <c r="D574" i="1"/>
  <c r="C575" i="1"/>
  <c r="D575" i="1"/>
  <c r="C576" i="1"/>
  <c r="D576" i="1"/>
  <c r="C577" i="1"/>
  <c r="D577" i="1"/>
  <c r="C578" i="1"/>
  <c r="D578" i="1"/>
  <c r="C579" i="1"/>
  <c r="D579" i="1"/>
  <c r="C580" i="1"/>
  <c r="D580" i="1"/>
  <c r="C581" i="1"/>
  <c r="D581" i="1"/>
  <c r="C582" i="1"/>
  <c r="D582" i="1"/>
  <c r="C583" i="1"/>
  <c r="D583" i="1"/>
  <c r="C584" i="1"/>
  <c r="D584" i="1"/>
  <c r="C585" i="1"/>
  <c r="D585" i="1"/>
  <c r="C586" i="1"/>
  <c r="D586" i="1"/>
  <c r="C587" i="1"/>
  <c r="D587" i="1"/>
  <c r="C588" i="1"/>
  <c r="D588" i="1"/>
  <c r="C589" i="1"/>
  <c r="D589" i="1"/>
  <c r="C590" i="1"/>
  <c r="D590" i="1"/>
  <c r="C591" i="1"/>
  <c r="D591" i="1"/>
  <c r="C592" i="1"/>
  <c r="D592" i="1"/>
  <c r="C593" i="1"/>
  <c r="D593" i="1"/>
  <c r="C594" i="1"/>
  <c r="D594" i="1"/>
  <c r="C595" i="1"/>
  <c r="D595" i="1"/>
  <c r="C596" i="1"/>
  <c r="D596" i="1"/>
  <c r="C597" i="1"/>
  <c r="D597" i="1"/>
  <c r="C598" i="1"/>
  <c r="D598" i="1"/>
  <c r="C599" i="1"/>
  <c r="D599" i="1"/>
  <c r="C600" i="1"/>
  <c r="D600" i="1"/>
  <c r="C601" i="1"/>
  <c r="D601" i="1"/>
  <c r="C602" i="1"/>
  <c r="D602" i="1"/>
  <c r="C603" i="1"/>
  <c r="D603" i="1"/>
  <c r="C604" i="1"/>
  <c r="D604" i="1"/>
  <c r="C605" i="1"/>
  <c r="D605" i="1"/>
  <c r="C606" i="1"/>
  <c r="D606" i="1"/>
  <c r="C607" i="1"/>
  <c r="D607" i="1"/>
  <c r="C608" i="1"/>
  <c r="D608" i="1"/>
  <c r="C609" i="1"/>
  <c r="D609" i="1"/>
  <c r="C610" i="1"/>
  <c r="D610" i="1"/>
  <c r="C611" i="1"/>
  <c r="D611" i="1"/>
  <c r="C612" i="1"/>
  <c r="D612" i="1"/>
  <c r="C613" i="1"/>
  <c r="D613" i="1"/>
  <c r="C614" i="1"/>
  <c r="D614" i="1"/>
  <c r="C615" i="1"/>
  <c r="D615" i="1"/>
  <c r="C616" i="1"/>
  <c r="D616" i="1"/>
  <c r="C617" i="1"/>
  <c r="D617" i="1"/>
  <c r="C618" i="1"/>
  <c r="D618" i="1"/>
  <c r="C619" i="1"/>
  <c r="D619" i="1"/>
  <c r="C620" i="1"/>
  <c r="D620" i="1"/>
  <c r="C621" i="1"/>
  <c r="D621" i="1"/>
  <c r="C622" i="1"/>
  <c r="D622" i="1"/>
  <c r="C623" i="1"/>
  <c r="D623" i="1"/>
  <c r="C624" i="1"/>
  <c r="D624" i="1"/>
  <c r="C625" i="1"/>
  <c r="D625" i="1"/>
  <c r="C626" i="1"/>
  <c r="D626" i="1"/>
  <c r="C627" i="1"/>
  <c r="D627" i="1"/>
  <c r="C628" i="1"/>
  <c r="D628" i="1"/>
  <c r="C629" i="1"/>
  <c r="D629" i="1"/>
  <c r="C630" i="1"/>
  <c r="D630" i="1"/>
  <c r="C631" i="1"/>
  <c r="D631" i="1"/>
  <c r="C632" i="1"/>
  <c r="D632" i="1"/>
  <c r="C633" i="1"/>
  <c r="D633" i="1"/>
  <c r="C634" i="1"/>
  <c r="D634" i="1"/>
  <c r="C635" i="1"/>
  <c r="D635" i="1"/>
  <c r="C636" i="1"/>
  <c r="D636" i="1"/>
  <c r="C637" i="1"/>
  <c r="D637" i="1"/>
  <c r="C638" i="1"/>
  <c r="D638" i="1"/>
  <c r="C639" i="1"/>
  <c r="D639" i="1"/>
  <c r="C640" i="1"/>
  <c r="D640" i="1"/>
  <c r="C641" i="1"/>
  <c r="D641" i="1"/>
  <c r="C642" i="1"/>
  <c r="D642" i="1"/>
  <c r="C643" i="1"/>
  <c r="D643" i="1"/>
  <c r="C644" i="1"/>
  <c r="D644" i="1"/>
  <c r="C645" i="1"/>
  <c r="D645" i="1"/>
  <c r="C646" i="1"/>
  <c r="D646" i="1"/>
  <c r="C647" i="1"/>
  <c r="D647" i="1"/>
  <c r="C648" i="1"/>
  <c r="D648" i="1"/>
  <c r="C649" i="1"/>
  <c r="D649" i="1"/>
  <c r="C650" i="1"/>
  <c r="D650" i="1"/>
  <c r="C651" i="1"/>
  <c r="D651" i="1"/>
  <c r="C652" i="1"/>
  <c r="D652" i="1"/>
  <c r="C653" i="1"/>
  <c r="D653" i="1"/>
  <c r="C654" i="1"/>
  <c r="D654" i="1"/>
  <c r="C655" i="1"/>
  <c r="D655" i="1"/>
  <c r="C656" i="1"/>
  <c r="D656" i="1"/>
  <c r="C657" i="1"/>
  <c r="D657" i="1"/>
  <c r="C658" i="1"/>
  <c r="D658" i="1"/>
  <c r="C659" i="1"/>
  <c r="D659" i="1"/>
  <c r="C660" i="1"/>
  <c r="D660" i="1"/>
  <c r="C661" i="1"/>
  <c r="D661" i="1"/>
  <c r="C662" i="1"/>
  <c r="D662" i="1"/>
  <c r="C663" i="1"/>
  <c r="D663" i="1"/>
  <c r="C664" i="1"/>
  <c r="D664" i="1"/>
  <c r="C665" i="1"/>
  <c r="D665" i="1"/>
  <c r="C666" i="1"/>
  <c r="D666" i="1"/>
  <c r="C667" i="1"/>
  <c r="D667" i="1"/>
  <c r="C668" i="1"/>
  <c r="D668" i="1"/>
  <c r="C669" i="1"/>
  <c r="D669" i="1"/>
  <c r="C670" i="1"/>
  <c r="D670" i="1"/>
  <c r="C671" i="1"/>
  <c r="D671" i="1"/>
  <c r="C672" i="1"/>
  <c r="D672" i="1"/>
  <c r="C673" i="1"/>
  <c r="D673" i="1"/>
  <c r="C674" i="1"/>
  <c r="D674" i="1"/>
  <c r="C675" i="1"/>
  <c r="D675" i="1"/>
  <c r="C676" i="1"/>
  <c r="D676" i="1"/>
  <c r="C677" i="1"/>
  <c r="D677" i="1"/>
  <c r="C678" i="1"/>
  <c r="D678" i="1"/>
  <c r="C679" i="1"/>
  <c r="D679" i="1"/>
  <c r="C680" i="1"/>
  <c r="D680" i="1"/>
  <c r="C681" i="1"/>
  <c r="D681" i="1"/>
  <c r="C682" i="1"/>
  <c r="D682" i="1"/>
  <c r="C683" i="1"/>
  <c r="D683" i="1"/>
  <c r="C684" i="1"/>
  <c r="D684" i="1"/>
  <c r="C685" i="1"/>
  <c r="D685" i="1"/>
  <c r="C686" i="1"/>
  <c r="D686" i="1"/>
  <c r="C687" i="1"/>
  <c r="D687" i="1"/>
  <c r="C688" i="1"/>
  <c r="D688" i="1"/>
  <c r="C689" i="1"/>
  <c r="D689" i="1"/>
  <c r="C690" i="1"/>
  <c r="D690" i="1"/>
  <c r="C691" i="1"/>
  <c r="D691" i="1"/>
  <c r="C692" i="1"/>
  <c r="D692" i="1"/>
  <c r="C693" i="1"/>
  <c r="D693" i="1"/>
  <c r="C694" i="1"/>
  <c r="D694" i="1"/>
  <c r="C695" i="1"/>
  <c r="D695" i="1"/>
  <c r="C696" i="1"/>
  <c r="D696" i="1"/>
  <c r="C697" i="1"/>
  <c r="D697" i="1"/>
  <c r="C698" i="1"/>
  <c r="D698" i="1"/>
  <c r="C699" i="1"/>
  <c r="D699" i="1"/>
  <c r="C700" i="1"/>
  <c r="D700" i="1"/>
  <c r="C701" i="1"/>
  <c r="D701" i="1"/>
  <c r="C702" i="1"/>
  <c r="D702" i="1"/>
  <c r="C703" i="1"/>
  <c r="D703" i="1"/>
  <c r="C704" i="1"/>
  <c r="D704" i="1"/>
  <c r="C705" i="1"/>
  <c r="D705" i="1"/>
  <c r="C706" i="1"/>
  <c r="D706" i="1"/>
  <c r="C707" i="1"/>
  <c r="D707" i="1"/>
  <c r="C708" i="1"/>
  <c r="D708" i="1"/>
  <c r="C709" i="1"/>
  <c r="D709" i="1"/>
  <c r="C710" i="1"/>
  <c r="D710" i="1"/>
  <c r="C711" i="1"/>
  <c r="D711" i="1"/>
  <c r="C712" i="1"/>
  <c r="D712" i="1"/>
  <c r="C713" i="1"/>
  <c r="D713" i="1"/>
  <c r="C714" i="1"/>
  <c r="D714" i="1"/>
  <c r="C715" i="1"/>
  <c r="D715" i="1"/>
  <c r="C716" i="1"/>
  <c r="D716" i="1"/>
  <c r="C717" i="1"/>
  <c r="D717" i="1"/>
  <c r="C718" i="1"/>
  <c r="D718" i="1"/>
  <c r="C719" i="1"/>
  <c r="D719" i="1"/>
  <c r="C720" i="1"/>
  <c r="D720" i="1"/>
  <c r="C721" i="1"/>
  <c r="D721" i="1"/>
  <c r="C722" i="1"/>
  <c r="D722" i="1"/>
  <c r="C723" i="1"/>
  <c r="D723" i="1"/>
  <c r="C724" i="1"/>
  <c r="D724" i="1"/>
  <c r="C725" i="1"/>
  <c r="D725" i="1"/>
  <c r="C726" i="1"/>
  <c r="D726" i="1"/>
  <c r="C727" i="1"/>
  <c r="D727" i="1"/>
  <c r="C728" i="1"/>
  <c r="D728" i="1"/>
  <c r="C729" i="1"/>
  <c r="D729" i="1"/>
  <c r="C730" i="1"/>
  <c r="D730" i="1"/>
  <c r="C731" i="1"/>
  <c r="D731" i="1"/>
  <c r="C732" i="1"/>
  <c r="D732" i="1"/>
  <c r="C733" i="1"/>
  <c r="D733" i="1"/>
  <c r="C734" i="1"/>
  <c r="D734" i="1"/>
  <c r="C735" i="1"/>
  <c r="D735" i="1"/>
  <c r="C736" i="1"/>
  <c r="D736" i="1"/>
  <c r="C737" i="1"/>
  <c r="D737" i="1"/>
  <c r="C738" i="1"/>
  <c r="D738" i="1"/>
  <c r="C739" i="1"/>
  <c r="D739" i="1"/>
  <c r="C740" i="1"/>
  <c r="D740" i="1"/>
  <c r="C741" i="1"/>
  <c r="D741" i="1"/>
  <c r="C742" i="1"/>
  <c r="D742" i="1"/>
  <c r="C743" i="1"/>
  <c r="D743" i="1"/>
  <c r="C744" i="1"/>
  <c r="D744" i="1"/>
  <c r="C745" i="1"/>
  <c r="D745" i="1"/>
  <c r="C746" i="1"/>
  <c r="D746" i="1"/>
  <c r="C747" i="1"/>
  <c r="D747" i="1"/>
  <c r="C748" i="1"/>
  <c r="D748" i="1"/>
  <c r="C749" i="1"/>
  <c r="D749" i="1"/>
  <c r="C750" i="1"/>
  <c r="D750" i="1"/>
  <c r="C751" i="1"/>
  <c r="D751" i="1"/>
  <c r="C752" i="1"/>
  <c r="D752" i="1"/>
  <c r="C753" i="1"/>
  <c r="D753" i="1"/>
  <c r="C754" i="1"/>
  <c r="D754" i="1"/>
  <c r="C755" i="1"/>
  <c r="D755" i="1"/>
  <c r="C756" i="1"/>
  <c r="D756" i="1"/>
  <c r="C757" i="1"/>
  <c r="D757" i="1"/>
  <c r="C758" i="1"/>
  <c r="D758" i="1"/>
  <c r="C759" i="1"/>
  <c r="D759" i="1"/>
  <c r="C760" i="1"/>
  <c r="D760" i="1"/>
  <c r="C761" i="1"/>
  <c r="D761" i="1"/>
  <c r="C762" i="1"/>
  <c r="D762" i="1"/>
  <c r="C763" i="1"/>
  <c r="D763" i="1"/>
  <c r="C764" i="1"/>
  <c r="D764" i="1"/>
  <c r="C765" i="1"/>
  <c r="D765" i="1"/>
  <c r="C766" i="1"/>
  <c r="D766" i="1"/>
  <c r="C767" i="1"/>
  <c r="D767" i="1"/>
  <c r="C768" i="1"/>
  <c r="D768" i="1"/>
  <c r="C769" i="1"/>
  <c r="D769" i="1"/>
  <c r="C770" i="1"/>
  <c r="D770" i="1"/>
  <c r="C771" i="1"/>
  <c r="D771" i="1"/>
  <c r="C772" i="1"/>
  <c r="D772" i="1"/>
  <c r="C773" i="1"/>
  <c r="D773" i="1"/>
  <c r="C774" i="1"/>
  <c r="D774" i="1"/>
  <c r="C775" i="1"/>
  <c r="D775" i="1"/>
  <c r="C776" i="1"/>
  <c r="D776" i="1"/>
  <c r="C777" i="1"/>
  <c r="D777" i="1"/>
  <c r="C778" i="1"/>
  <c r="D778" i="1"/>
  <c r="C779" i="1"/>
  <c r="D779" i="1"/>
  <c r="C780" i="1"/>
  <c r="D780" i="1"/>
  <c r="C781" i="1"/>
  <c r="D781" i="1"/>
  <c r="C782" i="1"/>
  <c r="D782" i="1"/>
  <c r="C783" i="1"/>
  <c r="D783" i="1"/>
  <c r="C784" i="1"/>
  <c r="D784" i="1"/>
  <c r="C785" i="1"/>
  <c r="D785" i="1"/>
  <c r="C786" i="1"/>
  <c r="D786" i="1"/>
  <c r="C787" i="1"/>
  <c r="D787" i="1"/>
  <c r="C788" i="1"/>
  <c r="D788" i="1"/>
  <c r="C789" i="1"/>
  <c r="D789" i="1"/>
  <c r="C790" i="1"/>
  <c r="D790" i="1"/>
  <c r="C791" i="1"/>
  <c r="D791" i="1"/>
  <c r="C792" i="1"/>
  <c r="D792" i="1"/>
  <c r="C793" i="1"/>
  <c r="D793" i="1"/>
  <c r="C794" i="1"/>
  <c r="D794" i="1"/>
  <c r="C795" i="1"/>
  <c r="D795" i="1"/>
  <c r="C796" i="1"/>
  <c r="D796" i="1"/>
  <c r="C797" i="1"/>
  <c r="D797" i="1"/>
  <c r="C798" i="1"/>
  <c r="D798" i="1"/>
  <c r="C799" i="1"/>
  <c r="D799" i="1"/>
  <c r="C800" i="1"/>
  <c r="D800" i="1"/>
  <c r="C801" i="1"/>
  <c r="D801" i="1"/>
  <c r="C802" i="1"/>
  <c r="D802" i="1"/>
  <c r="C803" i="1"/>
  <c r="D803" i="1"/>
  <c r="C804" i="1"/>
  <c r="D804" i="1"/>
  <c r="C805" i="1"/>
  <c r="D805" i="1"/>
  <c r="C806" i="1"/>
  <c r="D806" i="1"/>
  <c r="C807" i="1"/>
  <c r="D807" i="1"/>
  <c r="C808" i="1"/>
  <c r="D808" i="1"/>
  <c r="C809" i="1"/>
  <c r="D809" i="1"/>
  <c r="C810" i="1"/>
  <c r="D810" i="1"/>
  <c r="C811" i="1"/>
  <c r="D811" i="1"/>
  <c r="C812" i="1"/>
  <c r="D812" i="1"/>
  <c r="C813" i="1"/>
  <c r="D813" i="1"/>
  <c r="C814" i="1"/>
  <c r="D814" i="1"/>
  <c r="C815" i="1"/>
  <c r="D815" i="1"/>
  <c r="C816" i="1"/>
  <c r="D816" i="1"/>
  <c r="C817" i="1"/>
  <c r="D817" i="1"/>
  <c r="C818" i="1"/>
  <c r="D818" i="1"/>
  <c r="C819" i="1"/>
  <c r="D819" i="1"/>
  <c r="C820" i="1"/>
  <c r="D820" i="1"/>
  <c r="C821" i="1"/>
  <c r="D821" i="1"/>
  <c r="C822" i="1"/>
  <c r="D822" i="1"/>
  <c r="C823" i="1"/>
  <c r="D823" i="1"/>
  <c r="C824" i="1"/>
  <c r="D824" i="1"/>
  <c r="C825" i="1"/>
  <c r="D825" i="1"/>
  <c r="C826" i="1"/>
  <c r="D826" i="1"/>
  <c r="C827" i="1"/>
  <c r="D827" i="1"/>
  <c r="C828" i="1"/>
  <c r="D828" i="1"/>
  <c r="C829" i="1"/>
  <c r="D829" i="1"/>
  <c r="C830" i="1"/>
  <c r="D830" i="1"/>
  <c r="C831" i="1"/>
  <c r="D831" i="1"/>
  <c r="C832" i="1"/>
  <c r="D832" i="1"/>
  <c r="C833" i="1"/>
  <c r="D833" i="1"/>
  <c r="C834" i="1"/>
  <c r="D834" i="1"/>
  <c r="C835" i="1"/>
  <c r="D835" i="1"/>
  <c r="C836" i="1"/>
  <c r="D836" i="1"/>
  <c r="C837" i="1"/>
  <c r="D837" i="1"/>
  <c r="C838" i="1"/>
  <c r="D838" i="1"/>
  <c r="C839" i="1"/>
  <c r="D839" i="1"/>
  <c r="C840" i="1"/>
  <c r="D840" i="1"/>
  <c r="C841" i="1"/>
  <c r="D841" i="1"/>
  <c r="C842" i="1"/>
  <c r="D842" i="1"/>
  <c r="C843" i="1"/>
  <c r="D843" i="1"/>
  <c r="C844" i="1"/>
  <c r="D844" i="1"/>
  <c r="C845" i="1"/>
  <c r="D845" i="1"/>
  <c r="C846" i="1"/>
  <c r="D846" i="1"/>
  <c r="C847" i="1"/>
  <c r="D847" i="1"/>
  <c r="C848" i="1"/>
  <c r="D848" i="1"/>
  <c r="C849" i="1"/>
  <c r="D849" i="1"/>
  <c r="C850" i="1"/>
  <c r="D850" i="1"/>
  <c r="C851" i="1"/>
  <c r="D851" i="1"/>
  <c r="C852" i="1"/>
  <c r="D852" i="1"/>
  <c r="C853" i="1"/>
  <c r="D853" i="1"/>
  <c r="C854" i="1"/>
  <c r="D854" i="1"/>
  <c r="C855" i="1"/>
  <c r="D855" i="1"/>
  <c r="C856" i="1"/>
  <c r="D856" i="1"/>
  <c r="C857" i="1"/>
  <c r="D857" i="1"/>
  <c r="C858" i="1"/>
  <c r="D858" i="1"/>
  <c r="C859" i="1"/>
  <c r="D859" i="1"/>
  <c r="C860" i="1"/>
  <c r="D860" i="1"/>
  <c r="C861" i="1"/>
  <c r="D861" i="1"/>
  <c r="C862" i="1"/>
  <c r="D862" i="1"/>
  <c r="C863" i="1"/>
  <c r="D863" i="1"/>
  <c r="C864" i="1"/>
  <c r="D864" i="1"/>
  <c r="C865" i="1"/>
  <c r="D865" i="1"/>
  <c r="C866" i="1"/>
  <c r="D866" i="1"/>
  <c r="C867" i="1"/>
  <c r="D867" i="1"/>
  <c r="C868" i="1"/>
  <c r="D868" i="1"/>
  <c r="C869" i="1"/>
  <c r="D869" i="1"/>
  <c r="C870" i="1"/>
  <c r="D870" i="1"/>
  <c r="C871" i="1"/>
  <c r="D871" i="1"/>
  <c r="C872" i="1"/>
  <c r="D872" i="1"/>
  <c r="C873" i="1"/>
  <c r="D873" i="1"/>
  <c r="C874" i="1"/>
  <c r="D874" i="1"/>
  <c r="C875" i="1"/>
  <c r="D875" i="1"/>
  <c r="C876" i="1"/>
  <c r="D876" i="1"/>
  <c r="C877" i="1"/>
  <c r="D877" i="1"/>
  <c r="C878" i="1"/>
  <c r="D878" i="1"/>
  <c r="C879" i="1"/>
  <c r="D879" i="1"/>
  <c r="C880" i="1"/>
  <c r="D880" i="1"/>
  <c r="C881" i="1"/>
  <c r="D881" i="1"/>
  <c r="C882" i="1"/>
  <c r="D882" i="1"/>
  <c r="C883" i="1"/>
  <c r="D883" i="1"/>
  <c r="C884" i="1"/>
  <c r="D884" i="1"/>
  <c r="C885" i="1"/>
  <c r="D885" i="1"/>
  <c r="C886" i="1"/>
  <c r="D886" i="1"/>
  <c r="C887" i="1"/>
  <c r="D887" i="1"/>
  <c r="C888" i="1"/>
  <c r="D888" i="1"/>
  <c r="C889" i="1"/>
  <c r="D889" i="1"/>
  <c r="C890" i="1"/>
  <c r="D890" i="1"/>
  <c r="C891" i="1"/>
  <c r="D891" i="1"/>
  <c r="C892" i="1"/>
  <c r="D892" i="1"/>
  <c r="C893" i="1"/>
  <c r="D893" i="1"/>
  <c r="C894" i="1"/>
  <c r="D894" i="1"/>
  <c r="C895" i="1"/>
  <c r="D895" i="1"/>
  <c r="C896" i="1"/>
  <c r="D896" i="1"/>
  <c r="C897" i="1"/>
  <c r="D897" i="1"/>
  <c r="C898" i="1"/>
  <c r="D898" i="1"/>
  <c r="C899" i="1"/>
  <c r="D899" i="1"/>
  <c r="C900" i="1"/>
  <c r="D900" i="1"/>
  <c r="C901" i="1"/>
  <c r="D901" i="1"/>
  <c r="C902" i="1"/>
  <c r="D902" i="1"/>
  <c r="C903" i="1"/>
  <c r="D903" i="1"/>
  <c r="C904" i="1"/>
  <c r="D904" i="1"/>
  <c r="C905" i="1"/>
  <c r="D905" i="1"/>
  <c r="C906" i="1"/>
  <c r="D906" i="1"/>
  <c r="C907" i="1"/>
  <c r="D907" i="1"/>
  <c r="C908" i="1"/>
  <c r="D908" i="1"/>
  <c r="C909" i="1"/>
  <c r="D909" i="1"/>
  <c r="C910" i="1"/>
  <c r="D910" i="1"/>
  <c r="C911" i="1"/>
  <c r="D911" i="1"/>
  <c r="C912" i="1"/>
  <c r="D912" i="1"/>
  <c r="C913" i="1"/>
  <c r="D913" i="1"/>
  <c r="C914" i="1"/>
  <c r="D914" i="1"/>
  <c r="C915" i="1"/>
  <c r="D915" i="1"/>
  <c r="C916" i="1"/>
  <c r="D916" i="1"/>
  <c r="C917" i="1"/>
  <c r="D917" i="1"/>
  <c r="C918" i="1"/>
  <c r="D918" i="1"/>
  <c r="C919" i="1"/>
  <c r="D919" i="1"/>
  <c r="C920" i="1"/>
  <c r="D920" i="1"/>
  <c r="C921" i="1"/>
  <c r="D921" i="1"/>
  <c r="C922" i="1"/>
  <c r="D922" i="1"/>
  <c r="C923" i="1"/>
  <c r="D923" i="1"/>
  <c r="C924" i="1"/>
  <c r="D924" i="1"/>
  <c r="C925" i="1"/>
  <c r="D925" i="1"/>
  <c r="C926" i="1"/>
  <c r="D926" i="1"/>
  <c r="C927" i="1"/>
  <c r="D927" i="1"/>
  <c r="C928" i="1"/>
  <c r="D928" i="1"/>
  <c r="C929" i="1"/>
  <c r="D929" i="1"/>
  <c r="C930" i="1"/>
  <c r="D930" i="1"/>
  <c r="C931" i="1"/>
  <c r="D931" i="1"/>
  <c r="C932" i="1"/>
  <c r="D932" i="1"/>
  <c r="C933" i="1"/>
  <c r="D933" i="1"/>
  <c r="C934" i="1"/>
  <c r="D934" i="1"/>
  <c r="C935" i="1"/>
  <c r="D935" i="1"/>
  <c r="C936" i="1"/>
  <c r="D936" i="1"/>
  <c r="C937" i="1"/>
  <c r="D937" i="1"/>
  <c r="C938" i="1"/>
  <c r="D938" i="1"/>
  <c r="C939" i="1"/>
  <c r="D939" i="1"/>
  <c r="C940" i="1"/>
  <c r="D940" i="1"/>
  <c r="C941" i="1"/>
  <c r="D941" i="1"/>
  <c r="C942" i="1"/>
  <c r="D942" i="1"/>
  <c r="C943" i="1"/>
  <c r="D943" i="1"/>
  <c r="C944" i="1"/>
  <c r="D944" i="1"/>
  <c r="C945" i="1"/>
  <c r="D945" i="1"/>
  <c r="C946" i="1"/>
  <c r="D946" i="1"/>
  <c r="C947" i="1"/>
  <c r="D947" i="1"/>
  <c r="C948" i="1"/>
  <c r="D948" i="1"/>
  <c r="C949" i="1"/>
  <c r="D949" i="1"/>
  <c r="C950" i="1"/>
  <c r="D950" i="1"/>
  <c r="C951" i="1"/>
  <c r="D951" i="1"/>
  <c r="C952" i="1"/>
  <c r="D952" i="1"/>
  <c r="C953" i="1"/>
  <c r="D953" i="1"/>
  <c r="C954" i="1"/>
  <c r="D954" i="1"/>
  <c r="C955" i="1"/>
  <c r="D955" i="1"/>
  <c r="C956" i="1"/>
  <c r="D956" i="1"/>
  <c r="C957" i="1"/>
  <c r="D957" i="1"/>
  <c r="C958" i="1"/>
  <c r="D958" i="1"/>
  <c r="C959" i="1"/>
  <c r="D959" i="1"/>
  <c r="C960" i="1"/>
  <c r="D960" i="1"/>
  <c r="C961" i="1"/>
  <c r="D961" i="1"/>
  <c r="C962" i="1"/>
  <c r="D962" i="1"/>
  <c r="C963" i="1"/>
  <c r="D963" i="1"/>
  <c r="C964" i="1"/>
  <c r="D964" i="1"/>
  <c r="C965" i="1"/>
  <c r="D965" i="1"/>
  <c r="C966" i="1"/>
  <c r="D966" i="1"/>
  <c r="C967" i="1"/>
  <c r="D967" i="1"/>
  <c r="C968" i="1"/>
  <c r="D968" i="1"/>
  <c r="C969" i="1"/>
  <c r="D969" i="1"/>
  <c r="C970" i="1"/>
  <c r="D970" i="1"/>
  <c r="C971" i="1"/>
  <c r="D971" i="1"/>
  <c r="C972" i="1"/>
  <c r="D972" i="1"/>
  <c r="C973" i="1"/>
  <c r="D973" i="1"/>
  <c r="C974" i="1"/>
  <c r="D974" i="1"/>
  <c r="C975" i="1"/>
  <c r="D975" i="1"/>
  <c r="C976" i="1"/>
  <c r="D976" i="1"/>
  <c r="C977" i="1"/>
  <c r="D977" i="1"/>
  <c r="C978" i="1"/>
  <c r="D978" i="1"/>
  <c r="C979" i="1"/>
  <c r="D979" i="1"/>
  <c r="C980" i="1"/>
  <c r="D980" i="1"/>
  <c r="C981" i="1"/>
  <c r="D981" i="1"/>
  <c r="C982" i="1"/>
  <c r="D982" i="1"/>
  <c r="C983" i="1"/>
  <c r="D983" i="1"/>
  <c r="C984" i="1"/>
  <c r="D984" i="1"/>
  <c r="C985" i="1"/>
  <c r="D985" i="1"/>
  <c r="C986" i="1"/>
  <c r="D986" i="1"/>
  <c r="C987" i="1"/>
  <c r="D987" i="1"/>
  <c r="C988" i="1"/>
  <c r="D988" i="1"/>
  <c r="C989" i="1"/>
  <c r="D989" i="1"/>
  <c r="C990" i="1"/>
  <c r="D990" i="1"/>
  <c r="C991" i="1"/>
  <c r="D991" i="1"/>
  <c r="C992" i="1"/>
  <c r="D992" i="1"/>
  <c r="C993" i="1"/>
  <c r="D993" i="1"/>
  <c r="C994" i="1"/>
  <c r="D994" i="1"/>
  <c r="C995" i="1"/>
  <c r="D995" i="1"/>
  <c r="C996" i="1"/>
  <c r="D996" i="1"/>
  <c r="C997" i="1"/>
  <c r="D997" i="1"/>
  <c r="C998" i="1"/>
  <c r="D998" i="1"/>
  <c r="C999" i="1"/>
  <c r="D999" i="1"/>
  <c r="C1000" i="1"/>
  <c r="D1000" i="1"/>
  <c r="C1001" i="1"/>
  <c r="D1001" i="1"/>
  <c r="C1002" i="1"/>
  <c r="D1002" i="1"/>
  <c r="C1003" i="1"/>
  <c r="D1003" i="1"/>
  <c r="C1004" i="1"/>
  <c r="D1004" i="1"/>
  <c r="C1005" i="1"/>
  <c r="D1005" i="1"/>
  <c r="C1006" i="1"/>
  <c r="D1006" i="1"/>
  <c r="C1007" i="1"/>
  <c r="D1007" i="1"/>
  <c r="C1008" i="1"/>
  <c r="D1008" i="1"/>
  <c r="C1009" i="1"/>
  <c r="D1009" i="1"/>
  <c r="C1010" i="1"/>
  <c r="D1010" i="1"/>
  <c r="C1011" i="1"/>
  <c r="D1011" i="1"/>
  <c r="C1012" i="1"/>
  <c r="D1012" i="1"/>
  <c r="C1013" i="1"/>
  <c r="D1013" i="1"/>
  <c r="C1014" i="1"/>
  <c r="D1014" i="1"/>
  <c r="C1015" i="1"/>
  <c r="D1015" i="1"/>
  <c r="C1016" i="1"/>
  <c r="D1016" i="1"/>
  <c r="C1017" i="1"/>
  <c r="D1017" i="1"/>
  <c r="C1018" i="1"/>
  <c r="D1018" i="1"/>
  <c r="C1019" i="1"/>
  <c r="D1019" i="1"/>
  <c r="C1020" i="1"/>
  <c r="D1020" i="1"/>
  <c r="C1021" i="1"/>
  <c r="D1021" i="1"/>
  <c r="C1022" i="1"/>
  <c r="D1022" i="1"/>
  <c r="C1023" i="1"/>
  <c r="D1023" i="1"/>
  <c r="C1024" i="1"/>
  <c r="D1024" i="1"/>
  <c r="C1025" i="1"/>
  <c r="D1025" i="1"/>
  <c r="C1026" i="1"/>
  <c r="D1026" i="1"/>
  <c r="C1027" i="1"/>
  <c r="D1027" i="1"/>
  <c r="C1028" i="1"/>
  <c r="D1028" i="1"/>
  <c r="C1029" i="1"/>
  <c r="D1029" i="1"/>
  <c r="C1030" i="1"/>
  <c r="D1030" i="1"/>
  <c r="C1031" i="1"/>
  <c r="D1031" i="1"/>
  <c r="C1032" i="1"/>
  <c r="D1032" i="1"/>
  <c r="C1033" i="1"/>
  <c r="D1033" i="1"/>
  <c r="C1034" i="1"/>
  <c r="D1034" i="1"/>
  <c r="C1035" i="1"/>
  <c r="D1035" i="1"/>
  <c r="C1036" i="1"/>
  <c r="D1036" i="1"/>
  <c r="C1037" i="1"/>
  <c r="D1037" i="1"/>
  <c r="C1038" i="1"/>
  <c r="D1038" i="1"/>
  <c r="C1039" i="1"/>
  <c r="D1039" i="1"/>
  <c r="C1040" i="1"/>
  <c r="D1040" i="1"/>
  <c r="C1041" i="1"/>
  <c r="D1041" i="1"/>
  <c r="C1042" i="1"/>
  <c r="D1042" i="1"/>
  <c r="C1043" i="1"/>
  <c r="D1043" i="1"/>
  <c r="C1044" i="1"/>
  <c r="D1044" i="1"/>
  <c r="C1045" i="1"/>
  <c r="D1045" i="1"/>
  <c r="C1046" i="1"/>
  <c r="D1046" i="1"/>
  <c r="C1047" i="1"/>
  <c r="D1047" i="1"/>
  <c r="C1048" i="1"/>
  <c r="D1048" i="1"/>
  <c r="C1049" i="1"/>
  <c r="D1049" i="1"/>
  <c r="C1050" i="1"/>
  <c r="D1050" i="1"/>
  <c r="C1051" i="1"/>
  <c r="D1051" i="1"/>
  <c r="C1052" i="1"/>
  <c r="D1052" i="1"/>
  <c r="C1053" i="1"/>
  <c r="D1053" i="1"/>
  <c r="C1054" i="1"/>
  <c r="D1054" i="1"/>
  <c r="C1055" i="1"/>
  <c r="D1055" i="1"/>
  <c r="C1056" i="1"/>
  <c r="D1056" i="1"/>
  <c r="C1057" i="1"/>
  <c r="D1057" i="1"/>
  <c r="C1058" i="1"/>
  <c r="D1058" i="1"/>
  <c r="C1059" i="1"/>
  <c r="D1059" i="1"/>
  <c r="C1060" i="1"/>
  <c r="D1060" i="1"/>
  <c r="C1061" i="1"/>
  <c r="D1061" i="1"/>
  <c r="C1062" i="1"/>
  <c r="D1062" i="1"/>
  <c r="C1063" i="1"/>
  <c r="D1063" i="1"/>
  <c r="C1064" i="1"/>
  <c r="D1064" i="1"/>
  <c r="C1065" i="1"/>
  <c r="D1065" i="1"/>
  <c r="C1066" i="1"/>
  <c r="D1066" i="1"/>
  <c r="C1067" i="1"/>
  <c r="D1067" i="1"/>
  <c r="C1068" i="1"/>
  <c r="D1068" i="1"/>
  <c r="C1069" i="1"/>
  <c r="D1069" i="1"/>
  <c r="C1070" i="1"/>
  <c r="D1070" i="1"/>
  <c r="C1071" i="1"/>
  <c r="D1071" i="1"/>
  <c r="C1072" i="1"/>
  <c r="D1072" i="1"/>
  <c r="C1073" i="1"/>
  <c r="D1073" i="1"/>
  <c r="C1074" i="1"/>
  <c r="D1074" i="1"/>
  <c r="C1075" i="1"/>
  <c r="D1075" i="1"/>
  <c r="C1076" i="1"/>
  <c r="D1076" i="1"/>
  <c r="C1077" i="1"/>
  <c r="D1077" i="1"/>
  <c r="C1078" i="1"/>
  <c r="D1078" i="1"/>
  <c r="C1079" i="1"/>
  <c r="D1079" i="1"/>
  <c r="C1080" i="1"/>
  <c r="D1080" i="1"/>
  <c r="C1081" i="1"/>
  <c r="D1081" i="1"/>
  <c r="C1082" i="1"/>
  <c r="D1082" i="1"/>
  <c r="C1083" i="1"/>
  <c r="D1083" i="1"/>
  <c r="C1084" i="1"/>
  <c r="D1084" i="1"/>
  <c r="C1085" i="1"/>
  <c r="D1085" i="1"/>
  <c r="C1086" i="1"/>
  <c r="D1086" i="1"/>
  <c r="C1087" i="1"/>
  <c r="D1087" i="1"/>
  <c r="C1088" i="1"/>
  <c r="D1088" i="1"/>
  <c r="C1089" i="1"/>
  <c r="D1089" i="1"/>
  <c r="C1090" i="1"/>
  <c r="D1090" i="1"/>
  <c r="C1091" i="1"/>
  <c r="D1091" i="1"/>
  <c r="C1092" i="1"/>
  <c r="D1092" i="1"/>
  <c r="C1093" i="1"/>
  <c r="D1093" i="1"/>
  <c r="C1094" i="1"/>
  <c r="D1094" i="1"/>
  <c r="C1095" i="1"/>
  <c r="D1095" i="1"/>
  <c r="C1096" i="1"/>
  <c r="D1096" i="1"/>
  <c r="C1097" i="1"/>
  <c r="D1097" i="1"/>
  <c r="C1098" i="1"/>
  <c r="D1098" i="1"/>
  <c r="C1099" i="1"/>
  <c r="D1099" i="1"/>
  <c r="C1100" i="1"/>
  <c r="D1100" i="1"/>
  <c r="C1101" i="1"/>
  <c r="D1101" i="1"/>
  <c r="C1102" i="1"/>
  <c r="D1102" i="1"/>
  <c r="C1103" i="1"/>
  <c r="D1103" i="1"/>
  <c r="C1104" i="1"/>
  <c r="D1104" i="1"/>
  <c r="C1105" i="1"/>
  <c r="D1105" i="1"/>
  <c r="C1106" i="1"/>
  <c r="D1106" i="1"/>
  <c r="C1107" i="1"/>
  <c r="D1107" i="1"/>
  <c r="C1108" i="1"/>
  <c r="D1108" i="1"/>
  <c r="C1109" i="1"/>
  <c r="D1109" i="1"/>
  <c r="C1110" i="1"/>
  <c r="D1110" i="1"/>
  <c r="C1111" i="1"/>
  <c r="D1111" i="1"/>
  <c r="C1112" i="1"/>
  <c r="D1112" i="1"/>
  <c r="C1113" i="1"/>
  <c r="D1113" i="1"/>
  <c r="C1114" i="1"/>
  <c r="D1114" i="1"/>
  <c r="C1115" i="1"/>
  <c r="D1115" i="1"/>
  <c r="C1116" i="1"/>
  <c r="D1116" i="1"/>
  <c r="C1117" i="1"/>
  <c r="D1117" i="1"/>
  <c r="C1118" i="1"/>
  <c r="D1118" i="1"/>
  <c r="C1119" i="1"/>
  <c r="D1119" i="1"/>
  <c r="C1120" i="1"/>
  <c r="D1120" i="1"/>
  <c r="C1121" i="1"/>
  <c r="D1121" i="1"/>
  <c r="C1122" i="1"/>
  <c r="D1122" i="1"/>
  <c r="C1123" i="1"/>
  <c r="D1123" i="1"/>
  <c r="C1124" i="1"/>
  <c r="D1124" i="1"/>
  <c r="C1125" i="1"/>
  <c r="D1125" i="1"/>
  <c r="C1126" i="1"/>
  <c r="D1126" i="1"/>
  <c r="C1127" i="1"/>
  <c r="D1127" i="1"/>
  <c r="C1128" i="1"/>
  <c r="D1128" i="1"/>
  <c r="C1129" i="1"/>
  <c r="D1129" i="1"/>
  <c r="C1130" i="1"/>
  <c r="D1130" i="1"/>
  <c r="C1131" i="1"/>
  <c r="D1131" i="1"/>
  <c r="C1132" i="1"/>
  <c r="D1132" i="1"/>
  <c r="C1133" i="1"/>
  <c r="D1133" i="1"/>
  <c r="C1134" i="1"/>
  <c r="D1134" i="1"/>
  <c r="C1135" i="1"/>
  <c r="D1135" i="1"/>
  <c r="C1136" i="1"/>
  <c r="D1136" i="1"/>
  <c r="C1137" i="1"/>
  <c r="D1137" i="1"/>
  <c r="C1138" i="1"/>
  <c r="D1138" i="1"/>
  <c r="C1139" i="1"/>
  <c r="D1139" i="1"/>
  <c r="C1140" i="1"/>
  <c r="D1140" i="1"/>
  <c r="C1141" i="1"/>
  <c r="D1141" i="1"/>
  <c r="C1142" i="1"/>
  <c r="D1142" i="1"/>
  <c r="C1143" i="1"/>
  <c r="D1143" i="1"/>
  <c r="C1144" i="1"/>
  <c r="D1144" i="1"/>
  <c r="C1145" i="1"/>
  <c r="D1145" i="1"/>
  <c r="C1146" i="1"/>
  <c r="D1146" i="1"/>
  <c r="C1147" i="1"/>
  <c r="D1147" i="1"/>
  <c r="C1148" i="1"/>
  <c r="D1148" i="1"/>
  <c r="C1149" i="1"/>
  <c r="D1149" i="1"/>
  <c r="C1150" i="1"/>
  <c r="D1150" i="1"/>
  <c r="C1151" i="1"/>
  <c r="D1151" i="1"/>
  <c r="C1152" i="1"/>
  <c r="D1152" i="1"/>
  <c r="C1153" i="1"/>
  <c r="D1153" i="1"/>
  <c r="C1154" i="1"/>
  <c r="D1154" i="1"/>
  <c r="C1155" i="1"/>
  <c r="D1155" i="1"/>
  <c r="C1156" i="1"/>
  <c r="D1156" i="1"/>
  <c r="C1157" i="1"/>
  <c r="D1157" i="1"/>
  <c r="C1158" i="1"/>
  <c r="D1158" i="1"/>
  <c r="C1159" i="1"/>
  <c r="D1159" i="1"/>
  <c r="C1160" i="1"/>
  <c r="D1160" i="1"/>
  <c r="C1161" i="1"/>
  <c r="D1161" i="1"/>
  <c r="C1162" i="1"/>
  <c r="D1162" i="1"/>
  <c r="C1163" i="1"/>
  <c r="D1163" i="1"/>
  <c r="C1164" i="1"/>
  <c r="D1164" i="1"/>
  <c r="C1165" i="1"/>
  <c r="D1165" i="1"/>
  <c r="C1166" i="1"/>
  <c r="D1166" i="1"/>
  <c r="C1167" i="1"/>
  <c r="D1167" i="1"/>
  <c r="C1168" i="1"/>
  <c r="D1168" i="1"/>
  <c r="C1169" i="1"/>
  <c r="D1169" i="1"/>
  <c r="C1170" i="1"/>
  <c r="D1170" i="1"/>
  <c r="C1171" i="1"/>
  <c r="D1171" i="1"/>
  <c r="C1172" i="1"/>
  <c r="D1172" i="1"/>
  <c r="C1173" i="1"/>
  <c r="D1173" i="1"/>
  <c r="C1174" i="1"/>
  <c r="D1174" i="1"/>
  <c r="C1175" i="1"/>
  <c r="D1175" i="1"/>
  <c r="C1176" i="1"/>
  <c r="D1176" i="1"/>
  <c r="C1177" i="1"/>
  <c r="D1177" i="1"/>
  <c r="C1178" i="1"/>
  <c r="D1178" i="1"/>
  <c r="C1179" i="1"/>
  <c r="D1179" i="1"/>
  <c r="C1180" i="1"/>
  <c r="D1180" i="1"/>
  <c r="C1181" i="1"/>
  <c r="D1181" i="1"/>
  <c r="C1182" i="1"/>
  <c r="D1182" i="1"/>
  <c r="C1183" i="1"/>
  <c r="D1183" i="1"/>
  <c r="C1184" i="1"/>
  <c r="D1184" i="1"/>
  <c r="C1185" i="1"/>
  <c r="D1185" i="1"/>
  <c r="C1186" i="1"/>
  <c r="D1186" i="1"/>
  <c r="C1187" i="1"/>
  <c r="D1187" i="1"/>
  <c r="C1188" i="1"/>
  <c r="D1188" i="1"/>
  <c r="C1189" i="1"/>
  <c r="D1189" i="1"/>
  <c r="C1190" i="1"/>
  <c r="D1190" i="1"/>
  <c r="C1191" i="1"/>
  <c r="D1191" i="1"/>
  <c r="C1192" i="1"/>
  <c r="D1192" i="1"/>
  <c r="C1193" i="1"/>
  <c r="D1193" i="1"/>
  <c r="C1194" i="1"/>
  <c r="D1194" i="1"/>
  <c r="C1195" i="1"/>
  <c r="D1195" i="1"/>
  <c r="C1196" i="1"/>
  <c r="D1196" i="1"/>
  <c r="C1197" i="1"/>
  <c r="D1197" i="1"/>
  <c r="C1198" i="1"/>
  <c r="D1198" i="1"/>
  <c r="C1199" i="1"/>
  <c r="D1199" i="1"/>
  <c r="C1200" i="1"/>
  <c r="D1200" i="1"/>
  <c r="C1201" i="1"/>
  <c r="D1201" i="1"/>
  <c r="C1202" i="1"/>
  <c r="D1202" i="1"/>
  <c r="C1203" i="1"/>
  <c r="D1203" i="1"/>
  <c r="C1204" i="1"/>
  <c r="D1204" i="1"/>
  <c r="C1205" i="1"/>
  <c r="D1205" i="1"/>
  <c r="C1206" i="1"/>
  <c r="D1206" i="1"/>
  <c r="C1207" i="1"/>
  <c r="D1207" i="1"/>
  <c r="C1208" i="1"/>
  <c r="D1208" i="1"/>
  <c r="C1209" i="1"/>
  <c r="D1209" i="1"/>
  <c r="C1210" i="1"/>
  <c r="D1210" i="1"/>
  <c r="C1211" i="1"/>
  <c r="D1211" i="1"/>
  <c r="C1212" i="1"/>
  <c r="D1212" i="1"/>
  <c r="C1213" i="1"/>
  <c r="D1213" i="1"/>
  <c r="C1214" i="1"/>
  <c r="D1214" i="1"/>
  <c r="C1215" i="1"/>
  <c r="D1215" i="1"/>
  <c r="C1216" i="1"/>
  <c r="D1216" i="1"/>
  <c r="C1217" i="1"/>
  <c r="D1217" i="1"/>
  <c r="C1218" i="1"/>
  <c r="D1218" i="1"/>
  <c r="C1219" i="1"/>
  <c r="D1219" i="1"/>
  <c r="C1220" i="1"/>
  <c r="D1220" i="1"/>
  <c r="C1221" i="1"/>
  <c r="D1221" i="1"/>
  <c r="C1222" i="1"/>
  <c r="D1222" i="1"/>
  <c r="C1223" i="1"/>
  <c r="D1223" i="1"/>
  <c r="C1224" i="1"/>
  <c r="D1224" i="1"/>
  <c r="C1225" i="1"/>
  <c r="D1225" i="1"/>
  <c r="C1226" i="1"/>
  <c r="D1226" i="1"/>
  <c r="C1227" i="1"/>
  <c r="D1227" i="1"/>
  <c r="C1228" i="1"/>
  <c r="D1228" i="1"/>
  <c r="C1229" i="1"/>
  <c r="D1229" i="1"/>
  <c r="C1230" i="1"/>
  <c r="D1230" i="1"/>
  <c r="C1231" i="1"/>
  <c r="D1231" i="1"/>
  <c r="C1232" i="1"/>
  <c r="D1232" i="1"/>
  <c r="C1233" i="1"/>
  <c r="D1233" i="1"/>
  <c r="C1234" i="1"/>
  <c r="D1234" i="1"/>
  <c r="C1235" i="1"/>
  <c r="D1235" i="1"/>
  <c r="C1236" i="1"/>
  <c r="D1236" i="1"/>
  <c r="C1237" i="1"/>
  <c r="D1237" i="1"/>
  <c r="C1238" i="1"/>
  <c r="D1238" i="1"/>
  <c r="C1239" i="1"/>
  <c r="D1239" i="1"/>
  <c r="C1240" i="1"/>
  <c r="D1240" i="1"/>
  <c r="C1241" i="1"/>
  <c r="D1241" i="1"/>
  <c r="C1242" i="1"/>
  <c r="D1242" i="1"/>
  <c r="C1243" i="1"/>
  <c r="D1243" i="1"/>
  <c r="C1244" i="1"/>
  <c r="D1244" i="1"/>
  <c r="C1245" i="1"/>
  <c r="D1245" i="1"/>
  <c r="C1246" i="1"/>
  <c r="D1246" i="1"/>
  <c r="C1247" i="1"/>
  <c r="D1247" i="1"/>
  <c r="C1248" i="1"/>
  <c r="D1248" i="1"/>
  <c r="C1249" i="1"/>
  <c r="D1249" i="1"/>
  <c r="C1250" i="1"/>
  <c r="D1250" i="1"/>
  <c r="C1251" i="1"/>
  <c r="D1251" i="1"/>
  <c r="C1252" i="1"/>
  <c r="D1252" i="1"/>
  <c r="C1253" i="1"/>
  <c r="D1253" i="1"/>
  <c r="C1254" i="1"/>
  <c r="D1254" i="1"/>
  <c r="C1255" i="1"/>
  <c r="D1255" i="1"/>
  <c r="C1256" i="1"/>
  <c r="D1256" i="1"/>
  <c r="C1257" i="1"/>
  <c r="D1257" i="1"/>
  <c r="C1258" i="1"/>
  <c r="D1258" i="1"/>
  <c r="C1259" i="1"/>
  <c r="D1259" i="1"/>
  <c r="C1260" i="1"/>
  <c r="D1260" i="1"/>
  <c r="C1261" i="1"/>
  <c r="D1261" i="1"/>
  <c r="C1262" i="1"/>
  <c r="D1262" i="1"/>
  <c r="C1263" i="1"/>
  <c r="D1263" i="1"/>
  <c r="C1264" i="1"/>
  <c r="D1264" i="1"/>
  <c r="C1265" i="1"/>
  <c r="D1265" i="1"/>
  <c r="C1266" i="1"/>
  <c r="D1266" i="1"/>
  <c r="C1267" i="1"/>
  <c r="D1267" i="1"/>
  <c r="C1268" i="1"/>
  <c r="D1268" i="1"/>
  <c r="C1269" i="1"/>
  <c r="D1269" i="1"/>
  <c r="C1270" i="1"/>
  <c r="D1270" i="1"/>
  <c r="C1271" i="1"/>
  <c r="D1271" i="1"/>
  <c r="C1272" i="1"/>
  <c r="D1272" i="1"/>
  <c r="C1273" i="1"/>
  <c r="D1273" i="1"/>
  <c r="C1274" i="1"/>
  <c r="D1274" i="1"/>
  <c r="C1275" i="1"/>
  <c r="D1275" i="1"/>
  <c r="C1276" i="1"/>
  <c r="D1276" i="1"/>
  <c r="C1277" i="1"/>
  <c r="D1277" i="1"/>
  <c r="C1278" i="1"/>
  <c r="D1278" i="1"/>
  <c r="C1279" i="1"/>
  <c r="D1279" i="1"/>
  <c r="C1280" i="1"/>
  <c r="D1280" i="1"/>
  <c r="C1281" i="1"/>
  <c r="D1281" i="1"/>
  <c r="C1282" i="1"/>
  <c r="D1282" i="1"/>
  <c r="C1283" i="1"/>
  <c r="D1283" i="1"/>
  <c r="C1284" i="1"/>
  <c r="D1284" i="1"/>
  <c r="C1285" i="1"/>
  <c r="D1285" i="1"/>
  <c r="C1286" i="1"/>
  <c r="D1286" i="1"/>
  <c r="C1287" i="1"/>
  <c r="D1287" i="1"/>
  <c r="C1288" i="1"/>
  <c r="D1288" i="1"/>
  <c r="C1289" i="1"/>
  <c r="D1289" i="1"/>
  <c r="C1290" i="1"/>
  <c r="D1290" i="1"/>
  <c r="C1291" i="1"/>
  <c r="D1291" i="1"/>
  <c r="C1292" i="1"/>
  <c r="D1292" i="1"/>
  <c r="C1293" i="1"/>
  <c r="D1293" i="1"/>
  <c r="C1294" i="1"/>
  <c r="D1294" i="1"/>
  <c r="C1295" i="1"/>
  <c r="D1295" i="1"/>
  <c r="C1296" i="1"/>
  <c r="D1296" i="1"/>
  <c r="C1297" i="1"/>
  <c r="D1297" i="1"/>
  <c r="C1298" i="1"/>
  <c r="D1298" i="1"/>
  <c r="C1299" i="1"/>
  <c r="D1299" i="1"/>
  <c r="C1300" i="1"/>
  <c r="D1300" i="1"/>
  <c r="C1301" i="1"/>
  <c r="D1301" i="1"/>
  <c r="C1302" i="1"/>
  <c r="D1302" i="1"/>
  <c r="C1303" i="1"/>
  <c r="D1303" i="1"/>
  <c r="C1304" i="1"/>
  <c r="D1304" i="1"/>
  <c r="C1305" i="1"/>
  <c r="D1305" i="1"/>
  <c r="C1306" i="1"/>
  <c r="D1306" i="1"/>
  <c r="C1307" i="1"/>
  <c r="D1307" i="1"/>
  <c r="C1308" i="1"/>
  <c r="D1308" i="1"/>
  <c r="C1309" i="1"/>
  <c r="D1309" i="1"/>
  <c r="C1310" i="1"/>
  <c r="D1310" i="1"/>
  <c r="C1311" i="1"/>
  <c r="D1311" i="1"/>
  <c r="C1312" i="1"/>
  <c r="D1312" i="1"/>
  <c r="C1313" i="1"/>
  <c r="D1313" i="1"/>
  <c r="C1314" i="1"/>
  <c r="D1314" i="1"/>
  <c r="C1315" i="1"/>
  <c r="D1315" i="1"/>
  <c r="C1316" i="1"/>
  <c r="D1316" i="1"/>
  <c r="C1317" i="1"/>
  <c r="D1317" i="1"/>
  <c r="C1318" i="1"/>
  <c r="D1318" i="1"/>
  <c r="C1319" i="1"/>
  <c r="D1319" i="1"/>
  <c r="C1320" i="1"/>
  <c r="D1320" i="1"/>
  <c r="C1321" i="1"/>
  <c r="D1321" i="1"/>
  <c r="C1322" i="1"/>
  <c r="D1322" i="1"/>
  <c r="C1323" i="1"/>
  <c r="D1323" i="1"/>
  <c r="C1324" i="1"/>
  <c r="D1324" i="1"/>
  <c r="C1325" i="1"/>
  <c r="D1325" i="1"/>
  <c r="C1326" i="1"/>
  <c r="D1326" i="1"/>
  <c r="C1327" i="1"/>
  <c r="D1327" i="1"/>
  <c r="C1328" i="1"/>
  <c r="D1328" i="1"/>
  <c r="C1329" i="1"/>
  <c r="D1329" i="1"/>
  <c r="C1330" i="1"/>
  <c r="D1330" i="1"/>
  <c r="C1331" i="1"/>
  <c r="D1331" i="1"/>
  <c r="C1332" i="1"/>
  <c r="D1332" i="1"/>
  <c r="C1333" i="1"/>
  <c r="D1333" i="1"/>
  <c r="C1334" i="1"/>
  <c r="D1334" i="1"/>
  <c r="C1335" i="1"/>
  <c r="D1335" i="1"/>
  <c r="C1336" i="1"/>
  <c r="D1336" i="1"/>
  <c r="C1337" i="1"/>
  <c r="D1337" i="1"/>
  <c r="C1338" i="1"/>
  <c r="D1338" i="1"/>
  <c r="C1339" i="1"/>
  <c r="D1339" i="1"/>
  <c r="C1340" i="1"/>
  <c r="D1340" i="1"/>
  <c r="C1341" i="1"/>
  <c r="D1341" i="1"/>
  <c r="C1342" i="1"/>
  <c r="D1342" i="1"/>
  <c r="C1343" i="1"/>
  <c r="D1343" i="1"/>
  <c r="C1344" i="1"/>
  <c r="D1344" i="1"/>
  <c r="C1345" i="1"/>
  <c r="D1345" i="1"/>
  <c r="C1346" i="1"/>
  <c r="D1346" i="1"/>
  <c r="C1347" i="1"/>
  <c r="D1347" i="1"/>
  <c r="C1348" i="1"/>
  <c r="D1348" i="1"/>
  <c r="C1349" i="1"/>
  <c r="D1349" i="1"/>
  <c r="C1350" i="1"/>
  <c r="D1350" i="1"/>
  <c r="C1351" i="1"/>
  <c r="D1351" i="1"/>
  <c r="C1352" i="1"/>
  <c r="D1352" i="1"/>
  <c r="C1353" i="1"/>
  <c r="D1353" i="1"/>
  <c r="C1354" i="1"/>
  <c r="D1354" i="1"/>
  <c r="C1355" i="1"/>
  <c r="D1355" i="1"/>
  <c r="C1356" i="1"/>
  <c r="D1356" i="1"/>
  <c r="C1357" i="1"/>
  <c r="D1357" i="1"/>
  <c r="C1358" i="1"/>
  <c r="D1358" i="1"/>
  <c r="C1359" i="1"/>
  <c r="D1359" i="1"/>
  <c r="C1360" i="1"/>
  <c r="D1360" i="1"/>
  <c r="C1361" i="1"/>
  <c r="D1361" i="1"/>
  <c r="C1362" i="1"/>
  <c r="D1362" i="1"/>
  <c r="C1363" i="1"/>
  <c r="D1363" i="1"/>
  <c r="C1364" i="1"/>
  <c r="D1364" i="1"/>
  <c r="C1365" i="1"/>
  <c r="D1365" i="1"/>
  <c r="C1366" i="1"/>
  <c r="D1366" i="1"/>
  <c r="C1367" i="1"/>
  <c r="D1367" i="1"/>
  <c r="C1368" i="1"/>
  <c r="D1368" i="1"/>
  <c r="C1369" i="1"/>
  <c r="D1369" i="1"/>
  <c r="C1370" i="1"/>
  <c r="D1370" i="1"/>
  <c r="C1371" i="1"/>
  <c r="D1371" i="1"/>
  <c r="C1372" i="1"/>
  <c r="D1372" i="1"/>
  <c r="C1373" i="1"/>
  <c r="D1373" i="1"/>
  <c r="C1374" i="1"/>
  <c r="D1374" i="1"/>
  <c r="C1375" i="1"/>
  <c r="D1375" i="1"/>
  <c r="C1376" i="1"/>
  <c r="D1376" i="1"/>
  <c r="C1377" i="1"/>
  <c r="D1377" i="1"/>
  <c r="C1378" i="1"/>
  <c r="D1378" i="1"/>
  <c r="C1379" i="1"/>
  <c r="D1379" i="1"/>
  <c r="C1380" i="1"/>
  <c r="D1380" i="1"/>
  <c r="C1381" i="1"/>
  <c r="D1381" i="1"/>
  <c r="C1382" i="1"/>
  <c r="D1382" i="1"/>
  <c r="C1383" i="1"/>
  <c r="D1383" i="1"/>
  <c r="C1384" i="1"/>
  <c r="D1384" i="1"/>
  <c r="C1385" i="1"/>
  <c r="D1385" i="1"/>
  <c r="C1386" i="1"/>
  <c r="D1386" i="1"/>
  <c r="C1387" i="1"/>
  <c r="D1387" i="1"/>
  <c r="C1388" i="1"/>
  <c r="D1388" i="1"/>
  <c r="C1389" i="1"/>
  <c r="D1389" i="1"/>
  <c r="C1390" i="1"/>
  <c r="D1390" i="1"/>
  <c r="C1391" i="1"/>
  <c r="D1391" i="1"/>
  <c r="C1392" i="1"/>
  <c r="D1392" i="1"/>
  <c r="C1393" i="1"/>
  <c r="D1393" i="1"/>
  <c r="C1394" i="1"/>
  <c r="D1394" i="1"/>
  <c r="C1395" i="1"/>
  <c r="D1395" i="1"/>
  <c r="C1396" i="1"/>
  <c r="D1396" i="1"/>
  <c r="C1397" i="1"/>
  <c r="D1397" i="1"/>
  <c r="C1398" i="1"/>
  <c r="D1398" i="1"/>
  <c r="C1399" i="1"/>
  <c r="D1399" i="1"/>
  <c r="C1400" i="1"/>
  <c r="D1400" i="1"/>
  <c r="C1401" i="1"/>
  <c r="D1401" i="1"/>
  <c r="C1402" i="1"/>
  <c r="D1402" i="1"/>
  <c r="C1403" i="1"/>
  <c r="D1403" i="1"/>
  <c r="C1404" i="1"/>
  <c r="D1404" i="1"/>
  <c r="C1405" i="1"/>
  <c r="D1405" i="1"/>
  <c r="C1406" i="1"/>
  <c r="D1406" i="1"/>
  <c r="C1407" i="1"/>
  <c r="D1407" i="1"/>
  <c r="C1408" i="1"/>
  <c r="D1408" i="1"/>
  <c r="C1409" i="1"/>
  <c r="D1409" i="1"/>
  <c r="C1410" i="1"/>
  <c r="D1410" i="1"/>
  <c r="C1411" i="1"/>
  <c r="D1411" i="1"/>
  <c r="C1412" i="1"/>
  <c r="D1412" i="1"/>
  <c r="C1413" i="1"/>
  <c r="D1413" i="1"/>
  <c r="C1414" i="1"/>
  <c r="D1414" i="1"/>
  <c r="C1415" i="1"/>
  <c r="D1415" i="1"/>
  <c r="C1416" i="1"/>
  <c r="D1416" i="1"/>
  <c r="C1417" i="1"/>
  <c r="D1417" i="1"/>
  <c r="C1418" i="1"/>
  <c r="D1418" i="1"/>
  <c r="C1419" i="1"/>
  <c r="D1419" i="1"/>
  <c r="C1420" i="1"/>
  <c r="D1420" i="1"/>
  <c r="C1421" i="1"/>
  <c r="D1421" i="1"/>
  <c r="C1422" i="1"/>
  <c r="D1422" i="1"/>
  <c r="C1423" i="1"/>
  <c r="D1423" i="1"/>
  <c r="C1424" i="1"/>
  <c r="D1424" i="1"/>
  <c r="C1425" i="1"/>
  <c r="D1425" i="1"/>
  <c r="C1426" i="1"/>
  <c r="D1426" i="1"/>
  <c r="C1427" i="1"/>
  <c r="D1427" i="1"/>
  <c r="C1428" i="1"/>
  <c r="D1428" i="1"/>
  <c r="C1429" i="1"/>
  <c r="D1429" i="1"/>
  <c r="C1430" i="1"/>
  <c r="D1430" i="1"/>
  <c r="C1431" i="1"/>
  <c r="D1431" i="1"/>
  <c r="C1432" i="1"/>
  <c r="D1432" i="1"/>
  <c r="C1433" i="1"/>
  <c r="D1433" i="1"/>
  <c r="C1434" i="1"/>
  <c r="D1434" i="1"/>
  <c r="C1435" i="1"/>
  <c r="D1435" i="1"/>
  <c r="C1436" i="1"/>
  <c r="D1436" i="1"/>
  <c r="C1437" i="1"/>
  <c r="D1437" i="1"/>
  <c r="C1438" i="1"/>
  <c r="D1438" i="1"/>
  <c r="C1439" i="1"/>
  <c r="D1439" i="1"/>
  <c r="C1440" i="1"/>
  <c r="D1440" i="1"/>
  <c r="C1441" i="1"/>
  <c r="D1441" i="1"/>
  <c r="C1442" i="1"/>
  <c r="D1442" i="1"/>
  <c r="C1443" i="1"/>
  <c r="D1443" i="1"/>
  <c r="C1444" i="1"/>
  <c r="D1444" i="1"/>
  <c r="C1445" i="1"/>
  <c r="D1445" i="1"/>
  <c r="C1446" i="1"/>
  <c r="D1446" i="1"/>
  <c r="C1447" i="1"/>
  <c r="D1447" i="1"/>
  <c r="C1448" i="1"/>
  <c r="D1448" i="1"/>
  <c r="C1449" i="1"/>
  <c r="D1449" i="1"/>
  <c r="C1450" i="1"/>
  <c r="D1450" i="1"/>
  <c r="C1451" i="1"/>
  <c r="D1451" i="1"/>
  <c r="C1452" i="1"/>
  <c r="D1452" i="1"/>
  <c r="C1453" i="1"/>
  <c r="D1453" i="1"/>
  <c r="C1454" i="1"/>
  <c r="D1454" i="1"/>
  <c r="C1455" i="1"/>
  <c r="D1455" i="1"/>
  <c r="C1456" i="1"/>
  <c r="D1456" i="1"/>
  <c r="C1457" i="1"/>
  <c r="D1457" i="1"/>
  <c r="C1458" i="1"/>
  <c r="D1458" i="1"/>
  <c r="C1459" i="1"/>
  <c r="D1459" i="1"/>
  <c r="C1460" i="1"/>
  <c r="D1460" i="1"/>
  <c r="C1461" i="1"/>
  <c r="D1461" i="1"/>
  <c r="C1462" i="1"/>
  <c r="D1462" i="1"/>
  <c r="C1463" i="1"/>
  <c r="D1463" i="1"/>
  <c r="C1464" i="1"/>
  <c r="D1464" i="1"/>
  <c r="C1465" i="1"/>
  <c r="D1465" i="1"/>
  <c r="C1466" i="1"/>
  <c r="D1466" i="1"/>
  <c r="C1467" i="1"/>
  <c r="D1467" i="1"/>
  <c r="C1468" i="1"/>
  <c r="D1468" i="1"/>
  <c r="C1469" i="1"/>
  <c r="D1469" i="1"/>
  <c r="C1470" i="1"/>
  <c r="D1470" i="1"/>
  <c r="C1471" i="1"/>
  <c r="D1471" i="1"/>
  <c r="C1472" i="1"/>
  <c r="D1472" i="1"/>
  <c r="C1473" i="1"/>
  <c r="D1473" i="1"/>
  <c r="C1474" i="1"/>
  <c r="D1474" i="1"/>
  <c r="C1475" i="1"/>
  <c r="D1475" i="1"/>
  <c r="C1476" i="1"/>
  <c r="D1476" i="1"/>
  <c r="C1477" i="1"/>
  <c r="D1477" i="1"/>
  <c r="C1478" i="1"/>
  <c r="D1478" i="1"/>
  <c r="C1479" i="1"/>
  <c r="D1479" i="1"/>
  <c r="C1480" i="1"/>
  <c r="D1480" i="1"/>
  <c r="C1481" i="1"/>
  <c r="D1481" i="1"/>
  <c r="C1482" i="1"/>
  <c r="D1482" i="1"/>
  <c r="C1483" i="1"/>
  <c r="D1483" i="1"/>
  <c r="C1484" i="1"/>
  <c r="D1484" i="1"/>
  <c r="C1485" i="1"/>
  <c r="D1485" i="1"/>
  <c r="C1486" i="1"/>
  <c r="D1486" i="1"/>
  <c r="C1487" i="1"/>
  <c r="D1487" i="1"/>
  <c r="C1488" i="1"/>
  <c r="D1488" i="1"/>
  <c r="C1489" i="1"/>
  <c r="D1489" i="1"/>
  <c r="C1490" i="1"/>
  <c r="D1490" i="1"/>
  <c r="C1491" i="1"/>
  <c r="D1491" i="1"/>
  <c r="C1492" i="1"/>
  <c r="D1492" i="1"/>
  <c r="C1493" i="1"/>
  <c r="D1493" i="1"/>
  <c r="C1494" i="1"/>
  <c r="D1494" i="1"/>
  <c r="C1495" i="1"/>
  <c r="D1495" i="1"/>
  <c r="C1496" i="1"/>
  <c r="D1496" i="1"/>
  <c r="C1497" i="1"/>
  <c r="D1497" i="1"/>
  <c r="C1498" i="1"/>
  <c r="D1498" i="1"/>
  <c r="C1499" i="1"/>
  <c r="D1499" i="1"/>
  <c r="C1500" i="1"/>
  <c r="D1500" i="1"/>
  <c r="C1501" i="1"/>
  <c r="D1501" i="1"/>
  <c r="C1502" i="1"/>
  <c r="D1502" i="1"/>
  <c r="C1503" i="1"/>
  <c r="D1503" i="1"/>
  <c r="C1504" i="1"/>
  <c r="D1504" i="1"/>
  <c r="C1505" i="1"/>
  <c r="D1505" i="1"/>
  <c r="C1506" i="1"/>
  <c r="D1506" i="1"/>
  <c r="C1507" i="1"/>
  <c r="D1507" i="1"/>
  <c r="C1508" i="1"/>
  <c r="D1508" i="1"/>
  <c r="C1509" i="1"/>
  <c r="D1509" i="1"/>
  <c r="C1510" i="1"/>
  <c r="D1510" i="1"/>
  <c r="C1511" i="1"/>
  <c r="D1511" i="1"/>
  <c r="C1512" i="1"/>
  <c r="D1512" i="1"/>
  <c r="C1513" i="1"/>
  <c r="D1513" i="1"/>
  <c r="C1514" i="1"/>
  <c r="D1514" i="1"/>
  <c r="C1515" i="1"/>
  <c r="D1515" i="1"/>
  <c r="C1516" i="1"/>
  <c r="D1516" i="1"/>
  <c r="C1517" i="1"/>
  <c r="D1517" i="1"/>
  <c r="C1518" i="1"/>
  <c r="D1518" i="1"/>
  <c r="C1519" i="1"/>
  <c r="D1519" i="1"/>
  <c r="C1520" i="1"/>
  <c r="D1520" i="1"/>
  <c r="C1521" i="1"/>
  <c r="D1521" i="1"/>
  <c r="C1522" i="1"/>
  <c r="D1522" i="1"/>
  <c r="C1523" i="1"/>
  <c r="D1523" i="1"/>
  <c r="C1524" i="1"/>
  <c r="D1524" i="1"/>
  <c r="C1525" i="1"/>
  <c r="D1525" i="1"/>
  <c r="C1526" i="1"/>
  <c r="D1526" i="1"/>
  <c r="C1527" i="1"/>
  <c r="D1527" i="1"/>
  <c r="C1528" i="1"/>
  <c r="D1528" i="1"/>
  <c r="C1529" i="1"/>
  <c r="D1529" i="1"/>
  <c r="C1530" i="1"/>
  <c r="D1530" i="1"/>
  <c r="C1531" i="1"/>
  <c r="D1531" i="1"/>
  <c r="C1532" i="1"/>
  <c r="D1532" i="1"/>
  <c r="C1533" i="1"/>
  <c r="D1533" i="1"/>
  <c r="C1534" i="1"/>
  <c r="D1534" i="1"/>
  <c r="C1535" i="1"/>
  <c r="D1535" i="1"/>
  <c r="C1536" i="1"/>
  <c r="D1536" i="1"/>
  <c r="C1537" i="1"/>
  <c r="D1537" i="1"/>
  <c r="C1538" i="1"/>
  <c r="D1538" i="1"/>
  <c r="C1539" i="1"/>
  <c r="D1539" i="1"/>
  <c r="C1540" i="1"/>
  <c r="D1540" i="1"/>
  <c r="C1541" i="1"/>
  <c r="D1541" i="1"/>
  <c r="C1542" i="1"/>
  <c r="D1542" i="1"/>
  <c r="C1543" i="1"/>
  <c r="D1543" i="1"/>
  <c r="C1544" i="1"/>
  <c r="D1544" i="1"/>
  <c r="C1545" i="1"/>
  <c r="D1545" i="1"/>
  <c r="C1546" i="1"/>
  <c r="D1546" i="1"/>
  <c r="C1547" i="1"/>
  <c r="D1547" i="1"/>
  <c r="C1548" i="1"/>
  <c r="D1548" i="1"/>
  <c r="C1549" i="1"/>
  <c r="D1549" i="1"/>
  <c r="C1550" i="1"/>
  <c r="D1550" i="1"/>
  <c r="C1551" i="1"/>
  <c r="D1551" i="1"/>
  <c r="C1552" i="1"/>
  <c r="D1552" i="1"/>
  <c r="C1553" i="1"/>
  <c r="D1553" i="1"/>
  <c r="C1554" i="1"/>
  <c r="D1554" i="1"/>
  <c r="C1555" i="1"/>
  <c r="D1555" i="1"/>
  <c r="C1556" i="1"/>
  <c r="D1556" i="1"/>
  <c r="C1557" i="1"/>
  <c r="D1557" i="1"/>
  <c r="C1558" i="1"/>
  <c r="D1558" i="1"/>
  <c r="C1559" i="1"/>
  <c r="D1559" i="1"/>
  <c r="C1560" i="1"/>
  <c r="D1560" i="1"/>
  <c r="C1561" i="1"/>
  <c r="D1561" i="1"/>
  <c r="C1562" i="1"/>
  <c r="D1562" i="1"/>
  <c r="C1563" i="1"/>
  <c r="D1563" i="1"/>
  <c r="C1564" i="1"/>
  <c r="D1564" i="1"/>
  <c r="C1565" i="1"/>
  <c r="D1565" i="1"/>
  <c r="C1566" i="1"/>
  <c r="D1566" i="1"/>
  <c r="C1567" i="1"/>
  <c r="D1567" i="1"/>
  <c r="C1568" i="1"/>
  <c r="D1568" i="1"/>
  <c r="C1569" i="1"/>
  <c r="D1569" i="1"/>
  <c r="C1570" i="1"/>
  <c r="D1570" i="1"/>
  <c r="C1571" i="1"/>
  <c r="D1571" i="1"/>
  <c r="C1572" i="1"/>
  <c r="D1572" i="1"/>
  <c r="C1573" i="1"/>
  <c r="D1573" i="1"/>
  <c r="C1574" i="1"/>
  <c r="D1574" i="1"/>
  <c r="C1575" i="1"/>
  <c r="D1575" i="1"/>
  <c r="C1576" i="1"/>
  <c r="D1576" i="1"/>
  <c r="C1577" i="1"/>
  <c r="D1577" i="1"/>
  <c r="C1578" i="1"/>
  <c r="D1578" i="1"/>
  <c r="C1579" i="1"/>
  <c r="D1579" i="1"/>
  <c r="C1580" i="1"/>
  <c r="D1580" i="1"/>
  <c r="C1581" i="1"/>
  <c r="D1581" i="1"/>
  <c r="C1582" i="1"/>
  <c r="D1582" i="1"/>
  <c r="C1583" i="1"/>
  <c r="D1583" i="1"/>
  <c r="C1584" i="1"/>
  <c r="D1584" i="1"/>
  <c r="C1585" i="1"/>
  <c r="D1585" i="1"/>
  <c r="C1586" i="1"/>
  <c r="D1586" i="1"/>
  <c r="C1587" i="1"/>
  <c r="D1587" i="1"/>
  <c r="C1588" i="1"/>
  <c r="D1588" i="1"/>
  <c r="C1589" i="1"/>
  <c r="D1589" i="1"/>
  <c r="C1590" i="1"/>
  <c r="D1590" i="1"/>
  <c r="C1591" i="1"/>
  <c r="D1591" i="1"/>
  <c r="C1592" i="1"/>
  <c r="D1592" i="1"/>
  <c r="C1593" i="1"/>
  <c r="D1593" i="1"/>
  <c r="C1594" i="1"/>
  <c r="D1594" i="1"/>
  <c r="C1595" i="1"/>
  <c r="D1595" i="1"/>
  <c r="C1596" i="1"/>
  <c r="D1596" i="1"/>
  <c r="C1597" i="1"/>
  <c r="D1597" i="1"/>
  <c r="C1598" i="1"/>
  <c r="D1598" i="1"/>
  <c r="C1599" i="1"/>
  <c r="D1599" i="1"/>
  <c r="C1600" i="1"/>
  <c r="D1600" i="1"/>
  <c r="C1601" i="1"/>
  <c r="D1601" i="1"/>
  <c r="C1602" i="1"/>
  <c r="D1602" i="1"/>
  <c r="C1603" i="1"/>
  <c r="D1603" i="1"/>
  <c r="C1604" i="1"/>
  <c r="D1604" i="1"/>
  <c r="C1605" i="1"/>
  <c r="D1605" i="1"/>
  <c r="C1606" i="1"/>
  <c r="D1606" i="1"/>
  <c r="C1607" i="1"/>
  <c r="D1607" i="1"/>
  <c r="C1608" i="1"/>
  <c r="D1608" i="1"/>
  <c r="C1609" i="1"/>
  <c r="D1609" i="1"/>
  <c r="C1610" i="1"/>
  <c r="D1610" i="1"/>
  <c r="C1611" i="1"/>
  <c r="D1611" i="1"/>
  <c r="C1612" i="1"/>
  <c r="D1612" i="1"/>
  <c r="C1613" i="1"/>
  <c r="D1613" i="1"/>
  <c r="C1614" i="1"/>
  <c r="D1614" i="1"/>
  <c r="C1615" i="1"/>
  <c r="D1615" i="1"/>
  <c r="C1616" i="1"/>
  <c r="D1616" i="1"/>
  <c r="C1617" i="1"/>
  <c r="D1617" i="1"/>
  <c r="C1618" i="1"/>
  <c r="D1618" i="1"/>
  <c r="C1619" i="1"/>
  <c r="D1619" i="1"/>
  <c r="C1620" i="1"/>
  <c r="D1620" i="1"/>
  <c r="C1621" i="1"/>
  <c r="D1621" i="1"/>
  <c r="C1622" i="1"/>
  <c r="D1622" i="1"/>
  <c r="C1623" i="1"/>
  <c r="D1623" i="1"/>
  <c r="C1624" i="1"/>
  <c r="D1624" i="1"/>
  <c r="C1625" i="1"/>
  <c r="D1625" i="1"/>
  <c r="C1626" i="1"/>
  <c r="D1626" i="1"/>
  <c r="C1627" i="1"/>
  <c r="D1627" i="1"/>
  <c r="C1628" i="1"/>
  <c r="D1628" i="1"/>
  <c r="C1629" i="1"/>
  <c r="D1629" i="1"/>
  <c r="C1630" i="1"/>
  <c r="D1630" i="1"/>
  <c r="C1631" i="1"/>
  <c r="D1631" i="1"/>
  <c r="C1632" i="1"/>
  <c r="D1632" i="1"/>
  <c r="C1633" i="1"/>
  <c r="D1633" i="1"/>
  <c r="C1634" i="1"/>
  <c r="D1634" i="1"/>
  <c r="C1635" i="1"/>
  <c r="D1635" i="1"/>
  <c r="C1636" i="1"/>
  <c r="D1636" i="1"/>
  <c r="C1637" i="1"/>
  <c r="D1637" i="1"/>
  <c r="C1638" i="1"/>
  <c r="D1638" i="1"/>
  <c r="C1639" i="1"/>
  <c r="D1639" i="1"/>
  <c r="C1640" i="1"/>
  <c r="D1640" i="1"/>
  <c r="C1641" i="1"/>
  <c r="D1641" i="1"/>
  <c r="C1642" i="1"/>
  <c r="D1642" i="1"/>
  <c r="C1643" i="1"/>
  <c r="D1643" i="1"/>
  <c r="C1644" i="1"/>
  <c r="D1644" i="1"/>
  <c r="C1645" i="1"/>
  <c r="D1645" i="1"/>
  <c r="C1646" i="1"/>
  <c r="D1646" i="1"/>
  <c r="C1647" i="1"/>
  <c r="D1647" i="1"/>
  <c r="C1648" i="1"/>
  <c r="D1648" i="1"/>
  <c r="C1649" i="1"/>
  <c r="D1649" i="1"/>
  <c r="C1650" i="1"/>
  <c r="D1650" i="1"/>
  <c r="C1651" i="1"/>
  <c r="D1651" i="1"/>
  <c r="C1652" i="1"/>
  <c r="D1652" i="1"/>
  <c r="C1653" i="1"/>
  <c r="D1653" i="1"/>
  <c r="C1654" i="1"/>
  <c r="D1654" i="1"/>
  <c r="C1655" i="1"/>
  <c r="D1655" i="1"/>
  <c r="C1656" i="1"/>
  <c r="D1656" i="1"/>
  <c r="C1657" i="1"/>
  <c r="D1657" i="1"/>
  <c r="C1658" i="1"/>
  <c r="D1658" i="1"/>
  <c r="C1659" i="1"/>
  <c r="D1659" i="1"/>
  <c r="C1660" i="1"/>
  <c r="D1660" i="1"/>
  <c r="C1661" i="1"/>
  <c r="D1661" i="1"/>
  <c r="C1662" i="1"/>
  <c r="D1662" i="1"/>
  <c r="C1663" i="1"/>
  <c r="D1663" i="1"/>
  <c r="C1664" i="1"/>
  <c r="D1664" i="1"/>
  <c r="C1665" i="1"/>
  <c r="D1665" i="1"/>
  <c r="C1666" i="1"/>
  <c r="D1666" i="1"/>
  <c r="C1667" i="1"/>
  <c r="D1667" i="1"/>
  <c r="C1668" i="1"/>
  <c r="D1668" i="1"/>
  <c r="C1669" i="1"/>
  <c r="D1669" i="1"/>
  <c r="C1670" i="1"/>
  <c r="D1670" i="1"/>
  <c r="C1671" i="1"/>
  <c r="D1671" i="1"/>
  <c r="C1672" i="1"/>
  <c r="D1672" i="1"/>
  <c r="C1673" i="1"/>
  <c r="D1673" i="1"/>
  <c r="C1674" i="1"/>
  <c r="D1674" i="1"/>
  <c r="C1675" i="1"/>
  <c r="D1675" i="1"/>
  <c r="C1676" i="1"/>
  <c r="D1676" i="1"/>
  <c r="C1677" i="1"/>
  <c r="D1677" i="1"/>
  <c r="C1678" i="1"/>
  <c r="D1678" i="1"/>
  <c r="C1679" i="1"/>
  <c r="D1679" i="1"/>
  <c r="C1680" i="1"/>
  <c r="D1680" i="1"/>
  <c r="C1681" i="1"/>
  <c r="D1681" i="1"/>
  <c r="C1682" i="1"/>
  <c r="D1682" i="1"/>
  <c r="C1683" i="1"/>
  <c r="D1683" i="1"/>
  <c r="C1684" i="1"/>
  <c r="D1684" i="1"/>
  <c r="C1685" i="1"/>
  <c r="D1685" i="1"/>
  <c r="C1686" i="1"/>
  <c r="D1686" i="1"/>
  <c r="C1687" i="1"/>
  <c r="D1687" i="1"/>
  <c r="C1688" i="1"/>
  <c r="D1688" i="1"/>
  <c r="C1689" i="1"/>
  <c r="D1689" i="1"/>
  <c r="C1690" i="1"/>
  <c r="D1690" i="1"/>
  <c r="C1691" i="1"/>
  <c r="D1691" i="1"/>
  <c r="C1692" i="1"/>
  <c r="D1692" i="1"/>
  <c r="C1693" i="1"/>
  <c r="D1693" i="1"/>
  <c r="C1694" i="1"/>
  <c r="D1694" i="1"/>
  <c r="C1695" i="1"/>
  <c r="D1695" i="1"/>
  <c r="C1696" i="1"/>
  <c r="D1696" i="1"/>
  <c r="C1697" i="1"/>
  <c r="D1697" i="1"/>
  <c r="C1698" i="1"/>
  <c r="D1698" i="1"/>
  <c r="C1699" i="1"/>
  <c r="D1699" i="1"/>
  <c r="C1700" i="1"/>
  <c r="D1700" i="1"/>
  <c r="C1701" i="1"/>
  <c r="D1701" i="1"/>
  <c r="C1702" i="1"/>
  <c r="D1702" i="1"/>
  <c r="C1703" i="1"/>
  <c r="D1703" i="1"/>
  <c r="C1704" i="1"/>
  <c r="D1704" i="1"/>
  <c r="C1705" i="1"/>
  <c r="D1705" i="1"/>
  <c r="C1706" i="1"/>
  <c r="D1706" i="1"/>
  <c r="C1707" i="1"/>
  <c r="D1707" i="1"/>
  <c r="C1708" i="1"/>
  <c r="D1708" i="1"/>
  <c r="C1709" i="1"/>
  <c r="D1709" i="1"/>
  <c r="C1710" i="1"/>
  <c r="D1710" i="1"/>
  <c r="C1711" i="1"/>
  <c r="D1711" i="1"/>
  <c r="C1712" i="1"/>
  <c r="D1712" i="1"/>
  <c r="C1713" i="1"/>
  <c r="D1713" i="1"/>
  <c r="C1714" i="1"/>
  <c r="D1714" i="1"/>
  <c r="C1715" i="1"/>
  <c r="D1715" i="1"/>
  <c r="C1716" i="1"/>
  <c r="D1716" i="1"/>
  <c r="C1717" i="1"/>
  <c r="D1717" i="1"/>
  <c r="C1718" i="1"/>
  <c r="D1718" i="1"/>
  <c r="C1719" i="1"/>
  <c r="D1719" i="1"/>
  <c r="C1720" i="1"/>
  <c r="D1720" i="1"/>
  <c r="C1721" i="1"/>
  <c r="D1721" i="1"/>
  <c r="C1722" i="1"/>
  <c r="D1722" i="1"/>
  <c r="C1723" i="1"/>
  <c r="D1723" i="1"/>
  <c r="C1724" i="1"/>
  <c r="D1724" i="1"/>
  <c r="C1725" i="1"/>
  <c r="D1725" i="1"/>
  <c r="C1726" i="1"/>
  <c r="D1726" i="1"/>
  <c r="C1727" i="1"/>
  <c r="D1727" i="1"/>
  <c r="C1728" i="1"/>
  <c r="D1728" i="1"/>
  <c r="C1729" i="1"/>
  <c r="D1729" i="1"/>
  <c r="C1730" i="1"/>
  <c r="D1730" i="1"/>
  <c r="C1731" i="1"/>
  <c r="D1731" i="1"/>
  <c r="C1732" i="1"/>
  <c r="D1732" i="1"/>
  <c r="C1733" i="1"/>
  <c r="D1733" i="1"/>
  <c r="C1734" i="1"/>
  <c r="D1734" i="1"/>
  <c r="C1735" i="1"/>
  <c r="D1735" i="1"/>
  <c r="C1736" i="1"/>
  <c r="D1736" i="1"/>
  <c r="C1737" i="1"/>
  <c r="D1737" i="1"/>
  <c r="C1738" i="1"/>
  <c r="D1738" i="1"/>
  <c r="C1739" i="1"/>
  <c r="D1739" i="1"/>
  <c r="C1740" i="1"/>
  <c r="D1740" i="1"/>
  <c r="C1741" i="1"/>
  <c r="D1741" i="1"/>
  <c r="C1742" i="1"/>
  <c r="D1742" i="1"/>
  <c r="C1743" i="1"/>
  <c r="D1743" i="1"/>
  <c r="C1744" i="1"/>
  <c r="D1744" i="1"/>
  <c r="C1745" i="1"/>
  <c r="D1745" i="1"/>
  <c r="C1746" i="1"/>
  <c r="D1746" i="1"/>
  <c r="C1747" i="1"/>
  <c r="D1747" i="1"/>
  <c r="C1748" i="1"/>
  <c r="D1748" i="1"/>
  <c r="C1749" i="1"/>
  <c r="D1749" i="1"/>
  <c r="C1750" i="1"/>
  <c r="D1750" i="1"/>
  <c r="C1751" i="1"/>
  <c r="D1751" i="1"/>
  <c r="C1752" i="1"/>
  <c r="D1752" i="1"/>
  <c r="C1753" i="1"/>
  <c r="D1753" i="1"/>
  <c r="C1754" i="1"/>
  <c r="D1754" i="1"/>
  <c r="C1755" i="1"/>
  <c r="D1755" i="1"/>
  <c r="C1756" i="1"/>
  <c r="D1756" i="1"/>
  <c r="C1757" i="1"/>
  <c r="D1757" i="1"/>
  <c r="C1758" i="1"/>
  <c r="D1758" i="1"/>
  <c r="C1759" i="1"/>
  <c r="D1759" i="1"/>
  <c r="C1760" i="1"/>
  <c r="D1760" i="1"/>
  <c r="C1761" i="1"/>
  <c r="D1761" i="1"/>
  <c r="C1762" i="1"/>
  <c r="D1762" i="1"/>
  <c r="C1763" i="1"/>
  <c r="D1763" i="1"/>
  <c r="C1764" i="1"/>
  <c r="D1764" i="1"/>
  <c r="C1765" i="1"/>
  <c r="D1765" i="1"/>
  <c r="C1766" i="1"/>
  <c r="D1766" i="1"/>
  <c r="C1767" i="1"/>
  <c r="D1767" i="1"/>
  <c r="C1768" i="1"/>
  <c r="D1768" i="1"/>
  <c r="C1769" i="1"/>
  <c r="D1769" i="1"/>
  <c r="C1770" i="1"/>
  <c r="D1770" i="1"/>
  <c r="C1771" i="1"/>
  <c r="D1771" i="1"/>
  <c r="C1772" i="1"/>
  <c r="D1772" i="1"/>
  <c r="C1773" i="1"/>
  <c r="D1773" i="1"/>
  <c r="C1774" i="1"/>
  <c r="D1774" i="1"/>
  <c r="C1775" i="1"/>
  <c r="D1775" i="1"/>
  <c r="C1776" i="1"/>
  <c r="D1776" i="1"/>
  <c r="C1777" i="1"/>
  <c r="D1777" i="1"/>
  <c r="C1778" i="1"/>
  <c r="D1778" i="1"/>
  <c r="C1779" i="1"/>
  <c r="D1779" i="1"/>
  <c r="C1780" i="1"/>
  <c r="D1780" i="1"/>
  <c r="C1781" i="1"/>
  <c r="D1781" i="1"/>
  <c r="C1782" i="1"/>
  <c r="D1782" i="1"/>
  <c r="C1783" i="1"/>
  <c r="D1783" i="1"/>
  <c r="C1784" i="1"/>
  <c r="D1784" i="1"/>
  <c r="C1785" i="1"/>
  <c r="D1785" i="1"/>
  <c r="C1786" i="1"/>
  <c r="D1786" i="1"/>
  <c r="C1787" i="1"/>
  <c r="D1787" i="1"/>
  <c r="C1788" i="1"/>
  <c r="D1788" i="1"/>
  <c r="C1789" i="1"/>
  <c r="D1789" i="1"/>
  <c r="C1790" i="1"/>
  <c r="D1790" i="1"/>
  <c r="C1791" i="1"/>
  <c r="D1791" i="1"/>
  <c r="C1792" i="1"/>
  <c r="D1792" i="1"/>
  <c r="C1793" i="1"/>
  <c r="D1793" i="1"/>
  <c r="C1794" i="1"/>
  <c r="D1794" i="1"/>
  <c r="C1795" i="1"/>
  <c r="D1795" i="1"/>
  <c r="C1796" i="1"/>
  <c r="D1796" i="1"/>
  <c r="C1797" i="1"/>
  <c r="D1797" i="1"/>
  <c r="C1798" i="1"/>
  <c r="D1798" i="1"/>
  <c r="C1799" i="1"/>
  <c r="D1799" i="1"/>
  <c r="C1800" i="1"/>
  <c r="D1800" i="1"/>
  <c r="C1801" i="1"/>
  <c r="D1801" i="1"/>
  <c r="C1802" i="1"/>
  <c r="D1802" i="1"/>
  <c r="C1803" i="1"/>
  <c r="D1803" i="1"/>
  <c r="C1804" i="1"/>
  <c r="D1804" i="1"/>
  <c r="C1805" i="1"/>
  <c r="D1805" i="1"/>
  <c r="C1806" i="1"/>
  <c r="D1806" i="1"/>
  <c r="C1807" i="1"/>
  <c r="D1807" i="1"/>
  <c r="C1808" i="1"/>
  <c r="D1808" i="1"/>
  <c r="C1809" i="1"/>
  <c r="D1809" i="1"/>
  <c r="C1810" i="1"/>
  <c r="D1810" i="1"/>
  <c r="C1811" i="1"/>
  <c r="D1811" i="1"/>
  <c r="C1812" i="1"/>
  <c r="D1812" i="1"/>
  <c r="C1813" i="1"/>
  <c r="D1813" i="1"/>
  <c r="C1814" i="1"/>
  <c r="D1814" i="1"/>
  <c r="C1815" i="1"/>
  <c r="D1815" i="1"/>
  <c r="C1816" i="1"/>
  <c r="D1816" i="1"/>
  <c r="C1817" i="1"/>
  <c r="D1817" i="1"/>
  <c r="C1818" i="1"/>
  <c r="D1818" i="1"/>
  <c r="C1819" i="1"/>
  <c r="D1819" i="1"/>
  <c r="C1820" i="1"/>
  <c r="D1820" i="1"/>
  <c r="C1821" i="1"/>
  <c r="D1821" i="1"/>
  <c r="C1822" i="1"/>
  <c r="D1822" i="1"/>
  <c r="C1823" i="1"/>
  <c r="D1823" i="1"/>
  <c r="C1824" i="1"/>
  <c r="D1824" i="1"/>
  <c r="C1825" i="1"/>
  <c r="D1825" i="1"/>
  <c r="C1826" i="1"/>
  <c r="D1826" i="1"/>
  <c r="C1827" i="1"/>
  <c r="D1827" i="1"/>
  <c r="C1828" i="1"/>
  <c r="D1828" i="1"/>
  <c r="C1829" i="1"/>
  <c r="D1829" i="1"/>
  <c r="C1830" i="1"/>
  <c r="D1830" i="1"/>
  <c r="C1831" i="1"/>
  <c r="D1831" i="1"/>
  <c r="C1832" i="1"/>
  <c r="D1832" i="1"/>
  <c r="C1833" i="1"/>
  <c r="D1833" i="1"/>
  <c r="C1834" i="1"/>
  <c r="D1834" i="1"/>
  <c r="C1835" i="1"/>
  <c r="D1835" i="1"/>
  <c r="C1836" i="1"/>
  <c r="D1836" i="1"/>
  <c r="C1837" i="1"/>
  <c r="D1837" i="1"/>
  <c r="C1838" i="1"/>
  <c r="D1838" i="1"/>
  <c r="C1839" i="1"/>
  <c r="D1839" i="1"/>
  <c r="C1840" i="1"/>
  <c r="D1840" i="1"/>
  <c r="C1841" i="1"/>
  <c r="D1841" i="1"/>
  <c r="C1842" i="1"/>
  <c r="D1842" i="1"/>
  <c r="C1843" i="1"/>
  <c r="D1843" i="1"/>
  <c r="C1844" i="1"/>
  <c r="D1844" i="1"/>
  <c r="C1845" i="1"/>
  <c r="D1845" i="1"/>
  <c r="C1846" i="1"/>
  <c r="D1846" i="1"/>
  <c r="C1847" i="1"/>
  <c r="D1847" i="1"/>
  <c r="C1848" i="1"/>
  <c r="D1848" i="1"/>
  <c r="C1849" i="1"/>
  <c r="D1849" i="1"/>
  <c r="C1850" i="1"/>
  <c r="D1850" i="1"/>
  <c r="C1851" i="1"/>
  <c r="D1851" i="1"/>
  <c r="C1852" i="1"/>
  <c r="D1852" i="1"/>
  <c r="C1853" i="1"/>
  <c r="D1853" i="1"/>
  <c r="C1854" i="1"/>
  <c r="D1854" i="1"/>
  <c r="C1855" i="1"/>
  <c r="D1855" i="1"/>
  <c r="C1856" i="1"/>
  <c r="D1856" i="1"/>
  <c r="C1857" i="1"/>
  <c r="D1857" i="1"/>
  <c r="C1858" i="1"/>
  <c r="D1858" i="1"/>
  <c r="C1859" i="1"/>
  <c r="D1859" i="1"/>
  <c r="C1860" i="1"/>
  <c r="D1860" i="1"/>
  <c r="C1861" i="1"/>
  <c r="D1861" i="1"/>
  <c r="C1862" i="1"/>
  <c r="D1862" i="1"/>
  <c r="C1863" i="1"/>
  <c r="D1863" i="1"/>
  <c r="C1864" i="1"/>
  <c r="D1864" i="1"/>
  <c r="C1865" i="1"/>
  <c r="D1865" i="1"/>
  <c r="C1866" i="1"/>
  <c r="D1866" i="1"/>
  <c r="C1867" i="1"/>
  <c r="D1867" i="1"/>
  <c r="C1868" i="1"/>
  <c r="D1868" i="1"/>
  <c r="C1869" i="1"/>
  <c r="D1869" i="1"/>
  <c r="C1870" i="1"/>
  <c r="D1870" i="1"/>
  <c r="C1871" i="1"/>
  <c r="D1871" i="1"/>
  <c r="C1872" i="1"/>
  <c r="D1872" i="1"/>
  <c r="C1873" i="1"/>
  <c r="D1873" i="1"/>
  <c r="C1874" i="1"/>
  <c r="D1874" i="1"/>
  <c r="C1875" i="1"/>
  <c r="D1875" i="1"/>
  <c r="C1876" i="1"/>
  <c r="D1876" i="1"/>
  <c r="C1877" i="1"/>
  <c r="D1877" i="1"/>
  <c r="C1878" i="1"/>
  <c r="D1878" i="1"/>
  <c r="C1879" i="1"/>
  <c r="D1879" i="1"/>
  <c r="C1880" i="1"/>
  <c r="D1880" i="1"/>
  <c r="C1881" i="1"/>
  <c r="D1881" i="1"/>
  <c r="C1882" i="1"/>
  <c r="D1882" i="1"/>
  <c r="C1883" i="1"/>
  <c r="D1883" i="1"/>
  <c r="C1884" i="1"/>
  <c r="D1884" i="1"/>
  <c r="C1885" i="1"/>
  <c r="D1885" i="1"/>
  <c r="C1886" i="1"/>
  <c r="D1886" i="1"/>
  <c r="C1887" i="1"/>
  <c r="D1887" i="1"/>
  <c r="C1888" i="1"/>
  <c r="D1888" i="1"/>
  <c r="C1889" i="1"/>
  <c r="D1889" i="1"/>
  <c r="C1890" i="1"/>
  <c r="D1890" i="1"/>
  <c r="C1891" i="1"/>
  <c r="D1891" i="1"/>
  <c r="C1892" i="1"/>
  <c r="D1892" i="1"/>
  <c r="C1893" i="1"/>
  <c r="D1893" i="1"/>
  <c r="C1894" i="1"/>
  <c r="D1894" i="1"/>
  <c r="C1895" i="1"/>
  <c r="D1895" i="1"/>
  <c r="C1896" i="1"/>
  <c r="D1896" i="1"/>
  <c r="C1897" i="1"/>
  <c r="D1897" i="1"/>
  <c r="C1898" i="1"/>
  <c r="D1898" i="1"/>
  <c r="C1899" i="1"/>
  <c r="D1899" i="1"/>
  <c r="C1900" i="1"/>
  <c r="D1900" i="1"/>
  <c r="C1901" i="1"/>
  <c r="D1901" i="1"/>
  <c r="C1902" i="1"/>
  <c r="D1902" i="1"/>
  <c r="C1903" i="1"/>
  <c r="D1903" i="1"/>
  <c r="C1904" i="1"/>
  <c r="D1904" i="1"/>
  <c r="C1905" i="1"/>
  <c r="D1905" i="1"/>
  <c r="C1906" i="1"/>
  <c r="D1906" i="1"/>
  <c r="C1907" i="1"/>
  <c r="D1907" i="1"/>
  <c r="C1908" i="1"/>
  <c r="D1908" i="1"/>
  <c r="C1909" i="1"/>
  <c r="D1909" i="1"/>
  <c r="C1910" i="1"/>
  <c r="D1910" i="1"/>
  <c r="C1911" i="1"/>
  <c r="D1911" i="1"/>
  <c r="C1912" i="1"/>
  <c r="D1912" i="1"/>
  <c r="C1913" i="1"/>
  <c r="D1913" i="1"/>
  <c r="C1914" i="1"/>
  <c r="D1914" i="1"/>
  <c r="C1915" i="1"/>
  <c r="D1915" i="1"/>
  <c r="C1916" i="1"/>
  <c r="D1916" i="1"/>
  <c r="C1917" i="1"/>
  <c r="D1917" i="1"/>
  <c r="C1918" i="1"/>
  <c r="D1918" i="1"/>
  <c r="C1919" i="1"/>
  <c r="D1919" i="1"/>
  <c r="C1920" i="1"/>
  <c r="D1920" i="1"/>
  <c r="C1921" i="1"/>
  <c r="D1921" i="1"/>
  <c r="C1922" i="1"/>
  <c r="D1922" i="1"/>
  <c r="C1923" i="1"/>
  <c r="D1923" i="1"/>
  <c r="C1924" i="1"/>
  <c r="D1924" i="1"/>
  <c r="C1925" i="1"/>
  <c r="D1925" i="1"/>
  <c r="C1926" i="1"/>
  <c r="D1926" i="1"/>
  <c r="C1927" i="1"/>
  <c r="D1927" i="1"/>
  <c r="C1928" i="1"/>
  <c r="D1928" i="1"/>
  <c r="C1929" i="1"/>
  <c r="D1929" i="1"/>
  <c r="C1930" i="1"/>
  <c r="D1930" i="1"/>
  <c r="C1931" i="1"/>
  <c r="D1931" i="1"/>
  <c r="C1932" i="1"/>
  <c r="D1932" i="1"/>
  <c r="C1933" i="1"/>
  <c r="D1933" i="1"/>
  <c r="C1934" i="1"/>
  <c r="D1934" i="1"/>
  <c r="C1935" i="1"/>
  <c r="D1935" i="1"/>
  <c r="C1936" i="1"/>
  <c r="D1936" i="1"/>
  <c r="C1937" i="1"/>
  <c r="D1937" i="1"/>
  <c r="C1938" i="1"/>
  <c r="D1938" i="1"/>
  <c r="C1939" i="1"/>
  <c r="D1939" i="1"/>
  <c r="C1940" i="1"/>
  <c r="D1940" i="1"/>
  <c r="C1941" i="1"/>
  <c r="D1941" i="1"/>
  <c r="C1942" i="1"/>
  <c r="D1942" i="1"/>
  <c r="C1943" i="1"/>
  <c r="D1943" i="1"/>
  <c r="C1944" i="1"/>
  <c r="D1944" i="1"/>
  <c r="C1945" i="1"/>
  <c r="D1945" i="1"/>
  <c r="C1946" i="1"/>
  <c r="D1946" i="1"/>
  <c r="C1947" i="1"/>
  <c r="D1947" i="1"/>
  <c r="C1948" i="1"/>
  <c r="D1948" i="1"/>
  <c r="C1949" i="1"/>
  <c r="D1949" i="1"/>
  <c r="C1950" i="1"/>
  <c r="D1950" i="1"/>
  <c r="C1951" i="1"/>
  <c r="D1951" i="1"/>
  <c r="C1952" i="1"/>
  <c r="D1952" i="1"/>
  <c r="C1953" i="1"/>
  <c r="D1953" i="1"/>
  <c r="C1954" i="1"/>
  <c r="D1954" i="1"/>
  <c r="C1955" i="1"/>
  <c r="D1955" i="1"/>
  <c r="C1956" i="1"/>
  <c r="D1956" i="1"/>
  <c r="C1957" i="1"/>
  <c r="D1957" i="1"/>
  <c r="C1958" i="1"/>
  <c r="D1958" i="1"/>
  <c r="C1959" i="1"/>
  <c r="D1959" i="1"/>
  <c r="C1960" i="1"/>
  <c r="D1960" i="1"/>
  <c r="C1961" i="1"/>
  <c r="D1961" i="1"/>
  <c r="C1962" i="1"/>
  <c r="D1962" i="1"/>
  <c r="C1963" i="1"/>
  <c r="D1963" i="1"/>
  <c r="C1964" i="1"/>
  <c r="D1964" i="1"/>
  <c r="C1965" i="1"/>
  <c r="D1965" i="1"/>
  <c r="C1966" i="1"/>
  <c r="D1966" i="1"/>
  <c r="C1967" i="1"/>
  <c r="D1967" i="1"/>
  <c r="C1968" i="1"/>
  <c r="D1968" i="1"/>
  <c r="C1969" i="1"/>
  <c r="D1969" i="1"/>
  <c r="C1970" i="1"/>
  <c r="D1970" i="1"/>
  <c r="C1971" i="1"/>
  <c r="D1971" i="1"/>
  <c r="C1972" i="1"/>
  <c r="D1972" i="1"/>
  <c r="C1973" i="1"/>
  <c r="D1973" i="1"/>
  <c r="C1974" i="1"/>
  <c r="D1974" i="1"/>
  <c r="C1975" i="1"/>
  <c r="D1975" i="1"/>
  <c r="C1976" i="1"/>
  <c r="D1976" i="1"/>
  <c r="C1977" i="1"/>
  <c r="D1977" i="1"/>
  <c r="C1978" i="1"/>
  <c r="D1978" i="1"/>
  <c r="C1979" i="1"/>
  <c r="D1979" i="1"/>
  <c r="C1980" i="1"/>
  <c r="D1980" i="1"/>
  <c r="C1981" i="1"/>
  <c r="D1981" i="1"/>
  <c r="C1982" i="1"/>
  <c r="D1982" i="1"/>
  <c r="C1983" i="1"/>
  <c r="D1983" i="1"/>
  <c r="C1984" i="1"/>
  <c r="D1984" i="1"/>
  <c r="C1985" i="1"/>
  <c r="D1985" i="1"/>
  <c r="C1986" i="1"/>
  <c r="D1986" i="1"/>
  <c r="C1987" i="1"/>
  <c r="D1987" i="1"/>
  <c r="C1988" i="1"/>
  <c r="D1988" i="1"/>
  <c r="C1989" i="1"/>
  <c r="D1989" i="1"/>
  <c r="C1990" i="1"/>
  <c r="D1990" i="1"/>
  <c r="C1991" i="1"/>
  <c r="D1991" i="1"/>
  <c r="C1992" i="1"/>
  <c r="D1992" i="1"/>
  <c r="C1993" i="1"/>
  <c r="D1993" i="1"/>
  <c r="C1994" i="1"/>
  <c r="D1994" i="1"/>
  <c r="C1995" i="1"/>
  <c r="D1995" i="1"/>
  <c r="C1996" i="1"/>
  <c r="D1996" i="1"/>
  <c r="C1997" i="1"/>
  <c r="D1997" i="1"/>
  <c r="C1998" i="1"/>
  <c r="D1998" i="1"/>
  <c r="C1999" i="1"/>
  <c r="D1999" i="1"/>
  <c r="C2000" i="1"/>
  <c r="D2000" i="1"/>
  <c r="C2001" i="1"/>
  <c r="D2001" i="1"/>
  <c r="C2002" i="1"/>
  <c r="D2002" i="1"/>
  <c r="C2003" i="1"/>
  <c r="D2003" i="1"/>
  <c r="C2004" i="1"/>
  <c r="D2004" i="1"/>
  <c r="C2005" i="1"/>
  <c r="D2005" i="1"/>
  <c r="C2006" i="1"/>
  <c r="D2006" i="1"/>
  <c r="C2007" i="1"/>
  <c r="D2007" i="1"/>
  <c r="C2008" i="1"/>
  <c r="D2008" i="1"/>
  <c r="C2009" i="1"/>
  <c r="D2009" i="1"/>
  <c r="C2010" i="1"/>
  <c r="D2010" i="1"/>
  <c r="C2011" i="1"/>
  <c r="D2011" i="1"/>
  <c r="C2012" i="1"/>
  <c r="D2012" i="1"/>
  <c r="C2013" i="1"/>
  <c r="D2013" i="1"/>
  <c r="C2014" i="1"/>
  <c r="D2014" i="1"/>
  <c r="C2015" i="1"/>
  <c r="D2015" i="1"/>
  <c r="C2016" i="1"/>
  <c r="D2016" i="1"/>
  <c r="C2017" i="1"/>
  <c r="D2017" i="1"/>
  <c r="C2018" i="1"/>
  <c r="D2018" i="1"/>
  <c r="C2019" i="1"/>
  <c r="D2019" i="1"/>
  <c r="C2020" i="1"/>
  <c r="D2020" i="1"/>
  <c r="C2021" i="1"/>
  <c r="D2021" i="1"/>
  <c r="C2022" i="1"/>
  <c r="D2022" i="1"/>
  <c r="C2023" i="1"/>
  <c r="D2023" i="1"/>
  <c r="C2024" i="1"/>
  <c r="D2024" i="1"/>
  <c r="C2025" i="1"/>
  <c r="D2025" i="1"/>
  <c r="C2026" i="1"/>
  <c r="D2026" i="1"/>
  <c r="C2027" i="1"/>
  <c r="D2027" i="1"/>
  <c r="C2028" i="1"/>
  <c r="D2028" i="1"/>
  <c r="C2029" i="1"/>
  <c r="D2029" i="1"/>
  <c r="C2030" i="1"/>
  <c r="D2030" i="1"/>
  <c r="C2031" i="1"/>
  <c r="D2031" i="1"/>
  <c r="C2032" i="1"/>
  <c r="D2032" i="1"/>
  <c r="C2033" i="1"/>
  <c r="D2033" i="1"/>
  <c r="C2034" i="1"/>
  <c r="D2034" i="1"/>
  <c r="C2035" i="1"/>
  <c r="D2035" i="1"/>
  <c r="C2036" i="1"/>
  <c r="D2036" i="1"/>
  <c r="C2037" i="1"/>
  <c r="D2037" i="1"/>
  <c r="C2038" i="1"/>
  <c r="D2038" i="1"/>
  <c r="C2039" i="1"/>
  <c r="D2039" i="1"/>
  <c r="C2040" i="1"/>
  <c r="D2040" i="1"/>
  <c r="C2041" i="1"/>
  <c r="D2041" i="1"/>
  <c r="C2042" i="1"/>
  <c r="D2042" i="1"/>
  <c r="C2043" i="1"/>
  <c r="D2043" i="1"/>
  <c r="C2044" i="1"/>
  <c r="D2044" i="1"/>
  <c r="C2045" i="1"/>
  <c r="D2045" i="1"/>
  <c r="C2046" i="1"/>
  <c r="D2046" i="1"/>
  <c r="C2047" i="1"/>
  <c r="D2047" i="1"/>
  <c r="C2048" i="1"/>
  <c r="D2048" i="1"/>
  <c r="C2049" i="1"/>
  <c r="D2049" i="1"/>
  <c r="C2050" i="1"/>
  <c r="D2050" i="1"/>
  <c r="C2051" i="1"/>
  <c r="D2051" i="1"/>
  <c r="C2052" i="1"/>
  <c r="D2052" i="1"/>
  <c r="C2053" i="1"/>
  <c r="D2053" i="1"/>
  <c r="C2054" i="1"/>
  <c r="D2054" i="1"/>
  <c r="C2055" i="1"/>
  <c r="D2055" i="1"/>
  <c r="C2056" i="1"/>
  <c r="D2056" i="1"/>
  <c r="C2057" i="1"/>
  <c r="D2057" i="1"/>
  <c r="C2058" i="1"/>
  <c r="D2058" i="1"/>
  <c r="C2059" i="1"/>
  <c r="D2059" i="1"/>
  <c r="C2060" i="1"/>
  <c r="D2060" i="1"/>
  <c r="C2061" i="1"/>
  <c r="D2061" i="1"/>
  <c r="C2062" i="1"/>
  <c r="D2062" i="1"/>
  <c r="C2063" i="1"/>
  <c r="D2063" i="1"/>
  <c r="C2064" i="1"/>
  <c r="D2064" i="1"/>
  <c r="C2065" i="1"/>
  <c r="D2065" i="1"/>
  <c r="C2066" i="1"/>
  <c r="D2066" i="1"/>
  <c r="C2067" i="1"/>
  <c r="D2067" i="1"/>
  <c r="C2068" i="1"/>
  <c r="D2068" i="1"/>
  <c r="C2069" i="1"/>
  <c r="D2069" i="1"/>
  <c r="C2070" i="1"/>
  <c r="D2070" i="1"/>
  <c r="C2071" i="1"/>
  <c r="D2071" i="1"/>
  <c r="C2072" i="1"/>
  <c r="D2072" i="1"/>
  <c r="C2073" i="1"/>
  <c r="D2073" i="1"/>
  <c r="C2074" i="1"/>
  <c r="D2074" i="1"/>
  <c r="C2075" i="1"/>
  <c r="D2075" i="1"/>
  <c r="C2076" i="1"/>
  <c r="D2076" i="1"/>
  <c r="C2077" i="1"/>
  <c r="D2077" i="1"/>
  <c r="C2078" i="1"/>
  <c r="D2078" i="1"/>
  <c r="C2079" i="1"/>
  <c r="D2079" i="1"/>
  <c r="C2080" i="1"/>
  <c r="D2080" i="1"/>
  <c r="C2081" i="1"/>
  <c r="D2081" i="1"/>
  <c r="C2082" i="1"/>
  <c r="D2082" i="1"/>
  <c r="C2083" i="1"/>
  <c r="D2083" i="1"/>
  <c r="C2084" i="1"/>
  <c r="D2084" i="1"/>
  <c r="C2085" i="1"/>
  <c r="D2085" i="1"/>
  <c r="C2086" i="1"/>
  <c r="D2086" i="1"/>
  <c r="C2087" i="1"/>
  <c r="D2087" i="1"/>
  <c r="C2088" i="1"/>
  <c r="D2088" i="1"/>
  <c r="C2089" i="1"/>
  <c r="D2089" i="1"/>
  <c r="C2090" i="1"/>
  <c r="D2090" i="1"/>
  <c r="C2091" i="1"/>
  <c r="D2091" i="1"/>
  <c r="C2092" i="1"/>
  <c r="D2092" i="1"/>
  <c r="C2093" i="1"/>
  <c r="D2093" i="1"/>
  <c r="C2094" i="1"/>
  <c r="D2094" i="1"/>
  <c r="C2095" i="1"/>
  <c r="D2095" i="1"/>
  <c r="C2096" i="1"/>
  <c r="D2096" i="1"/>
  <c r="C2097" i="1"/>
  <c r="D2097" i="1"/>
  <c r="C2098" i="1"/>
  <c r="D2098" i="1"/>
  <c r="C2099" i="1"/>
  <c r="D2099" i="1"/>
  <c r="C2100" i="1"/>
  <c r="D2100" i="1"/>
  <c r="C2101" i="1"/>
  <c r="D2101" i="1"/>
  <c r="C2102" i="1"/>
  <c r="D2102" i="1"/>
  <c r="C2103" i="1"/>
  <c r="D2103" i="1"/>
  <c r="C2104" i="1"/>
  <c r="D2104" i="1"/>
  <c r="C2105" i="1"/>
  <c r="D2105" i="1"/>
  <c r="C2106" i="1"/>
  <c r="D2106" i="1"/>
  <c r="C2107" i="1"/>
  <c r="D2107" i="1"/>
  <c r="C2108" i="1"/>
  <c r="D2108" i="1"/>
  <c r="C2109" i="1"/>
  <c r="D2109" i="1"/>
  <c r="C2110" i="1"/>
  <c r="D2110" i="1"/>
  <c r="C2111" i="1"/>
  <c r="D2111" i="1"/>
  <c r="C2112" i="1"/>
  <c r="D2112" i="1"/>
  <c r="C2113" i="1"/>
  <c r="D2113" i="1"/>
  <c r="C2114" i="1"/>
  <c r="D2114" i="1"/>
  <c r="C2115" i="1"/>
  <c r="D2115" i="1"/>
  <c r="C2116" i="1"/>
  <c r="D2116" i="1"/>
  <c r="C2117" i="1"/>
  <c r="D2117" i="1"/>
  <c r="C2118" i="1"/>
  <c r="D2118" i="1"/>
  <c r="C2119" i="1"/>
  <c r="D2119" i="1"/>
  <c r="C2120" i="1"/>
  <c r="D2120" i="1"/>
  <c r="C2121" i="1"/>
  <c r="D2121" i="1"/>
  <c r="C2122" i="1"/>
  <c r="D2122" i="1"/>
  <c r="C2123" i="1"/>
  <c r="D2123" i="1"/>
  <c r="C2124" i="1"/>
  <c r="D2124" i="1"/>
  <c r="C2125" i="1"/>
  <c r="D2125" i="1"/>
  <c r="C2126" i="1"/>
  <c r="D2126" i="1"/>
  <c r="C2127" i="1"/>
  <c r="D2127" i="1"/>
  <c r="C2128" i="1"/>
  <c r="D2128" i="1"/>
  <c r="C2129" i="1"/>
  <c r="D2129" i="1"/>
  <c r="C2130" i="1"/>
  <c r="D2130" i="1"/>
  <c r="C2131" i="1"/>
  <c r="D2131" i="1"/>
  <c r="C2132" i="1"/>
  <c r="D2132" i="1"/>
  <c r="C2133" i="1"/>
  <c r="D2133" i="1"/>
  <c r="C2134" i="1"/>
  <c r="D2134" i="1"/>
  <c r="C2135" i="1"/>
  <c r="D2135" i="1"/>
  <c r="C2136" i="1"/>
  <c r="D2136" i="1"/>
  <c r="C2137" i="1"/>
  <c r="D2137" i="1"/>
  <c r="C2138" i="1"/>
  <c r="D2138" i="1"/>
  <c r="C2139" i="1"/>
  <c r="D2139" i="1"/>
  <c r="C2140" i="1"/>
  <c r="D2140" i="1"/>
  <c r="C2141" i="1"/>
  <c r="D2141" i="1"/>
  <c r="C2142" i="1"/>
  <c r="D2142" i="1"/>
  <c r="C2143" i="1"/>
  <c r="D2143" i="1"/>
  <c r="C2144" i="1"/>
  <c r="D2144" i="1"/>
  <c r="C2145" i="1"/>
  <c r="D2145" i="1"/>
  <c r="C2146" i="1"/>
  <c r="D2146" i="1"/>
  <c r="C2147" i="1"/>
  <c r="D2147" i="1"/>
  <c r="C2148" i="1"/>
  <c r="D2148" i="1"/>
  <c r="C2149" i="1"/>
  <c r="D2149" i="1"/>
  <c r="C2150" i="1"/>
  <c r="D2150" i="1"/>
  <c r="C2151" i="1"/>
  <c r="D2151" i="1"/>
  <c r="C2152" i="1"/>
  <c r="D2152" i="1"/>
  <c r="C2153" i="1"/>
  <c r="D2153" i="1"/>
  <c r="C2154" i="1"/>
  <c r="D2154" i="1"/>
  <c r="C2155" i="1"/>
  <c r="D2155" i="1"/>
  <c r="C2156" i="1"/>
  <c r="D2156" i="1"/>
  <c r="C2157" i="1"/>
  <c r="D2157" i="1"/>
  <c r="C2158" i="1"/>
  <c r="D2158" i="1"/>
  <c r="C2159" i="1"/>
  <c r="D2159" i="1"/>
  <c r="C2160" i="1"/>
  <c r="D2160" i="1"/>
  <c r="C2161" i="1"/>
  <c r="D2161" i="1"/>
  <c r="C2162" i="1"/>
  <c r="D2162" i="1"/>
  <c r="C2163" i="1"/>
  <c r="D2163" i="1"/>
  <c r="C2164" i="1"/>
  <c r="D2164" i="1"/>
  <c r="C2165" i="1"/>
  <c r="D2165" i="1"/>
  <c r="C2166" i="1"/>
  <c r="D2166" i="1"/>
  <c r="C2167" i="1"/>
  <c r="D2167" i="1"/>
  <c r="C2168" i="1"/>
  <c r="D2168" i="1"/>
  <c r="C2169" i="1"/>
  <c r="D2169" i="1"/>
  <c r="C2170" i="1"/>
  <c r="D2170" i="1"/>
  <c r="C2171" i="1"/>
  <c r="D2171" i="1"/>
  <c r="C2172" i="1"/>
  <c r="D2172" i="1"/>
  <c r="C2173" i="1"/>
  <c r="D2173" i="1"/>
  <c r="C2174" i="1"/>
  <c r="D2174" i="1"/>
  <c r="C2175" i="1"/>
  <c r="D2175" i="1"/>
  <c r="C2176" i="1"/>
  <c r="D2176" i="1"/>
  <c r="C2177" i="1"/>
  <c r="D2177" i="1"/>
  <c r="C2178" i="1"/>
  <c r="D2178" i="1"/>
  <c r="C2179" i="1"/>
  <c r="D2179" i="1"/>
  <c r="C2180" i="1"/>
  <c r="D2180" i="1"/>
  <c r="C2181" i="1"/>
  <c r="D2181" i="1"/>
  <c r="C2182" i="1"/>
  <c r="D2182" i="1"/>
  <c r="C2183" i="1"/>
  <c r="D2183" i="1"/>
  <c r="C2184" i="1"/>
  <c r="D2184" i="1"/>
  <c r="C2185" i="1"/>
  <c r="D2185" i="1"/>
  <c r="C2186" i="1"/>
  <c r="D2186" i="1"/>
  <c r="C2187" i="1"/>
  <c r="D2187" i="1"/>
  <c r="C2188" i="1"/>
  <c r="D2188" i="1"/>
  <c r="C2189" i="1"/>
  <c r="D2189" i="1"/>
  <c r="C2190" i="1"/>
  <c r="D2190" i="1"/>
  <c r="C2191" i="1"/>
  <c r="D2191" i="1"/>
  <c r="C2192" i="1"/>
  <c r="D2192" i="1"/>
  <c r="C2193" i="1"/>
  <c r="D2193" i="1"/>
  <c r="C2194" i="1"/>
  <c r="D2194" i="1"/>
  <c r="C2195" i="1"/>
  <c r="D2195" i="1"/>
  <c r="C2196" i="1"/>
  <c r="D2196" i="1"/>
  <c r="C2197" i="1"/>
  <c r="D2197" i="1"/>
  <c r="C2198" i="1"/>
  <c r="D2198" i="1"/>
  <c r="C2199" i="1"/>
  <c r="D2199" i="1"/>
  <c r="C2200" i="1"/>
  <c r="D2200" i="1"/>
  <c r="C2201" i="1"/>
  <c r="D2201" i="1"/>
  <c r="C2202" i="1"/>
  <c r="D2202" i="1"/>
  <c r="C2203" i="1"/>
  <c r="D2203" i="1"/>
  <c r="C2204" i="1"/>
  <c r="D2204" i="1"/>
  <c r="C2205" i="1"/>
  <c r="D2205" i="1"/>
  <c r="C2206" i="1"/>
  <c r="D2206" i="1"/>
  <c r="C2207" i="1"/>
  <c r="D2207" i="1"/>
  <c r="C2208" i="1"/>
  <c r="D2208" i="1"/>
  <c r="C2209" i="1"/>
  <c r="D2209" i="1"/>
  <c r="C2210" i="1"/>
  <c r="D2210" i="1"/>
  <c r="C2211" i="1"/>
  <c r="D2211" i="1"/>
  <c r="C2212" i="1"/>
  <c r="D2212" i="1"/>
  <c r="C2213" i="1"/>
  <c r="D2213" i="1"/>
  <c r="C2214" i="1"/>
  <c r="D2214" i="1"/>
  <c r="C2215" i="1"/>
  <c r="D2215" i="1"/>
  <c r="C2216" i="1"/>
  <c r="D2216" i="1"/>
  <c r="C2217" i="1"/>
  <c r="D2217" i="1"/>
  <c r="C2218" i="1"/>
  <c r="D2218" i="1"/>
  <c r="C2219" i="1"/>
  <c r="D2219" i="1"/>
  <c r="C2220" i="1"/>
  <c r="D2220" i="1"/>
  <c r="C2221" i="1"/>
  <c r="D2221" i="1"/>
  <c r="C2222" i="1"/>
  <c r="D2222" i="1"/>
  <c r="C2223" i="1"/>
  <c r="D2223" i="1"/>
  <c r="C2224" i="1"/>
  <c r="D2224" i="1"/>
  <c r="C2225" i="1"/>
  <c r="D2225" i="1"/>
  <c r="C2226" i="1"/>
  <c r="D2226" i="1"/>
  <c r="C2227" i="1"/>
  <c r="D2227" i="1"/>
  <c r="C2228" i="1"/>
  <c r="D2228" i="1"/>
  <c r="C2229" i="1"/>
  <c r="D2229" i="1"/>
  <c r="C2230" i="1"/>
  <c r="D2230" i="1"/>
  <c r="C2231" i="1"/>
  <c r="D2231" i="1"/>
  <c r="C2232" i="1"/>
  <c r="D2232" i="1"/>
  <c r="C2233" i="1"/>
  <c r="D2233" i="1"/>
  <c r="C2234" i="1"/>
  <c r="D2234" i="1"/>
  <c r="C2235" i="1"/>
  <c r="D2235" i="1"/>
  <c r="C2236" i="1"/>
  <c r="D2236" i="1"/>
  <c r="C2237" i="1"/>
  <c r="D2237" i="1"/>
  <c r="C2238" i="1"/>
  <c r="D2238" i="1"/>
  <c r="C2239" i="1"/>
  <c r="D2239" i="1"/>
  <c r="C2240" i="1"/>
  <c r="D2240" i="1"/>
  <c r="C2241" i="1"/>
  <c r="D2241" i="1"/>
  <c r="C2242" i="1"/>
  <c r="D2242" i="1"/>
  <c r="C2243" i="1"/>
  <c r="D2243" i="1"/>
  <c r="C2244" i="1"/>
  <c r="D2244" i="1"/>
  <c r="C2245" i="1"/>
  <c r="D2245" i="1"/>
  <c r="C2246" i="1"/>
  <c r="D2246" i="1"/>
  <c r="C2247" i="1"/>
  <c r="D2247" i="1"/>
  <c r="C2248" i="1"/>
  <c r="D2248" i="1"/>
  <c r="C2249" i="1"/>
  <c r="D2249" i="1"/>
  <c r="C2250" i="1"/>
  <c r="D2250" i="1"/>
  <c r="C2251" i="1"/>
  <c r="D2251" i="1"/>
  <c r="C2252" i="1"/>
  <c r="D2252" i="1"/>
  <c r="C2253" i="1"/>
  <c r="D2253" i="1"/>
  <c r="C2254" i="1"/>
  <c r="D2254" i="1"/>
  <c r="C2255" i="1"/>
  <c r="D2255" i="1"/>
  <c r="C2256" i="1"/>
  <c r="D2256" i="1"/>
  <c r="C2257" i="1"/>
  <c r="D2257" i="1"/>
  <c r="C2258" i="1"/>
  <c r="D2258" i="1"/>
  <c r="C2259" i="1"/>
  <c r="D2259" i="1"/>
  <c r="C2260" i="1"/>
  <c r="D2260" i="1"/>
  <c r="C2261" i="1"/>
  <c r="D2261" i="1"/>
  <c r="C2262" i="1"/>
  <c r="D2262" i="1"/>
  <c r="C2263" i="1"/>
  <c r="D2263" i="1"/>
  <c r="C2264" i="1"/>
  <c r="D2264" i="1"/>
  <c r="C2265" i="1"/>
  <c r="D2265" i="1"/>
  <c r="C2266" i="1"/>
  <c r="D2266" i="1"/>
  <c r="C2267" i="1"/>
  <c r="D2267" i="1"/>
  <c r="C2268" i="1"/>
  <c r="D2268" i="1"/>
  <c r="C2269" i="1"/>
  <c r="D2269" i="1"/>
  <c r="C2270" i="1"/>
  <c r="D2270" i="1"/>
  <c r="C2271" i="1"/>
  <c r="D2271" i="1"/>
  <c r="C2272" i="1"/>
  <c r="D2272" i="1"/>
  <c r="C2273" i="1"/>
  <c r="D2273" i="1"/>
  <c r="C2274" i="1"/>
  <c r="D2274" i="1"/>
  <c r="C2275" i="1"/>
  <c r="D2275" i="1"/>
  <c r="C2276" i="1"/>
  <c r="D2276" i="1"/>
  <c r="C2277" i="1"/>
  <c r="D2277" i="1"/>
  <c r="C2278" i="1"/>
  <c r="D2278" i="1"/>
  <c r="C2279" i="1"/>
  <c r="D2279" i="1"/>
  <c r="C2280" i="1"/>
  <c r="D2280" i="1"/>
  <c r="C2281" i="1"/>
  <c r="D2281" i="1"/>
  <c r="C2282" i="1"/>
  <c r="D2282" i="1"/>
  <c r="C2283" i="1"/>
  <c r="D2283" i="1"/>
  <c r="C2284" i="1"/>
  <c r="D2284" i="1"/>
  <c r="C2285" i="1"/>
  <c r="D2285" i="1"/>
  <c r="C2286" i="1"/>
  <c r="D2286" i="1"/>
  <c r="C2287" i="1"/>
  <c r="D2287" i="1"/>
  <c r="C2288" i="1"/>
  <c r="D2288" i="1"/>
  <c r="C2289" i="1"/>
  <c r="D2289" i="1"/>
  <c r="C2290" i="1"/>
  <c r="D2290" i="1"/>
  <c r="C2291" i="1"/>
  <c r="D2291" i="1"/>
  <c r="C2292" i="1"/>
  <c r="D2292" i="1"/>
  <c r="C2293" i="1"/>
  <c r="D2293" i="1"/>
  <c r="C2294" i="1"/>
  <c r="D2294" i="1"/>
  <c r="C2295" i="1"/>
  <c r="D2295" i="1"/>
  <c r="C2296" i="1"/>
  <c r="D2296" i="1"/>
  <c r="C2297" i="1"/>
  <c r="D2297" i="1"/>
  <c r="C2298" i="1"/>
  <c r="D2298" i="1"/>
  <c r="C2299" i="1"/>
  <c r="D2299" i="1"/>
  <c r="C2300" i="1"/>
  <c r="D2300" i="1"/>
  <c r="C2301" i="1"/>
  <c r="D2301" i="1"/>
  <c r="C2302" i="1"/>
  <c r="D2302" i="1"/>
  <c r="C2303" i="1"/>
  <c r="D2303" i="1"/>
  <c r="C2304" i="1"/>
  <c r="D2304" i="1"/>
  <c r="C2305" i="1"/>
  <c r="D2305" i="1"/>
  <c r="C2306" i="1"/>
  <c r="D2306" i="1"/>
  <c r="C2307" i="1"/>
  <c r="D2307" i="1"/>
  <c r="C2308" i="1"/>
  <c r="D2308" i="1"/>
  <c r="C2309" i="1"/>
  <c r="D2309" i="1"/>
  <c r="C2310" i="1"/>
  <c r="D2310" i="1"/>
  <c r="C2311" i="1"/>
  <c r="D2311" i="1"/>
  <c r="C2312" i="1"/>
  <c r="D2312" i="1"/>
  <c r="C2313" i="1"/>
  <c r="D2313" i="1"/>
  <c r="C2314" i="1"/>
  <c r="D2314" i="1"/>
  <c r="C2315" i="1"/>
  <c r="D2315" i="1"/>
  <c r="C2316" i="1"/>
  <c r="D2316" i="1"/>
  <c r="C2317" i="1"/>
  <c r="D2317" i="1"/>
  <c r="C2318" i="1"/>
  <c r="D2318" i="1"/>
  <c r="C2319" i="1"/>
  <c r="D2319" i="1"/>
  <c r="C2320" i="1"/>
  <c r="D2320" i="1"/>
  <c r="C2321" i="1"/>
  <c r="D2321" i="1"/>
  <c r="C2322" i="1"/>
  <c r="D2322" i="1"/>
  <c r="C2323" i="1"/>
  <c r="D2323" i="1"/>
  <c r="C2324" i="1"/>
  <c r="D2324" i="1"/>
  <c r="C2325" i="1"/>
  <c r="D2325" i="1"/>
  <c r="C2326" i="1"/>
  <c r="D2326" i="1"/>
  <c r="C2327" i="1"/>
  <c r="D2327" i="1"/>
  <c r="C2328" i="1"/>
  <c r="D2328" i="1"/>
  <c r="C2329" i="1"/>
  <c r="D2329" i="1"/>
  <c r="C2330" i="1"/>
  <c r="D2330" i="1"/>
  <c r="C2331" i="1"/>
  <c r="D2331" i="1"/>
  <c r="C2332" i="1"/>
  <c r="D2332" i="1"/>
  <c r="C2333" i="1"/>
  <c r="D2333" i="1"/>
  <c r="C2334" i="1"/>
  <c r="D2334" i="1"/>
  <c r="C2335" i="1"/>
  <c r="D2335" i="1"/>
  <c r="C2336" i="1"/>
  <c r="D2336" i="1"/>
  <c r="C2337" i="1"/>
  <c r="D2337" i="1"/>
  <c r="C2338" i="1"/>
  <c r="D2338" i="1"/>
  <c r="C2339" i="1"/>
  <c r="D2339" i="1"/>
  <c r="C2340" i="1"/>
  <c r="D2340" i="1"/>
  <c r="C2341" i="1"/>
  <c r="D2341" i="1"/>
  <c r="C2342" i="1"/>
  <c r="D2342" i="1"/>
  <c r="C2343" i="1"/>
  <c r="D2343" i="1"/>
  <c r="C2344" i="1"/>
  <c r="D2344" i="1"/>
  <c r="C2345" i="1"/>
  <c r="D2345" i="1"/>
  <c r="C2346" i="1"/>
  <c r="D2346" i="1"/>
  <c r="C2347" i="1"/>
  <c r="D2347" i="1"/>
  <c r="C2348" i="1"/>
  <c r="D2348" i="1"/>
  <c r="C2349" i="1"/>
  <c r="D2349" i="1"/>
  <c r="C2350" i="1"/>
  <c r="D2350" i="1"/>
  <c r="C2351" i="1"/>
  <c r="D2351" i="1"/>
  <c r="C2352" i="1"/>
  <c r="D2352" i="1"/>
  <c r="C2353" i="1"/>
  <c r="D2353" i="1"/>
  <c r="C2354" i="1"/>
  <c r="D2354" i="1"/>
  <c r="C2355" i="1"/>
  <c r="D2355" i="1"/>
  <c r="C2356" i="1"/>
  <c r="D2356" i="1"/>
  <c r="C2357" i="1"/>
  <c r="D2357" i="1"/>
  <c r="C2358" i="1"/>
  <c r="D2358" i="1"/>
  <c r="C2359" i="1"/>
  <c r="D2359" i="1"/>
  <c r="C2360" i="1"/>
  <c r="D2360" i="1"/>
  <c r="C2361" i="1"/>
  <c r="D2361" i="1"/>
  <c r="C2362" i="1"/>
  <c r="D2362" i="1"/>
  <c r="C2363" i="1"/>
  <c r="D2363" i="1"/>
  <c r="C2364" i="1"/>
  <c r="D2364" i="1"/>
  <c r="C2365" i="1"/>
  <c r="D2365" i="1"/>
  <c r="C2366" i="1"/>
  <c r="D2366" i="1"/>
  <c r="C2367" i="1"/>
  <c r="D2367" i="1"/>
  <c r="C2368" i="1"/>
  <c r="D2368" i="1"/>
  <c r="C2369" i="1"/>
  <c r="D2369" i="1"/>
  <c r="C2370" i="1"/>
  <c r="D2370" i="1"/>
  <c r="C2371" i="1"/>
  <c r="D2371" i="1"/>
  <c r="C2372" i="1"/>
  <c r="D2372" i="1"/>
  <c r="C2373" i="1"/>
  <c r="D2373" i="1"/>
  <c r="C2374" i="1"/>
  <c r="D2374" i="1"/>
  <c r="C2375" i="1"/>
  <c r="D2375" i="1"/>
  <c r="C2376" i="1"/>
  <c r="D2376" i="1"/>
  <c r="C2377" i="1"/>
  <c r="D2377" i="1"/>
  <c r="C2378" i="1"/>
  <c r="D2378" i="1"/>
  <c r="C2379" i="1"/>
  <c r="D2379" i="1"/>
  <c r="C2380" i="1"/>
  <c r="D2380" i="1"/>
  <c r="C2381" i="1"/>
  <c r="D2381" i="1"/>
  <c r="C2382" i="1"/>
  <c r="D2382" i="1"/>
  <c r="C2383" i="1"/>
  <c r="D2383" i="1"/>
  <c r="C2384" i="1"/>
  <c r="D2384" i="1"/>
  <c r="C2385" i="1"/>
  <c r="D2385" i="1"/>
  <c r="C2386" i="1"/>
  <c r="D2386" i="1"/>
  <c r="C2387" i="1"/>
  <c r="D2387" i="1"/>
  <c r="C2388" i="1"/>
  <c r="D2388" i="1"/>
  <c r="C2389" i="1"/>
  <c r="D2389" i="1"/>
  <c r="C2390" i="1"/>
  <c r="D2390" i="1"/>
  <c r="C2391" i="1"/>
  <c r="D2391" i="1"/>
  <c r="C2392" i="1"/>
  <c r="D2392" i="1"/>
  <c r="C2393" i="1"/>
  <c r="D2393" i="1"/>
  <c r="C2394" i="1"/>
  <c r="D2394" i="1"/>
  <c r="C2395" i="1"/>
  <c r="D2395" i="1"/>
  <c r="C2396" i="1"/>
  <c r="D2396" i="1"/>
  <c r="C2397" i="1"/>
  <c r="D2397" i="1"/>
  <c r="C2398" i="1"/>
  <c r="D2398" i="1"/>
  <c r="C2399" i="1"/>
  <c r="D2399" i="1"/>
  <c r="C2400" i="1"/>
  <c r="D2400" i="1"/>
  <c r="C2401" i="1"/>
  <c r="D2401" i="1"/>
  <c r="C2402" i="1"/>
  <c r="D2402" i="1"/>
  <c r="C2403" i="1"/>
  <c r="D2403" i="1"/>
  <c r="C2404" i="1"/>
  <c r="D2404" i="1"/>
  <c r="C2405" i="1"/>
  <c r="D2405" i="1"/>
  <c r="C2406" i="1"/>
  <c r="D2406" i="1"/>
  <c r="C2407" i="1"/>
  <c r="D2407" i="1"/>
  <c r="C2408" i="1"/>
  <c r="D2408" i="1"/>
  <c r="C2409" i="1"/>
  <c r="D2409" i="1"/>
  <c r="C2410" i="1"/>
  <c r="D2410" i="1"/>
  <c r="C2411" i="1"/>
  <c r="D2411" i="1"/>
  <c r="C2412" i="1"/>
  <c r="D2412" i="1"/>
  <c r="C2413" i="1"/>
  <c r="D2413" i="1"/>
  <c r="C2414" i="1"/>
  <c r="D2414" i="1"/>
  <c r="C2415" i="1"/>
  <c r="D2415" i="1"/>
  <c r="C2416" i="1"/>
  <c r="D2416" i="1"/>
  <c r="C2417" i="1"/>
  <c r="D2417" i="1"/>
  <c r="C2418" i="1"/>
  <c r="D2418" i="1"/>
  <c r="C2419" i="1"/>
  <c r="D2419" i="1"/>
  <c r="C2420" i="1"/>
  <c r="D2420" i="1"/>
  <c r="C2421" i="1"/>
  <c r="D2421" i="1"/>
  <c r="C2422" i="1"/>
  <c r="D2422" i="1"/>
  <c r="C2423" i="1"/>
  <c r="D2423" i="1"/>
  <c r="C2424" i="1"/>
  <c r="D2424" i="1"/>
  <c r="C2425" i="1"/>
  <c r="D2425" i="1"/>
  <c r="C2426" i="1"/>
  <c r="D2426" i="1"/>
  <c r="C2427" i="1"/>
  <c r="D2427" i="1"/>
  <c r="C2428" i="1"/>
  <c r="D2428" i="1"/>
  <c r="C2429" i="1"/>
  <c r="D2429" i="1"/>
  <c r="C2430" i="1"/>
  <c r="D2430" i="1"/>
  <c r="C2431" i="1"/>
  <c r="D2431" i="1"/>
  <c r="C2432" i="1"/>
  <c r="D2432" i="1"/>
  <c r="C2433" i="1"/>
  <c r="D2433" i="1"/>
  <c r="C2434" i="1"/>
  <c r="D2434" i="1"/>
  <c r="C2435" i="1"/>
  <c r="D2435" i="1"/>
  <c r="C2436" i="1"/>
  <c r="D2436" i="1"/>
  <c r="C2437" i="1"/>
  <c r="D2437" i="1"/>
  <c r="C2438" i="1"/>
  <c r="D2438" i="1"/>
  <c r="C2439" i="1"/>
  <c r="D2439" i="1"/>
  <c r="C2440" i="1"/>
  <c r="D2440" i="1"/>
  <c r="C2441" i="1"/>
  <c r="D2441" i="1"/>
  <c r="C2442" i="1"/>
  <c r="D2442" i="1"/>
  <c r="C2443" i="1"/>
  <c r="D2443" i="1"/>
  <c r="C2444" i="1"/>
  <c r="D2444" i="1"/>
  <c r="C2445" i="1"/>
  <c r="D2445" i="1"/>
  <c r="C2446" i="1"/>
  <c r="D2446" i="1"/>
  <c r="C2447" i="1"/>
  <c r="D2447" i="1"/>
  <c r="C2448" i="1"/>
  <c r="D2448" i="1"/>
  <c r="C2449" i="1"/>
  <c r="D2449" i="1"/>
  <c r="C2450" i="1"/>
  <c r="D2450" i="1"/>
  <c r="C2451" i="1"/>
  <c r="D2451" i="1"/>
  <c r="C2452" i="1"/>
  <c r="D2452" i="1"/>
  <c r="C2453" i="1"/>
  <c r="D2453" i="1"/>
  <c r="C2454" i="1"/>
  <c r="D2454" i="1"/>
  <c r="C2455" i="1"/>
  <c r="D2455" i="1"/>
  <c r="C2456" i="1"/>
  <c r="D2456" i="1"/>
  <c r="C2457" i="1"/>
  <c r="D2457" i="1"/>
  <c r="C2458" i="1"/>
  <c r="D2458" i="1"/>
  <c r="C2459" i="1"/>
  <c r="D2459" i="1"/>
  <c r="C2460" i="1"/>
  <c r="D2460" i="1"/>
  <c r="C2461" i="1"/>
  <c r="D2461" i="1"/>
  <c r="C2462" i="1"/>
  <c r="D2462" i="1"/>
  <c r="C2463" i="1"/>
  <c r="D2463" i="1"/>
  <c r="C2464" i="1"/>
  <c r="D2464" i="1"/>
  <c r="C2465" i="1"/>
  <c r="D2465" i="1"/>
  <c r="C2466" i="1"/>
  <c r="D2466" i="1"/>
  <c r="C2467" i="1"/>
  <c r="D2467" i="1"/>
  <c r="C2468" i="1"/>
  <c r="D2468" i="1"/>
  <c r="C2469" i="1"/>
  <c r="D2469" i="1"/>
  <c r="C2470" i="1"/>
  <c r="D2470" i="1"/>
  <c r="C2471" i="1"/>
  <c r="D2471" i="1"/>
  <c r="C2472" i="1"/>
  <c r="D2472" i="1"/>
  <c r="C2473" i="1"/>
  <c r="D2473" i="1"/>
  <c r="C2474" i="1"/>
  <c r="D2474" i="1"/>
  <c r="C2475" i="1"/>
  <c r="D2475" i="1"/>
  <c r="C2476" i="1"/>
  <c r="D2476" i="1"/>
  <c r="C2477" i="1"/>
  <c r="D2477" i="1"/>
  <c r="C2478" i="1"/>
  <c r="D2478" i="1"/>
  <c r="C2479" i="1"/>
  <c r="D2479" i="1"/>
  <c r="C2480" i="1"/>
  <c r="D2480" i="1"/>
  <c r="C2481" i="1"/>
  <c r="D2481" i="1"/>
  <c r="C2482" i="1"/>
  <c r="D2482" i="1"/>
  <c r="C2483" i="1"/>
  <c r="D2483" i="1"/>
  <c r="C2484" i="1"/>
  <c r="D2484" i="1"/>
  <c r="C2485" i="1"/>
  <c r="D2485" i="1"/>
  <c r="C2486" i="1"/>
  <c r="D2486" i="1"/>
  <c r="C2487" i="1"/>
  <c r="D2487" i="1"/>
  <c r="C2488" i="1"/>
  <c r="D2488" i="1"/>
  <c r="C2489" i="1"/>
  <c r="D2489" i="1"/>
  <c r="C2490" i="1"/>
  <c r="D2490" i="1"/>
  <c r="C2491" i="1"/>
  <c r="D2491" i="1"/>
  <c r="C2492" i="1"/>
  <c r="D2492" i="1"/>
  <c r="C2493" i="1"/>
  <c r="D2493" i="1"/>
  <c r="C2494" i="1"/>
  <c r="D2494" i="1"/>
  <c r="C2495" i="1"/>
  <c r="D2495" i="1"/>
  <c r="C2496" i="1"/>
  <c r="D2496" i="1"/>
  <c r="C2497" i="1"/>
  <c r="D2497" i="1"/>
  <c r="C2498" i="1"/>
  <c r="D2498" i="1"/>
  <c r="C2499" i="1"/>
  <c r="D2499" i="1"/>
  <c r="C2500" i="1"/>
  <c r="D2500" i="1"/>
  <c r="C2501" i="1"/>
  <c r="D2501" i="1"/>
  <c r="C2502" i="1"/>
  <c r="D2502" i="1"/>
  <c r="C2503" i="1"/>
  <c r="D2503" i="1"/>
  <c r="C2504" i="1"/>
  <c r="D2504" i="1"/>
  <c r="C2505" i="1"/>
  <c r="D2505" i="1"/>
  <c r="C2506" i="1"/>
  <c r="D2506" i="1"/>
  <c r="C2507" i="1"/>
  <c r="D2507" i="1"/>
  <c r="C2508" i="1"/>
  <c r="D2508" i="1"/>
  <c r="C2509" i="1"/>
  <c r="D2509" i="1"/>
  <c r="C2510" i="1"/>
  <c r="D2510" i="1"/>
  <c r="C2511" i="1"/>
  <c r="D2511" i="1"/>
  <c r="C2512" i="1"/>
  <c r="D2512" i="1"/>
  <c r="C2513" i="1"/>
  <c r="D2513" i="1"/>
  <c r="C2514" i="1"/>
  <c r="D2514" i="1"/>
  <c r="C2515" i="1"/>
  <c r="D2515" i="1"/>
  <c r="C2516" i="1"/>
  <c r="D2516" i="1"/>
  <c r="C2517" i="1"/>
  <c r="D2517" i="1"/>
  <c r="C2518" i="1"/>
  <c r="D2518" i="1"/>
  <c r="C2519" i="1"/>
  <c r="D2519" i="1"/>
  <c r="C2520" i="1"/>
  <c r="D2520" i="1"/>
  <c r="C2521" i="1"/>
  <c r="D2521" i="1"/>
  <c r="C2522" i="1"/>
  <c r="D2522" i="1"/>
  <c r="C2523" i="1"/>
  <c r="D2523" i="1"/>
  <c r="C2524" i="1"/>
  <c r="D2524" i="1"/>
  <c r="C2525" i="1"/>
  <c r="D2525" i="1"/>
  <c r="C2526" i="1"/>
  <c r="D2526" i="1"/>
  <c r="C2527" i="1"/>
  <c r="D2527" i="1"/>
  <c r="C2528" i="1"/>
  <c r="D2528" i="1"/>
  <c r="C2529" i="1"/>
  <c r="D2529" i="1"/>
  <c r="C2530" i="1"/>
  <c r="D2530" i="1"/>
  <c r="C2531" i="1"/>
  <c r="D2531" i="1"/>
  <c r="C2532" i="1"/>
  <c r="D2532" i="1"/>
  <c r="C2533" i="1"/>
  <c r="D2533" i="1"/>
  <c r="C2534" i="1"/>
  <c r="D2534" i="1"/>
  <c r="C2535" i="1"/>
  <c r="D2535" i="1"/>
  <c r="C2536" i="1"/>
  <c r="D2536" i="1"/>
  <c r="C2537" i="1"/>
  <c r="D2537" i="1"/>
  <c r="C2538" i="1"/>
  <c r="D2538" i="1"/>
  <c r="C2539" i="1"/>
  <c r="D2539" i="1"/>
  <c r="C2540" i="1"/>
  <c r="D2540" i="1"/>
  <c r="C2541" i="1"/>
  <c r="D2541" i="1"/>
  <c r="C2542" i="1"/>
  <c r="D2542" i="1"/>
  <c r="C2543" i="1"/>
  <c r="D2543" i="1"/>
  <c r="C2544" i="1"/>
  <c r="D2544" i="1"/>
  <c r="C2545" i="1"/>
  <c r="D2545" i="1"/>
  <c r="C2546" i="1"/>
  <c r="D2546" i="1"/>
  <c r="C2547" i="1"/>
  <c r="D2547" i="1"/>
  <c r="C2548" i="1"/>
  <c r="D2548" i="1"/>
  <c r="C2549" i="1"/>
  <c r="D2549" i="1"/>
  <c r="C2550" i="1"/>
  <c r="D2550" i="1"/>
  <c r="C2551" i="1"/>
  <c r="D2551" i="1"/>
  <c r="C2552" i="1"/>
  <c r="D2552" i="1"/>
  <c r="C2553" i="1"/>
  <c r="D2553" i="1"/>
  <c r="C2554" i="1"/>
  <c r="D2554" i="1"/>
  <c r="C2555" i="1"/>
  <c r="D2555" i="1"/>
  <c r="C2556" i="1"/>
  <c r="D2556" i="1"/>
  <c r="C2557" i="1"/>
  <c r="D2557" i="1"/>
  <c r="C2558" i="1"/>
  <c r="D2558" i="1"/>
  <c r="C2559" i="1"/>
  <c r="D2559" i="1"/>
  <c r="C2560" i="1"/>
  <c r="D2560" i="1"/>
  <c r="C2561" i="1"/>
  <c r="D2561" i="1"/>
  <c r="C2562" i="1"/>
  <c r="D2562" i="1"/>
  <c r="C2563" i="1"/>
  <c r="D2563" i="1"/>
  <c r="C2564" i="1"/>
  <c r="D2564" i="1"/>
  <c r="C2565" i="1"/>
  <c r="D2565" i="1"/>
  <c r="C2566" i="1"/>
  <c r="D2566" i="1"/>
  <c r="C2567" i="1"/>
  <c r="D2567" i="1"/>
  <c r="C2568" i="1"/>
  <c r="D2568" i="1"/>
  <c r="C2569" i="1"/>
  <c r="D2569" i="1"/>
  <c r="C2570" i="1"/>
  <c r="D2570" i="1"/>
  <c r="C2571" i="1"/>
  <c r="D2571" i="1"/>
  <c r="C2572" i="1"/>
  <c r="D2572" i="1"/>
  <c r="C2573" i="1"/>
  <c r="D2573" i="1"/>
  <c r="C2574" i="1"/>
  <c r="D2574" i="1"/>
  <c r="C2575" i="1"/>
  <c r="D2575" i="1"/>
  <c r="C2576" i="1"/>
  <c r="D2576" i="1"/>
  <c r="C2577" i="1"/>
  <c r="D2577" i="1"/>
  <c r="C2578" i="1"/>
  <c r="D2578" i="1"/>
  <c r="C2579" i="1"/>
  <c r="D2579" i="1"/>
  <c r="C2580" i="1"/>
  <c r="D2580" i="1"/>
  <c r="C2581" i="1"/>
  <c r="D2581" i="1"/>
  <c r="C2582" i="1"/>
  <c r="D2582" i="1"/>
  <c r="C2583" i="1"/>
  <c r="D2583" i="1"/>
  <c r="C2584" i="1"/>
  <c r="D2584" i="1"/>
  <c r="C2585" i="1"/>
  <c r="D2585" i="1"/>
  <c r="C2586" i="1"/>
  <c r="D2586" i="1"/>
  <c r="C2587" i="1"/>
  <c r="D2587" i="1"/>
  <c r="C2588" i="1"/>
  <c r="D2588" i="1"/>
  <c r="C2589" i="1"/>
  <c r="D2589" i="1"/>
  <c r="C2590" i="1"/>
  <c r="D2590" i="1"/>
  <c r="C2591" i="1"/>
  <c r="D2591" i="1"/>
  <c r="C2592" i="1"/>
  <c r="D2592" i="1"/>
  <c r="C2593" i="1"/>
  <c r="D2593" i="1"/>
  <c r="C2594" i="1"/>
  <c r="D2594" i="1"/>
  <c r="C2595" i="1"/>
  <c r="D2595" i="1"/>
  <c r="C2596" i="1"/>
  <c r="D2596" i="1"/>
  <c r="C2597" i="1"/>
  <c r="D2597" i="1"/>
  <c r="C2598" i="1"/>
  <c r="D2598" i="1"/>
  <c r="C2599" i="1"/>
  <c r="D2599" i="1"/>
  <c r="C2600" i="1"/>
  <c r="D2600" i="1"/>
  <c r="C2601" i="1"/>
  <c r="D2601" i="1"/>
  <c r="C2602" i="1"/>
  <c r="D2602" i="1"/>
  <c r="C2603" i="1"/>
  <c r="D2603" i="1"/>
  <c r="C2604" i="1"/>
  <c r="D2604" i="1"/>
  <c r="C2605" i="1"/>
  <c r="D2605" i="1"/>
  <c r="C2606" i="1"/>
  <c r="D2606" i="1"/>
  <c r="C2607" i="1"/>
  <c r="D2607" i="1"/>
  <c r="C2608" i="1"/>
  <c r="D2608" i="1"/>
  <c r="C2609" i="1"/>
  <c r="D2609" i="1"/>
  <c r="C2610" i="1"/>
  <c r="D2610" i="1"/>
  <c r="C2611" i="1"/>
  <c r="D2611" i="1"/>
  <c r="C2612" i="1"/>
  <c r="D2612" i="1"/>
  <c r="C2613" i="1"/>
  <c r="D2613" i="1"/>
  <c r="C2614" i="1"/>
  <c r="D2614" i="1"/>
  <c r="C2615" i="1"/>
  <c r="D2615" i="1"/>
  <c r="C2616" i="1"/>
  <c r="D2616" i="1"/>
  <c r="C2617" i="1"/>
  <c r="D2617" i="1"/>
  <c r="C2618" i="1"/>
  <c r="D2618" i="1"/>
  <c r="C2619" i="1"/>
  <c r="D2619" i="1"/>
  <c r="C2620" i="1"/>
  <c r="D2620" i="1"/>
  <c r="C2621" i="1"/>
  <c r="D2621" i="1"/>
  <c r="C2622" i="1"/>
  <c r="D2622" i="1"/>
  <c r="C2623" i="1"/>
  <c r="D2623" i="1"/>
  <c r="C2624" i="1"/>
  <c r="D2624" i="1"/>
  <c r="C2625" i="1"/>
  <c r="D2625" i="1"/>
  <c r="C2626" i="1"/>
  <c r="D2626" i="1"/>
  <c r="C2627" i="1"/>
  <c r="D2627" i="1"/>
  <c r="C2628" i="1"/>
  <c r="D2628" i="1"/>
  <c r="C2629" i="1"/>
  <c r="D2629" i="1"/>
  <c r="C2630" i="1"/>
  <c r="D2630" i="1"/>
  <c r="C2631" i="1"/>
  <c r="D2631" i="1"/>
  <c r="C2632" i="1"/>
  <c r="D2632" i="1"/>
  <c r="C2633" i="1"/>
  <c r="D2633" i="1"/>
  <c r="C2634" i="1"/>
  <c r="D2634" i="1"/>
  <c r="C2635" i="1"/>
  <c r="D2635" i="1"/>
  <c r="C2636" i="1"/>
  <c r="D2636" i="1"/>
  <c r="C2637" i="1"/>
  <c r="D2637" i="1"/>
  <c r="C2638" i="1"/>
  <c r="D2638" i="1"/>
  <c r="C2639" i="1"/>
  <c r="D2639" i="1"/>
  <c r="C2640" i="1"/>
  <c r="D2640" i="1"/>
  <c r="C2641" i="1"/>
  <c r="D2641" i="1"/>
  <c r="C2642" i="1"/>
  <c r="D2642" i="1"/>
  <c r="C2643" i="1"/>
  <c r="D2643" i="1"/>
  <c r="C2644" i="1"/>
  <c r="D2644" i="1"/>
  <c r="C2645" i="1"/>
  <c r="D2645" i="1"/>
  <c r="C2646" i="1"/>
  <c r="D2646" i="1"/>
  <c r="C2647" i="1"/>
  <c r="D2647" i="1"/>
  <c r="C2648" i="1"/>
  <c r="D2648" i="1"/>
  <c r="C2649" i="1"/>
  <c r="D2649" i="1"/>
  <c r="C2650" i="1"/>
  <c r="D2650" i="1"/>
  <c r="C2651" i="1"/>
  <c r="D2651" i="1"/>
  <c r="C2652" i="1"/>
  <c r="D2652" i="1"/>
  <c r="C2653" i="1"/>
  <c r="D2653" i="1"/>
  <c r="C2654" i="1"/>
  <c r="D2654" i="1"/>
  <c r="C2655" i="1"/>
  <c r="D2655" i="1"/>
  <c r="C2656" i="1"/>
  <c r="D2656" i="1"/>
  <c r="C2657" i="1"/>
  <c r="D2657" i="1"/>
  <c r="C2658" i="1"/>
  <c r="D2658" i="1"/>
  <c r="C2659" i="1"/>
  <c r="D2659" i="1"/>
  <c r="C2660" i="1"/>
  <c r="D2660" i="1"/>
  <c r="C2661" i="1"/>
  <c r="D2661" i="1"/>
  <c r="C2662" i="1"/>
  <c r="D2662" i="1"/>
  <c r="C2663" i="1"/>
  <c r="D2663" i="1"/>
  <c r="C2664" i="1"/>
  <c r="D2664" i="1"/>
  <c r="C2665" i="1"/>
  <c r="D2665" i="1"/>
  <c r="C2666" i="1"/>
  <c r="D2666" i="1"/>
  <c r="C2667" i="1"/>
  <c r="D2667" i="1"/>
  <c r="C2668" i="1"/>
  <c r="D2668" i="1"/>
  <c r="C2669" i="1"/>
  <c r="D2669" i="1"/>
  <c r="C2670" i="1"/>
  <c r="D2670" i="1"/>
  <c r="C2671" i="1"/>
  <c r="D2671" i="1"/>
  <c r="C2672" i="1"/>
  <c r="D2672" i="1"/>
  <c r="C2673" i="1"/>
  <c r="D2673" i="1"/>
  <c r="C2674" i="1"/>
  <c r="D2674" i="1"/>
  <c r="C2675" i="1"/>
  <c r="D2675" i="1"/>
  <c r="C2676" i="1"/>
  <c r="D2676" i="1"/>
  <c r="C2677" i="1"/>
  <c r="D2677" i="1"/>
  <c r="C2678" i="1"/>
  <c r="D2678" i="1"/>
  <c r="C2679" i="1"/>
  <c r="D2679" i="1"/>
  <c r="C2680" i="1"/>
  <c r="D2680" i="1"/>
  <c r="C2681" i="1"/>
  <c r="D2681" i="1"/>
  <c r="C2682" i="1"/>
  <c r="D2682" i="1"/>
  <c r="C2683" i="1"/>
  <c r="D2683" i="1"/>
  <c r="C2684" i="1"/>
  <c r="D2684" i="1"/>
  <c r="C2685" i="1"/>
  <c r="D2685" i="1"/>
  <c r="C2686" i="1"/>
  <c r="D2686" i="1"/>
  <c r="C2687" i="1"/>
  <c r="D2687" i="1"/>
  <c r="C2688" i="1"/>
  <c r="D2688" i="1"/>
  <c r="C2689" i="1"/>
  <c r="D2689" i="1"/>
  <c r="C2690" i="1"/>
  <c r="D2690" i="1"/>
  <c r="C2691" i="1"/>
  <c r="D2691" i="1"/>
  <c r="C2692" i="1"/>
  <c r="D2692" i="1"/>
  <c r="C2693" i="1"/>
  <c r="D2693" i="1"/>
  <c r="C2694" i="1"/>
  <c r="D2694" i="1"/>
  <c r="C2695" i="1"/>
  <c r="D2695" i="1"/>
  <c r="C2696" i="1"/>
  <c r="D2696" i="1"/>
  <c r="C2697" i="1"/>
  <c r="D2697" i="1"/>
  <c r="C2698" i="1"/>
  <c r="D2698" i="1"/>
  <c r="C2699" i="1"/>
  <c r="D2699" i="1"/>
  <c r="C2700" i="1"/>
  <c r="D2700" i="1"/>
  <c r="C2701" i="1"/>
  <c r="D2701" i="1"/>
  <c r="C2702" i="1"/>
  <c r="D2702" i="1"/>
  <c r="C2703" i="1"/>
  <c r="D2703" i="1"/>
  <c r="C2704" i="1"/>
  <c r="D2704" i="1"/>
  <c r="C2705" i="1"/>
  <c r="D2705" i="1"/>
  <c r="C2706" i="1"/>
  <c r="D2706" i="1"/>
  <c r="C2707" i="1"/>
  <c r="D2707" i="1"/>
  <c r="C2708" i="1"/>
  <c r="D2708" i="1"/>
  <c r="C2709" i="1"/>
  <c r="D2709" i="1"/>
  <c r="C2710" i="1"/>
  <c r="D2710" i="1"/>
  <c r="C2711" i="1"/>
  <c r="D2711" i="1"/>
  <c r="C2712" i="1"/>
  <c r="D2712" i="1"/>
  <c r="C2713" i="1"/>
  <c r="D2713" i="1"/>
  <c r="C2714" i="1"/>
  <c r="D2714" i="1"/>
  <c r="C2715" i="1"/>
  <c r="D2715" i="1"/>
  <c r="C2716" i="1"/>
  <c r="D2716" i="1"/>
  <c r="C2717" i="1"/>
  <c r="D2717" i="1"/>
  <c r="C2718" i="1"/>
  <c r="D2718" i="1"/>
  <c r="C2719" i="1"/>
  <c r="D2719" i="1"/>
  <c r="C2720" i="1"/>
  <c r="D2720" i="1"/>
  <c r="C2721" i="1"/>
  <c r="D2721" i="1"/>
  <c r="C2722" i="1"/>
  <c r="D2722" i="1"/>
  <c r="C2723" i="1"/>
  <c r="D2723" i="1"/>
  <c r="C2724" i="1"/>
  <c r="D2724" i="1"/>
  <c r="C2725" i="1"/>
  <c r="D2725" i="1"/>
  <c r="C2726" i="1"/>
  <c r="D2726" i="1"/>
  <c r="C2727" i="1"/>
  <c r="D2727" i="1"/>
  <c r="C2728" i="1"/>
  <c r="D2728" i="1"/>
  <c r="C2729" i="1"/>
  <c r="D2729" i="1"/>
  <c r="C2730" i="1"/>
  <c r="D2730" i="1"/>
  <c r="C2731" i="1"/>
  <c r="D2731" i="1"/>
  <c r="C2732" i="1"/>
  <c r="D2732" i="1"/>
  <c r="C2733" i="1"/>
  <c r="D2733" i="1"/>
  <c r="C2734" i="1"/>
  <c r="D2734" i="1"/>
  <c r="C2735" i="1"/>
  <c r="D2735" i="1"/>
  <c r="C2736" i="1"/>
  <c r="D2736" i="1"/>
  <c r="C2737" i="1"/>
  <c r="D2737" i="1"/>
  <c r="C2738" i="1"/>
  <c r="D2738" i="1"/>
  <c r="C2739" i="1"/>
  <c r="D2739" i="1"/>
  <c r="C2740" i="1"/>
  <c r="D2740" i="1"/>
  <c r="C2741" i="1"/>
  <c r="D2741" i="1"/>
  <c r="C2742" i="1"/>
  <c r="D2742" i="1"/>
  <c r="C2743" i="1"/>
  <c r="D2743" i="1"/>
  <c r="C2744" i="1"/>
  <c r="D2744" i="1"/>
  <c r="C2745" i="1"/>
  <c r="D2745" i="1"/>
  <c r="C2746" i="1"/>
  <c r="D2746" i="1"/>
  <c r="C2747" i="1"/>
  <c r="D2747" i="1"/>
  <c r="C2748" i="1"/>
  <c r="D2748" i="1"/>
  <c r="C2749" i="1"/>
  <c r="D2749" i="1"/>
  <c r="C2750" i="1"/>
  <c r="D2750" i="1"/>
  <c r="C2751" i="1"/>
  <c r="D2751" i="1"/>
  <c r="C2752" i="1"/>
  <c r="D2752" i="1"/>
  <c r="C2753" i="1"/>
  <c r="D2753" i="1"/>
  <c r="C2754" i="1"/>
  <c r="D2754" i="1"/>
  <c r="C2755" i="1"/>
  <c r="D2755" i="1"/>
  <c r="C2756" i="1"/>
  <c r="D2756" i="1"/>
  <c r="C2757" i="1"/>
  <c r="D2757" i="1"/>
  <c r="C2758" i="1"/>
  <c r="D2758" i="1"/>
  <c r="C2759" i="1"/>
  <c r="D2759" i="1"/>
  <c r="C2760" i="1"/>
  <c r="D2760" i="1"/>
  <c r="C2761" i="1"/>
  <c r="D2761" i="1"/>
  <c r="C2762" i="1"/>
  <c r="D2762" i="1"/>
  <c r="C2763" i="1"/>
  <c r="D2763" i="1"/>
  <c r="C2764" i="1"/>
  <c r="D2764" i="1"/>
  <c r="C2765" i="1"/>
  <c r="D2765" i="1"/>
  <c r="C2766" i="1"/>
  <c r="D2766" i="1"/>
  <c r="C2767" i="1"/>
  <c r="D2767" i="1"/>
  <c r="C2768" i="1"/>
  <c r="D2768" i="1"/>
  <c r="C2769" i="1"/>
  <c r="D2769" i="1"/>
  <c r="C2770" i="1"/>
  <c r="D2770" i="1"/>
  <c r="C2771" i="1"/>
  <c r="D2771" i="1"/>
  <c r="C2772" i="1"/>
  <c r="D2772" i="1"/>
  <c r="C2773" i="1"/>
  <c r="D2773" i="1"/>
  <c r="C2774" i="1"/>
  <c r="D2774" i="1"/>
  <c r="C2775" i="1"/>
  <c r="D2775" i="1"/>
  <c r="C2776" i="1"/>
  <c r="D2776" i="1"/>
  <c r="C2777" i="1"/>
  <c r="D2777" i="1"/>
  <c r="C2778" i="1"/>
  <c r="D2778" i="1"/>
  <c r="C2779" i="1"/>
  <c r="D2779" i="1"/>
  <c r="C2780" i="1"/>
  <c r="D2780" i="1"/>
  <c r="C2781" i="1"/>
  <c r="D2781" i="1"/>
  <c r="C2782" i="1"/>
  <c r="D2782" i="1"/>
  <c r="C2783" i="1"/>
  <c r="D2783" i="1"/>
  <c r="C2784" i="1"/>
  <c r="D2784" i="1"/>
  <c r="C2785" i="1"/>
  <c r="D2785" i="1"/>
  <c r="C2786" i="1"/>
  <c r="D2786" i="1"/>
  <c r="C2787" i="1"/>
  <c r="D2787" i="1"/>
  <c r="C2788" i="1"/>
  <c r="D2788" i="1"/>
  <c r="C2789" i="1"/>
  <c r="D2789" i="1"/>
  <c r="C2790" i="1"/>
  <c r="D2790" i="1"/>
  <c r="C2791" i="1"/>
  <c r="D2791" i="1"/>
  <c r="C2792" i="1"/>
  <c r="D2792" i="1"/>
  <c r="C2793" i="1"/>
  <c r="D2793" i="1"/>
  <c r="C2794" i="1"/>
  <c r="D2794" i="1"/>
  <c r="C2795" i="1"/>
  <c r="D2795" i="1"/>
  <c r="C2796" i="1"/>
  <c r="D2796" i="1"/>
  <c r="C2797" i="1"/>
  <c r="D2797" i="1"/>
  <c r="C2798" i="1"/>
  <c r="D2798" i="1"/>
  <c r="C2799" i="1"/>
  <c r="D2799" i="1"/>
  <c r="C2800" i="1"/>
  <c r="D2800" i="1"/>
  <c r="C2801" i="1"/>
  <c r="D2801" i="1"/>
  <c r="C2802" i="1"/>
  <c r="D2802" i="1"/>
  <c r="C2803" i="1"/>
  <c r="D2803" i="1"/>
  <c r="C2804" i="1"/>
  <c r="D2804" i="1"/>
  <c r="C2805" i="1"/>
  <c r="D2805" i="1"/>
  <c r="C2806" i="1"/>
  <c r="D2806" i="1"/>
  <c r="C2807" i="1"/>
  <c r="D2807" i="1"/>
  <c r="C2808" i="1"/>
  <c r="D2808" i="1"/>
  <c r="C2809" i="1"/>
  <c r="D2809" i="1"/>
  <c r="C2810" i="1"/>
  <c r="D2810" i="1"/>
  <c r="C2811" i="1"/>
  <c r="D2811" i="1"/>
  <c r="C2812" i="1"/>
  <c r="D2812" i="1"/>
  <c r="C2813" i="1"/>
  <c r="D2813" i="1"/>
  <c r="C2814" i="1"/>
  <c r="D2814" i="1"/>
  <c r="C2815" i="1"/>
  <c r="D2815" i="1"/>
  <c r="C2816" i="1"/>
  <c r="D2816" i="1"/>
  <c r="C2817" i="1"/>
  <c r="D2817" i="1"/>
  <c r="C2818" i="1"/>
  <c r="D2818" i="1"/>
  <c r="C2819" i="1"/>
  <c r="D2819" i="1"/>
  <c r="C2820" i="1"/>
  <c r="D2820" i="1"/>
  <c r="C2821" i="1"/>
  <c r="D2821" i="1"/>
  <c r="C2822" i="1"/>
  <c r="D2822" i="1"/>
  <c r="C2823" i="1"/>
  <c r="D2823" i="1"/>
  <c r="C2824" i="1"/>
  <c r="D2824" i="1"/>
  <c r="C2825" i="1"/>
  <c r="D2825" i="1"/>
  <c r="C2826" i="1"/>
  <c r="D2826" i="1"/>
  <c r="C2827" i="1"/>
  <c r="D2827" i="1"/>
  <c r="C2828" i="1"/>
  <c r="D2828" i="1"/>
  <c r="C2829" i="1"/>
  <c r="D2829" i="1"/>
  <c r="C2830" i="1"/>
  <c r="D2830" i="1"/>
  <c r="C2831" i="1"/>
  <c r="D2831" i="1"/>
  <c r="C2832" i="1"/>
  <c r="D2832" i="1"/>
  <c r="C2833" i="1"/>
  <c r="D2833" i="1"/>
  <c r="C2834" i="1"/>
  <c r="D2834" i="1"/>
  <c r="C2835" i="1"/>
  <c r="D2835" i="1"/>
  <c r="C2836" i="1"/>
  <c r="D2836" i="1"/>
  <c r="C2837" i="1"/>
  <c r="D2837" i="1"/>
  <c r="C2838" i="1"/>
  <c r="D2838" i="1"/>
  <c r="C2839" i="1"/>
  <c r="D2839" i="1"/>
  <c r="C2840" i="1"/>
  <c r="D2840" i="1"/>
  <c r="C2841" i="1"/>
  <c r="D2841" i="1"/>
  <c r="C2842" i="1"/>
  <c r="D2842" i="1"/>
  <c r="C2843" i="1"/>
  <c r="D2843" i="1"/>
  <c r="C2844" i="1"/>
  <c r="D2844" i="1"/>
  <c r="C2845" i="1"/>
  <c r="D2845" i="1"/>
  <c r="C2846" i="1"/>
  <c r="D2846" i="1"/>
  <c r="C2847" i="1"/>
  <c r="D2847" i="1"/>
  <c r="C2848" i="1"/>
  <c r="D2848" i="1"/>
  <c r="C2849" i="1"/>
  <c r="D2849" i="1"/>
  <c r="C2850" i="1"/>
  <c r="D2850" i="1"/>
  <c r="C2851" i="1"/>
  <c r="D2851" i="1"/>
  <c r="C2852" i="1"/>
  <c r="D2852" i="1"/>
  <c r="C2853" i="1"/>
  <c r="D2853" i="1"/>
  <c r="C2854" i="1"/>
  <c r="D2854" i="1"/>
  <c r="C2855" i="1"/>
  <c r="D2855" i="1"/>
  <c r="C2856" i="1"/>
  <c r="D2856" i="1"/>
  <c r="C2857" i="1"/>
  <c r="D2857" i="1"/>
  <c r="C2858" i="1"/>
  <c r="D2858" i="1"/>
  <c r="C2859" i="1"/>
  <c r="D2859" i="1"/>
  <c r="C2860" i="1"/>
  <c r="D2860" i="1"/>
  <c r="C2861" i="1"/>
  <c r="D2861" i="1"/>
  <c r="C2862" i="1"/>
  <c r="D2862" i="1"/>
  <c r="C2863" i="1"/>
  <c r="D2863" i="1"/>
  <c r="C2864" i="1"/>
  <c r="D2864" i="1"/>
  <c r="C2865" i="1"/>
  <c r="D2865" i="1"/>
  <c r="C2866" i="1"/>
  <c r="D2866" i="1"/>
  <c r="C2867" i="1"/>
  <c r="D2867" i="1"/>
  <c r="C2868" i="1"/>
  <c r="D2868" i="1"/>
  <c r="C2869" i="1"/>
  <c r="D2869" i="1"/>
  <c r="C2870" i="1"/>
  <c r="D2870" i="1"/>
  <c r="C2871" i="1"/>
  <c r="D2871" i="1"/>
  <c r="C2872" i="1"/>
  <c r="D2872" i="1"/>
  <c r="C2873" i="1"/>
  <c r="D2873" i="1"/>
  <c r="C2874" i="1"/>
  <c r="D2874" i="1"/>
  <c r="C2875" i="1"/>
  <c r="D2875" i="1"/>
  <c r="C2876" i="1"/>
  <c r="D2876" i="1"/>
  <c r="C2877" i="1"/>
  <c r="D2877" i="1"/>
  <c r="C2878" i="1"/>
  <c r="D2878" i="1"/>
  <c r="C2879" i="1"/>
  <c r="D2879" i="1"/>
  <c r="C2880" i="1"/>
  <c r="D2880" i="1"/>
  <c r="C2881" i="1"/>
  <c r="D2881" i="1"/>
  <c r="C2882" i="1"/>
  <c r="D2882" i="1"/>
  <c r="C2883" i="1"/>
  <c r="D2883" i="1"/>
  <c r="C2884" i="1"/>
  <c r="D2884" i="1"/>
  <c r="C2885" i="1"/>
  <c r="D2885" i="1"/>
  <c r="C2886" i="1"/>
  <c r="D2886" i="1"/>
  <c r="C2887" i="1"/>
  <c r="D2887" i="1"/>
  <c r="C2888" i="1"/>
  <c r="D2888" i="1"/>
  <c r="C2889" i="1"/>
  <c r="D2889" i="1"/>
  <c r="C2890" i="1"/>
  <c r="D2890" i="1"/>
  <c r="C2891" i="1"/>
  <c r="D2891" i="1"/>
  <c r="C2892" i="1"/>
  <c r="D2892" i="1"/>
  <c r="C2893" i="1"/>
  <c r="D2893" i="1"/>
  <c r="C2894" i="1"/>
  <c r="D2894" i="1"/>
  <c r="C2895" i="1"/>
  <c r="D2895" i="1"/>
  <c r="C2896" i="1"/>
  <c r="D2896" i="1"/>
  <c r="C2897" i="1"/>
  <c r="D2897" i="1"/>
  <c r="C2898" i="1"/>
  <c r="D2898" i="1"/>
  <c r="C2899" i="1"/>
  <c r="D2899" i="1"/>
  <c r="C2900" i="1"/>
  <c r="D2900" i="1"/>
  <c r="C2901" i="1"/>
  <c r="D2901" i="1"/>
  <c r="C2902" i="1"/>
  <c r="D2902" i="1"/>
  <c r="C2903" i="1"/>
  <c r="D2903" i="1"/>
  <c r="C2904" i="1"/>
  <c r="D2904" i="1"/>
  <c r="C2905" i="1"/>
  <c r="D2905" i="1"/>
  <c r="C2906" i="1"/>
  <c r="D2906" i="1"/>
  <c r="C2907" i="1"/>
  <c r="D2907" i="1"/>
  <c r="C2908" i="1"/>
  <c r="D2908" i="1"/>
  <c r="C2909" i="1"/>
  <c r="D2909" i="1"/>
  <c r="C2910" i="1"/>
  <c r="D2910" i="1"/>
  <c r="C2911" i="1"/>
  <c r="D2911" i="1"/>
  <c r="C2912" i="1"/>
  <c r="D2912" i="1"/>
  <c r="C2913" i="1"/>
  <c r="D2913" i="1"/>
  <c r="C2914" i="1"/>
  <c r="D2914" i="1"/>
  <c r="C2915" i="1"/>
  <c r="D2915" i="1"/>
  <c r="C2916" i="1"/>
  <c r="D2916" i="1"/>
  <c r="C2917" i="1"/>
  <c r="D2917" i="1"/>
  <c r="C2918" i="1"/>
  <c r="D2918" i="1"/>
  <c r="C2919" i="1"/>
  <c r="D2919" i="1"/>
  <c r="C2920" i="1"/>
  <c r="D2920" i="1"/>
  <c r="C2921" i="1"/>
  <c r="D2921" i="1"/>
  <c r="C2922" i="1"/>
  <c r="D2922" i="1"/>
  <c r="C2923" i="1"/>
  <c r="D2923" i="1"/>
  <c r="C2924" i="1"/>
  <c r="D2924" i="1"/>
  <c r="C2925" i="1"/>
  <c r="D2925" i="1"/>
  <c r="C2926" i="1"/>
  <c r="D2926" i="1"/>
  <c r="C2927" i="1"/>
  <c r="D2927" i="1"/>
  <c r="C2928" i="1"/>
  <c r="D2928" i="1"/>
  <c r="C2929" i="1"/>
  <c r="D2929" i="1"/>
  <c r="C2930" i="1"/>
  <c r="D2930" i="1"/>
  <c r="C2931" i="1"/>
  <c r="D2931" i="1"/>
  <c r="C2932" i="1"/>
  <c r="D2932" i="1"/>
  <c r="C2933" i="1"/>
  <c r="D2933" i="1"/>
  <c r="C2934" i="1"/>
  <c r="D2934" i="1"/>
  <c r="C2935" i="1"/>
  <c r="D2935" i="1"/>
  <c r="C2936" i="1"/>
  <c r="D2936" i="1"/>
  <c r="C2937" i="1"/>
  <c r="D2937" i="1"/>
  <c r="C2938" i="1"/>
  <c r="D2938" i="1"/>
  <c r="C2939" i="1"/>
  <c r="D2939" i="1"/>
  <c r="C2940" i="1"/>
  <c r="D2940" i="1"/>
  <c r="C2941" i="1"/>
  <c r="D2941" i="1"/>
  <c r="C2942" i="1"/>
  <c r="D2942" i="1"/>
  <c r="C2943" i="1"/>
  <c r="D2943" i="1"/>
  <c r="C2944" i="1"/>
  <c r="D2944" i="1"/>
  <c r="C2945" i="1"/>
  <c r="D2945" i="1"/>
  <c r="C2946" i="1"/>
  <c r="D2946" i="1"/>
  <c r="C2947" i="1"/>
  <c r="D2947" i="1"/>
  <c r="C2948" i="1"/>
  <c r="D2948" i="1"/>
  <c r="C2949" i="1"/>
  <c r="D2949" i="1"/>
  <c r="C2950" i="1"/>
  <c r="D2950" i="1"/>
  <c r="C2951" i="1"/>
  <c r="D2951" i="1"/>
  <c r="C2952" i="1"/>
  <c r="D2952" i="1"/>
  <c r="C2953" i="1"/>
  <c r="D2953" i="1"/>
  <c r="C2954" i="1"/>
  <c r="D2954" i="1"/>
  <c r="C2955" i="1"/>
  <c r="D2955" i="1"/>
  <c r="C2956" i="1"/>
  <c r="D2956" i="1"/>
  <c r="C2957" i="1"/>
  <c r="D2957" i="1"/>
  <c r="C2958" i="1"/>
  <c r="D2958" i="1"/>
  <c r="C2959" i="1"/>
  <c r="D2959" i="1"/>
  <c r="C2960" i="1"/>
  <c r="D2960" i="1"/>
  <c r="C2961" i="1"/>
  <c r="D2961" i="1"/>
  <c r="C2962" i="1"/>
  <c r="D2962" i="1"/>
  <c r="C2963" i="1"/>
  <c r="D2963" i="1"/>
  <c r="C2964" i="1"/>
  <c r="D2964" i="1"/>
  <c r="C2965" i="1"/>
  <c r="D2965" i="1"/>
  <c r="C2966" i="1"/>
  <c r="D2966" i="1"/>
  <c r="C2967" i="1"/>
  <c r="D2967" i="1"/>
  <c r="C2968" i="1"/>
  <c r="D2968" i="1"/>
  <c r="C2969" i="1"/>
  <c r="D2969" i="1"/>
  <c r="C2970" i="1"/>
  <c r="D2970" i="1"/>
  <c r="C2971" i="1"/>
  <c r="D2971" i="1"/>
  <c r="C2972" i="1"/>
  <c r="D2972" i="1"/>
  <c r="C2973" i="1"/>
  <c r="D2973" i="1"/>
  <c r="C2974" i="1"/>
  <c r="D2974" i="1"/>
  <c r="C2975" i="1"/>
  <c r="D2975" i="1"/>
  <c r="C2976" i="1"/>
  <c r="D2976" i="1"/>
  <c r="C2977" i="1"/>
  <c r="D2977" i="1"/>
  <c r="C2978" i="1"/>
  <c r="D2978" i="1"/>
  <c r="C2979" i="1"/>
  <c r="D2979" i="1"/>
  <c r="C2980" i="1"/>
  <c r="D2980" i="1"/>
  <c r="C2981" i="1"/>
  <c r="D2981" i="1"/>
  <c r="C2982" i="1"/>
  <c r="D2982" i="1"/>
  <c r="C2983" i="1"/>
  <c r="D2983" i="1"/>
  <c r="C2984" i="1"/>
  <c r="D2984" i="1"/>
  <c r="C2985" i="1"/>
  <c r="D2985" i="1"/>
  <c r="C2986" i="1"/>
  <c r="D2986" i="1"/>
  <c r="C2987" i="1"/>
  <c r="D2987" i="1"/>
  <c r="C2988" i="1"/>
  <c r="D2988" i="1"/>
  <c r="C2989" i="1"/>
  <c r="D2989" i="1"/>
  <c r="C2990" i="1"/>
  <c r="D2990" i="1"/>
  <c r="C2991" i="1"/>
  <c r="D2991" i="1"/>
  <c r="C2992" i="1"/>
  <c r="D2992" i="1"/>
  <c r="C2993" i="1"/>
  <c r="D2993" i="1"/>
  <c r="C2994" i="1"/>
  <c r="D2994" i="1"/>
  <c r="C2995" i="1"/>
  <c r="D2995" i="1"/>
  <c r="C2996" i="1"/>
  <c r="D2996" i="1"/>
  <c r="C2997" i="1"/>
  <c r="D2997" i="1"/>
  <c r="C2998" i="1"/>
  <c r="D2998" i="1"/>
  <c r="C2999" i="1"/>
  <c r="D2999" i="1"/>
  <c r="C3000" i="1"/>
  <c r="D3000" i="1"/>
  <c r="C3001" i="1"/>
  <c r="D3001" i="1"/>
  <c r="C3002" i="1"/>
  <c r="D3002" i="1"/>
  <c r="C3003" i="1"/>
  <c r="D3003" i="1"/>
  <c r="C3004" i="1"/>
  <c r="D3004" i="1"/>
  <c r="C3005" i="1"/>
  <c r="D3005" i="1"/>
  <c r="C3006" i="1"/>
  <c r="D3006" i="1"/>
  <c r="C3007" i="1"/>
  <c r="D3007" i="1"/>
  <c r="C3008" i="1"/>
  <c r="D3008" i="1"/>
  <c r="C3009" i="1"/>
  <c r="D3009" i="1"/>
  <c r="C3010" i="1"/>
  <c r="D3010" i="1"/>
  <c r="C3011" i="1"/>
  <c r="D3011" i="1"/>
  <c r="C3012" i="1"/>
  <c r="D3012" i="1"/>
  <c r="C3013" i="1"/>
  <c r="D3013" i="1"/>
  <c r="C3014" i="1"/>
  <c r="D3014" i="1"/>
  <c r="C3015" i="1"/>
  <c r="D3015" i="1"/>
  <c r="C3016" i="1"/>
  <c r="D3016" i="1"/>
  <c r="C3017" i="1"/>
  <c r="D3017" i="1"/>
  <c r="C3018" i="1"/>
  <c r="D3018" i="1"/>
  <c r="C3019" i="1"/>
  <c r="D3019" i="1"/>
  <c r="C3020" i="1"/>
  <c r="D3020" i="1"/>
  <c r="C3021" i="1"/>
  <c r="D3021" i="1"/>
  <c r="C3022" i="1"/>
  <c r="D3022" i="1"/>
  <c r="C3023" i="1"/>
  <c r="D3023" i="1"/>
  <c r="C3024" i="1"/>
  <c r="D3024" i="1"/>
  <c r="C3025" i="1"/>
  <c r="D3025" i="1"/>
  <c r="C3026" i="1"/>
  <c r="D3026" i="1"/>
  <c r="C3027" i="1"/>
  <c r="D3027" i="1"/>
  <c r="C3028" i="1"/>
  <c r="D3028" i="1"/>
  <c r="C3029" i="1"/>
  <c r="D3029" i="1"/>
  <c r="C3030" i="1"/>
  <c r="D3030" i="1"/>
  <c r="C3031" i="1"/>
  <c r="D3031" i="1"/>
  <c r="C3032" i="1"/>
  <c r="D3032" i="1"/>
  <c r="C3033" i="1"/>
  <c r="D3033" i="1"/>
  <c r="C3034" i="1"/>
  <c r="D3034" i="1"/>
  <c r="C3035" i="1"/>
  <c r="D3035" i="1"/>
  <c r="C3036" i="1"/>
  <c r="D3036" i="1"/>
  <c r="C3037" i="1"/>
  <c r="D3037" i="1"/>
  <c r="C3038" i="1"/>
  <c r="D3038" i="1"/>
  <c r="C3039" i="1"/>
  <c r="D3039" i="1"/>
  <c r="C3040" i="1"/>
  <c r="D3040" i="1"/>
  <c r="C3041" i="1"/>
  <c r="D3041" i="1"/>
  <c r="C3042" i="1"/>
  <c r="D3042" i="1"/>
  <c r="C3043" i="1"/>
  <c r="D3043" i="1"/>
  <c r="C3044" i="1"/>
  <c r="D3044" i="1"/>
  <c r="C3045" i="1"/>
  <c r="D3045" i="1"/>
  <c r="C3046" i="1"/>
  <c r="D3046" i="1"/>
  <c r="C3047" i="1"/>
  <c r="D3047" i="1"/>
  <c r="C3048" i="1"/>
  <c r="D3048" i="1"/>
  <c r="C3049" i="1"/>
  <c r="D3049" i="1"/>
  <c r="C3050" i="1"/>
  <c r="D3050" i="1"/>
  <c r="C3051" i="1"/>
  <c r="D3051" i="1"/>
  <c r="C3052" i="1"/>
  <c r="D3052" i="1"/>
  <c r="C3053" i="1"/>
  <c r="D3053" i="1"/>
  <c r="C3054" i="1"/>
  <c r="D3054" i="1"/>
  <c r="C3055" i="1"/>
  <c r="D3055" i="1"/>
  <c r="C3056" i="1"/>
  <c r="D3056" i="1"/>
  <c r="C3057" i="1"/>
  <c r="D3057" i="1"/>
  <c r="C3058" i="1"/>
  <c r="D3058" i="1"/>
  <c r="C3059" i="1"/>
  <c r="D3059" i="1"/>
  <c r="C3060" i="1"/>
  <c r="D3060" i="1"/>
  <c r="C3061" i="1"/>
  <c r="D3061" i="1"/>
  <c r="C3062" i="1"/>
  <c r="D3062" i="1"/>
  <c r="C3063" i="1"/>
  <c r="D3063" i="1"/>
  <c r="C3064" i="1"/>
  <c r="D3064" i="1"/>
  <c r="C3065" i="1"/>
  <c r="D3065" i="1"/>
  <c r="C3066" i="1"/>
  <c r="D3066" i="1"/>
  <c r="C3067" i="1"/>
  <c r="D3067" i="1"/>
  <c r="C3068" i="1"/>
  <c r="D3068" i="1"/>
  <c r="C3069" i="1"/>
  <c r="D3069" i="1"/>
  <c r="C3070" i="1"/>
  <c r="D3070" i="1"/>
  <c r="C3071" i="1"/>
  <c r="D3071" i="1"/>
  <c r="C3072" i="1"/>
  <c r="D3072" i="1"/>
  <c r="C3073" i="1"/>
  <c r="D3073" i="1"/>
  <c r="C3074" i="1"/>
  <c r="D3074" i="1"/>
  <c r="C3075" i="1"/>
  <c r="D3075" i="1"/>
  <c r="C3076" i="1"/>
  <c r="D3076" i="1"/>
  <c r="C3077" i="1"/>
  <c r="D3077" i="1"/>
  <c r="C3078" i="1"/>
  <c r="D3078" i="1"/>
  <c r="C3079" i="1"/>
  <c r="D3079" i="1"/>
  <c r="C3080" i="1"/>
  <c r="D3080" i="1"/>
  <c r="C3081" i="1"/>
  <c r="D3081" i="1"/>
  <c r="C3082" i="1"/>
  <c r="D3082" i="1"/>
  <c r="C3083" i="1"/>
  <c r="D3083" i="1"/>
  <c r="C3084" i="1"/>
  <c r="D3084" i="1"/>
  <c r="C3085" i="1"/>
  <c r="D3085" i="1"/>
  <c r="C3086" i="1"/>
  <c r="D3086" i="1"/>
  <c r="C3087" i="1"/>
  <c r="D3087" i="1"/>
  <c r="C3088" i="1"/>
  <c r="D3088" i="1"/>
  <c r="C3089" i="1"/>
  <c r="D3089" i="1"/>
  <c r="C3090" i="1"/>
  <c r="D3090" i="1"/>
  <c r="C3091" i="1"/>
  <c r="D3091" i="1"/>
  <c r="C3092" i="1"/>
  <c r="D3092" i="1"/>
  <c r="C3093" i="1"/>
  <c r="D3093" i="1"/>
  <c r="C3094" i="1"/>
  <c r="D3094" i="1"/>
  <c r="C3095" i="1"/>
  <c r="D3095" i="1"/>
  <c r="C3096" i="1"/>
  <c r="D3096" i="1"/>
  <c r="C3097" i="1"/>
  <c r="D3097" i="1"/>
  <c r="C3098" i="1"/>
  <c r="D3098" i="1"/>
  <c r="C3099" i="1"/>
  <c r="D3099" i="1"/>
  <c r="C3100" i="1"/>
  <c r="D3100" i="1"/>
  <c r="C3101" i="1"/>
  <c r="D3101" i="1"/>
  <c r="C3102" i="1"/>
  <c r="D3102" i="1"/>
  <c r="C3103" i="1"/>
  <c r="D3103" i="1"/>
  <c r="C3104" i="1"/>
  <c r="D3104" i="1"/>
  <c r="C3105" i="1"/>
  <c r="D3105" i="1"/>
  <c r="C3106" i="1"/>
  <c r="D3106" i="1"/>
  <c r="C3107" i="1"/>
  <c r="D3107" i="1"/>
  <c r="C3108" i="1"/>
  <c r="D3108" i="1"/>
  <c r="C3109" i="1"/>
  <c r="D3109" i="1"/>
  <c r="C3110" i="1"/>
  <c r="D3110" i="1"/>
  <c r="C3111" i="1"/>
  <c r="D3111" i="1"/>
  <c r="C3112" i="1"/>
  <c r="D3112" i="1"/>
  <c r="C3113" i="1"/>
  <c r="D3113" i="1"/>
  <c r="C3114" i="1"/>
  <c r="D3114" i="1"/>
  <c r="C3115" i="1"/>
  <c r="D3115" i="1"/>
  <c r="C3116" i="1"/>
  <c r="D3116" i="1"/>
  <c r="C3117" i="1"/>
  <c r="D3117" i="1"/>
  <c r="C3118" i="1"/>
  <c r="D3118" i="1"/>
  <c r="C3119" i="1"/>
  <c r="D3119" i="1"/>
  <c r="C3120" i="1"/>
  <c r="D3120" i="1"/>
  <c r="C3121" i="1"/>
  <c r="D3121" i="1"/>
  <c r="C3122" i="1"/>
  <c r="D3122" i="1"/>
  <c r="C3123" i="1"/>
  <c r="D3123" i="1"/>
  <c r="C3124" i="1"/>
  <c r="D3124" i="1"/>
  <c r="C3125" i="1"/>
  <c r="D3125" i="1"/>
  <c r="C3126" i="1"/>
  <c r="D3126" i="1"/>
  <c r="C3127" i="1"/>
  <c r="D3127" i="1"/>
  <c r="C3128" i="1"/>
  <c r="D3128" i="1"/>
  <c r="C3129" i="1"/>
  <c r="D3129" i="1"/>
  <c r="C3130" i="1"/>
  <c r="D3130" i="1"/>
  <c r="C3131" i="1"/>
  <c r="D3131" i="1"/>
  <c r="C3132" i="1"/>
  <c r="D3132" i="1"/>
  <c r="C3133" i="1"/>
  <c r="D3133" i="1"/>
  <c r="C3134" i="1"/>
  <c r="D3134" i="1"/>
  <c r="C3135" i="1"/>
  <c r="D3135" i="1"/>
  <c r="C3136" i="1"/>
  <c r="D3136" i="1"/>
  <c r="C3137" i="1"/>
  <c r="D3137" i="1"/>
  <c r="C3138" i="1"/>
  <c r="D3138" i="1"/>
  <c r="C3139" i="1"/>
  <c r="D3139" i="1"/>
  <c r="C3140" i="1"/>
  <c r="D3140" i="1"/>
  <c r="C3141" i="1"/>
  <c r="D3141" i="1"/>
  <c r="C3142" i="1"/>
  <c r="D3142" i="1"/>
  <c r="C3143" i="1"/>
  <c r="D3143" i="1"/>
  <c r="C3144" i="1"/>
  <c r="D3144" i="1"/>
  <c r="C3145" i="1"/>
  <c r="D3145" i="1"/>
  <c r="C3146" i="1"/>
  <c r="D3146" i="1"/>
  <c r="C3147" i="1"/>
  <c r="D3147" i="1"/>
  <c r="C3148" i="1"/>
  <c r="D3148" i="1"/>
  <c r="C3149" i="1"/>
  <c r="D3149" i="1"/>
  <c r="C3150" i="1"/>
  <c r="D3150" i="1"/>
  <c r="C3151" i="1"/>
  <c r="D3151" i="1"/>
  <c r="C3152" i="1"/>
  <c r="D3152" i="1"/>
  <c r="C3153" i="1"/>
  <c r="D3153" i="1"/>
  <c r="C3154" i="1"/>
  <c r="D3154" i="1"/>
  <c r="C3155" i="1"/>
  <c r="D3155" i="1"/>
  <c r="C3156" i="1"/>
  <c r="D3156" i="1"/>
  <c r="C3157" i="1"/>
  <c r="D3157" i="1"/>
  <c r="C3158" i="1"/>
  <c r="D3158" i="1"/>
  <c r="C3159" i="1"/>
  <c r="D3159" i="1"/>
  <c r="C3160" i="1"/>
  <c r="D3160" i="1"/>
  <c r="C3161" i="1"/>
  <c r="D3161" i="1"/>
  <c r="C3162" i="1"/>
  <c r="D3162" i="1"/>
  <c r="C3163" i="1"/>
  <c r="D3163" i="1"/>
  <c r="C3164" i="1"/>
  <c r="D3164" i="1"/>
  <c r="C3165" i="1"/>
  <c r="D3165" i="1"/>
  <c r="C3166" i="1"/>
  <c r="D3166" i="1"/>
  <c r="C3167" i="1"/>
  <c r="D3167" i="1"/>
  <c r="C3168" i="1"/>
  <c r="D3168" i="1"/>
  <c r="C3169" i="1"/>
  <c r="D3169" i="1"/>
  <c r="C3170" i="1"/>
  <c r="D3170" i="1"/>
  <c r="C3171" i="1"/>
  <c r="D3171" i="1"/>
  <c r="C3172" i="1"/>
  <c r="D3172" i="1"/>
  <c r="C3173" i="1"/>
  <c r="D3173" i="1"/>
  <c r="C3174" i="1"/>
  <c r="D3174" i="1"/>
  <c r="C3175" i="1"/>
  <c r="D3175" i="1"/>
  <c r="C3176" i="1"/>
  <c r="D3176" i="1"/>
  <c r="C3177" i="1"/>
  <c r="D3177" i="1"/>
  <c r="C3178" i="1"/>
  <c r="D3178" i="1"/>
  <c r="C3179" i="1"/>
  <c r="D3179" i="1"/>
  <c r="C3180" i="1"/>
  <c r="D3180" i="1"/>
  <c r="C3181" i="1"/>
  <c r="D3181" i="1"/>
  <c r="C3182" i="1"/>
  <c r="D3182" i="1"/>
  <c r="C3183" i="1"/>
  <c r="D3183" i="1"/>
  <c r="C3184" i="1"/>
  <c r="D3184" i="1"/>
  <c r="C3185" i="1"/>
  <c r="D3185" i="1"/>
  <c r="C3186" i="1"/>
  <c r="D3186" i="1"/>
  <c r="C3187" i="1"/>
  <c r="D3187" i="1"/>
  <c r="C3188" i="1"/>
  <c r="D3188" i="1"/>
  <c r="C3189" i="1"/>
  <c r="D3189" i="1"/>
  <c r="C3190" i="1"/>
  <c r="D3190" i="1"/>
  <c r="C3191" i="1"/>
  <c r="D3191" i="1"/>
  <c r="C3192" i="1"/>
  <c r="D3192" i="1"/>
  <c r="C3193" i="1"/>
  <c r="D3193" i="1"/>
  <c r="C3194" i="1"/>
  <c r="D3194" i="1"/>
  <c r="C3195" i="1"/>
  <c r="D3195" i="1"/>
  <c r="C3196" i="1"/>
  <c r="D3196" i="1"/>
  <c r="C3197" i="1"/>
  <c r="D3197" i="1"/>
  <c r="C3198" i="1"/>
  <c r="D3198" i="1"/>
  <c r="C3199" i="1"/>
  <c r="D3199" i="1"/>
  <c r="C3200" i="1"/>
  <c r="D3200" i="1"/>
  <c r="C3201" i="1"/>
  <c r="D3201" i="1"/>
  <c r="C3202" i="1"/>
  <c r="D3202" i="1"/>
  <c r="C3203" i="1"/>
  <c r="D3203" i="1"/>
  <c r="C3204" i="1"/>
  <c r="D3204" i="1"/>
  <c r="C3205" i="1"/>
  <c r="D3205" i="1"/>
  <c r="C3206" i="1"/>
  <c r="D3206" i="1"/>
  <c r="C3207" i="1"/>
  <c r="D3207" i="1"/>
  <c r="C3208" i="1"/>
  <c r="D3208" i="1"/>
  <c r="C3209" i="1"/>
  <c r="D3209" i="1"/>
  <c r="C3210" i="1"/>
  <c r="D3210" i="1"/>
  <c r="C3211" i="1"/>
  <c r="D3211" i="1"/>
  <c r="C3212" i="1"/>
  <c r="D3212" i="1"/>
  <c r="C3213" i="1"/>
  <c r="D3213" i="1"/>
  <c r="C3214" i="1"/>
  <c r="D3214" i="1"/>
  <c r="C3215" i="1"/>
  <c r="D3215" i="1"/>
  <c r="C3216" i="1"/>
  <c r="D3216" i="1"/>
  <c r="C3217" i="1"/>
  <c r="D3217" i="1"/>
  <c r="C3218" i="1"/>
  <c r="D3218" i="1"/>
  <c r="C3219" i="1"/>
  <c r="D3219" i="1"/>
  <c r="C3220" i="1"/>
  <c r="D3220" i="1"/>
  <c r="C3221" i="1"/>
  <c r="D3221" i="1"/>
  <c r="C3222" i="1"/>
  <c r="D3222" i="1"/>
  <c r="C3223" i="1"/>
  <c r="D3223" i="1"/>
  <c r="C3224" i="1"/>
  <c r="D3224" i="1"/>
  <c r="C3225" i="1"/>
  <c r="D3225" i="1"/>
  <c r="C3226" i="1"/>
  <c r="D3226" i="1"/>
  <c r="C3227" i="1"/>
  <c r="D3227" i="1"/>
  <c r="C3228" i="1"/>
  <c r="D3228" i="1"/>
  <c r="C3229" i="1"/>
  <c r="D3229" i="1"/>
  <c r="C3230" i="1"/>
  <c r="D3230" i="1"/>
  <c r="C3231" i="1"/>
  <c r="D3231" i="1"/>
  <c r="C3232" i="1"/>
  <c r="D3232" i="1"/>
  <c r="C3233" i="1"/>
  <c r="D3233" i="1"/>
  <c r="C3234" i="1"/>
  <c r="D3234" i="1"/>
  <c r="C3235" i="1"/>
  <c r="D3235" i="1"/>
  <c r="C3236" i="1"/>
  <c r="D3236" i="1"/>
  <c r="C3237" i="1"/>
  <c r="D3237" i="1"/>
  <c r="C3238" i="1"/>
  <c r="D3238" i="1"/>
  <c r="C3239" i="1"/>
  <c r="D3239" i="1"/>
  <c r="C3240" i="1"/>
  <c r="D3240" i="1"/>
  <c r="C3241" i="1"/>
  <c r="D3241" i="1"/>
  <c r="C3242" i="1"/>
  <c r="D3242" i="1"/>
  <c r="C3243" i="1"/>
  <c r="D3243" i="1"/>
  <c r="C3244" i="1"/>
  <c r="D3244" i="1"/>
  <c r="C3245" i="1"/>
  <c r="D3245" i="1"/>
  <c r="C3246" i="1"/>
  <c r="D3246" i="1"/>
  <c r="C3247" i="1"/>
  <c r="D3247" i="1"/>
  <c r="C3248" i="1"/>
  <c r="D3248" i="1"/>
  <c r="C3249" i="1"/>
  <c r="D3249" i="1"/>
  <c r="C3250" i="1"/>
  <c r="D3250" i="1"/>
  <c r="C3251" i="1"/>
  <c r="D3251" i="1"/>
  <c r="C3252" i="1"/>
  <c r="D3252" i="1"/>
  <c r="C3253" i="1"/>
  <c r="D3253" i="1"/>
  <c r="C3254" i="1"/>
  <c r="D3254" i="1"/>
  <c r="C3255" i="1"/>
  <c r="D3255" i="1"/>
  <c r="C3256" i="1"/>
  <c r="D3256" i="1"/>
  <c r="C3257" i="1"/>
  <c r="D3257" i="1"/>
  <c r="C3258" i="1"/>
  <c r="D3258" i="1"/>
  <c r="C3259" i="1"/>
  <c r="D3259" i="1"/>
  <c r="C3260" i="1"/>
  <c r="D3260" i="1"/>
  <c r="C3261" i="1"/>
  <c r="D3261" i="1"/>
  <c r="C3262" i="1"/>
  <c r="D3262" i="1"/>
  <c r="C3263" i="1"/>
  <c r="D3263" i="1"/>
  <c r="C3264" i="1"/>
  <c r="D3264" i="1"/>
  <c r="C3265" i="1"/>
  <c r="D3265" i="1"/>
  <c r="C3266" i="1"/>
  <c r="D3266" i="1"/>
  <c r="C3267" i="1"/>
  <c r="D3267" i="1"/>
  <c r="C3268" i="1"/>
  <c r="D3268" i="1"/>
  <c r="C3269" i="1"/>
  <c r="D3269" i="1"/>
  <c r="C3270" i="1"/>
  <c r="D3270" i="1"/>
  <c r="C3271" i="1"/>
  <c r="D3271" i="1"/>
  <c r="C3272" i="1"/>
  <c r="D3272" i="1"/>
  <c r="C3273" i="1"/>
  <c r="D3273" i="1"/>
  <c r="C3274" i="1"/>
  <c r="D3274" i="1"/>
  <c r="C3275" i="1"/>
  <c r="D3275" i="1"/>
  <c r="C3276" i="1"/>
  <c r="D3276" i="1"/>
  <c r="C3277" i="1"/>
  <c r="D3277" i="1"/>
  <c r="C3278" i="1"/>
  <c r="D3278" i="1"/>
  <c r="C3279" i="1"/>
  <c r="D3279" i="1"/>
  <c r="C3280" i="1"/>
  <c r="D3280" i="1"/>
  <c r="C3281" i="1"/>
  <c r="D3281" i="1"/>
  <c r="C3282" i="1"/>
  <c r="D3282" i="1"/>
  <c r="C3283" i="1"/>
  <c r="D3283" i="1"/>
  <c r="C3284" i="1"/>
  <c r="D3284" i="1"/>
  <c r="C3285" i="1"/>
  <c r="D3285" i="1"/>
  <c r="C3286" i="1"/>
  <c r="D3286" i="1"/>
  <c r="C3287" i="1"/>
  <c r="D3287" i="1"/>
  <c r="C3288" i="1"/>
  <c r="D3288" i="1"/>
  <c r="C3289" i="1"/>
  <c r="D3289" i="1"/>
  <c r="C3290" i="1"/>
  <c r="D3290" i="1"/>
  <c r="C3291" i="1"/>
  <c r="D3291" i="1"/>
  <c r="C3292" i="1"/>
  <c r="D3292" i="1"/>
  <c r="C3293" i="1"/>
  <c r="D3293" i="1"/>
  <c r="C3294" i="1"/>
  <c r="D3294" i="1"/>
  <c r="C3295" i="1"/>
  <c r="D3295" i="1"/>
  <c r="C3296" i="1"/>
  <c r="D3296" i="1"/>
  <c r="C3297" i="1"/>
  <c r="D3297" i="1"/>
  <c r="C3298" i="1"/>
  <c r="D3298" i="1"/>
  <c r="C3299" i="1"/>
  <c r="D3299" i="1"/>
  <c r="C3300" i="1"/>
  <c r="D3300" i="1"/>
  <c r="C3301" i="1"/>
  <c r="D3301" i="1"/>
  <c r="C3302" i="1"/>
  <c r="D3302" i="1"/>
  <c r="C3303" i="1"/>
  <c r="D3303" i="1"/>
  <c r="C3304" i="1"/>
  <c r="D3304" i="1"/>
  <c r="C3305" i="1"/>
  <c r="D3305" i="1"/>
  <c r="C3306" i="1"/>
  <c r="D3306" i="1"/>
  <c r="C3307" i="1"/>
  <c r="D3307" i="1"/>
  <c r="C3308" i="1"/>
  <c r="D3308" i="1"/>
  <c r="C3309" i="1"/>
  <c r="D3309" i="1"/>
  <c r="C3310" i="1"/>
  <c r="D3310" i="1"/>
  <c r="C3311" i="1"/>
  <c r="D3311" i="1"/>
  <c r="C3312" i="1"/>
  <c r="D3312" i="1"/>
  <c r="C3313" i="1"/>
  <c r="D3313" i="1"/>
  <c r="C3314" i="1"/>
  <c r="D3314" i="1"/>
  <c r="C3315" i="1"/>
  <c r="D3315" i="1"/>
  <c r="C3316" i="1"/>
  <c r="D3316" i="1"/>
  <c r="C3317" i="1"/>
  <c r="D3317" i="1"/>
  <c r="C3318" i="1"/>
  <c r="D3318" i="1"/>
  <c r="C3319" i="1"/>
  <c r="D3319" i="1"/>
  <c r="C3320" i="1"/>
  <c r="D3320" i="1"/>
  <c r="C3321" i="1"/>
  <c r="D3321" i="1"/>
  <c r="C3322" i="1"/>
  <c r="D3322" i="1"/>
  <c r="C3323" i="1"/>
  <c r="D3323" i="1"/>
  <c r="C3324" i="1"/>
  <c r="D3324" i="1"/>
  <c r="C3325" i="1"/>
  <c r="D3325" i="1"/>
  <c r="C3326" i="1"/>
  <c r="D3326" i="1"/>
  <c r="C3327" i="1"/>
  <c r="D3327" i="1"/>
  <c r="C3328" i="1"/>
  <c r="D3328" i="1"/>
  <c r="C3329" i="1"/>
  <c r="D3329" i="1"/>
  <c r="C3330" i="1"/>
  <c r="D3330" i="1"/>
  <c r="C3331" i="1"/>
  <c r="D3331" i="1"/>
  <c r="C3332" i="1"/>
  <c r="D3332" i="1"/>
  <c r="C3333" i="1"/>
  <c r="D3333" i="1"/>
  <c r="C3334" i="1"/>
  <c r="D3334" i="1"/>
  <c r="C3335" i="1"/>
  <c r="D3335" i="1"/>
  <c r="C3336" i="1"/>
  <c r="D3336" i="1"/>
  <c r="C3337" i="1"/>
  <c r="D3337" i="1"/>
  <c r="C3338" i="1"/>
  <c r="D3338" i="1"/>
  <c r="C3339" i="1"/>
  <c r="D3339" i="1"/>
  <c r="C3340" i="1"/>
  <c r="D3340" i="1"/>
  <c r="C3341" i="1"/>
  <c r="D3341" i="1"/>
  <c r="C3342" i="1"/>
  <c r="D3342" i="1"/>
  <c r="C3343" i="1"/>
  <c r="D3343" i="1"/>
  <c r="C3344" i="1"/>
  <c r="D3344" i="1"/>
  <c r="C3345" i="1"/>
  <c r="D3345" i="1"/>
  <c r="C3346" i="1"/>
  <c r="D3346" i="1"/>
  <c r="C3347" i="1"/>
  <c r="D3347" i="1"/>
  <c r="C3348" i="1"/>
  <c r="D3348" i="1"/>
  <c r="C3349" i="1"/>
  <c r="D3349" i="1"/>
  <c r="C3350" i="1"/>
  <c r="D3350" i="1"/>
  <c r="C3351" i="1"/>
  <c r="D3351" i="1"/>
  <c r="C3352" i="1"/>
  <c r="D3352" i="1"/>
  <c r="C3353" i="1"/>
  <c r="D3353" i="1"/>
  <c r="C3354" i="1"/>
  <c r="D3354" i="1"/>
  <c r="C3355" i="1"/>
  <c r="D3355" i="1"/>
  <c r="C3356" i="1"/>
  <c r="D3356" i="1"/>
  <c r="C3357" i="1"/>
  <c r="D3357" i="1"/>
  <c r="C3358" i="1"/>
  <c r="D3358" i="1"/>
  <c r="C3359" i="1"/>
  <c r="D3359" i="1"/>
  <c r="C3360" i="1"/>
  <c r="D3360" i="1"/>
  <c r="C3361" i="1"/>
  <c r="D3361" i="1"/>
  <c r="C3362" i="1"/>
  <c r="D3362" i="1"/>
  <c r="C3363" i="1"/>
  <c r="D3363" i="1"/>
  <c r="C3364" i="1"/>
  <c r="D3364" i="1"/>
  <c r="C3365" i="1"/>
  <c r="D3365" i="1"/>
  <c r="C3366" i="1"/>
  <c r="D3366" i="1"/>
  <c r="C3367" i="1"/>
  <c r="D3367" i="1"/>
  <c r="C3368" i="1"/>
  <c r="D3368" i="1"/>
  <c r="C3369" i="1"/>
  <c r="D3369" i="1"/>
  <c r="C3370" i="1"/>
  <c r="D3370" i="1"/>
  <c r="C3371" i="1"/>
  <c r="D3371" i="1"/>
  <c r="C3372" i="1"/>
  <c r="D3372" i="1"/>
  <c r="C3373" i="1"/>
  <c r="D3373" i="1"/>
  <c r="C3374" i="1"/>
  <c r="D3374" i="1"/>
  <c r="C3375" i="1"/>
  <c r="D3375" i="1"/>
  <c r="C3376" i="1"/>
  <c r="D3376" i="1"/>
  <c r="C3377" i="1"/>
  <c r="D3377" i="1"/>
  <c r="C3378" i="1"/>
  <c r="D3378" i="1"/>
  <c r="C3379" i="1"/>
  <c r="D3379" i="1"/>
  <c r="C3380" i="1"/>
  <c r="D3380" i="1"/>
  <c r="C3381" i="1"/>
  <c r="D3381" i="1"/>
  <c r="C3382" i="1"/>
  <c r="D3382" i="1"/>
  <c r="C3383" i="1"/>
  <c r="D3383" i="1"/>
  <c r="C3384" i="1"/>
  <c r="D3384" i="1"/>
  <c r="C3385" i="1"/>
  <c r="D3385" i="1"/>
  <c r="C3386" i="1"/>
  <c r="D3386" i="1"/>
  <c r="C3387" i="1"/>
  <c r="D3387" i="1"/>
  <c r="C3388" i="1"/>
  <c r="D3388" i="1"/>
  <c r="C3389" i="1"/>
  <c r="D3389" i="1"/>
  <c r="C3390" i="1"/>
  <c r="D3390" i="1"/>
  <c r="C3391" i="1"/>
  <c r="D3391" i="1"/>
  <c r="C3392" i="1"/>
  <c r="D3392" i="1"/>
  <c r="C3393" i="1"/>
  <c r="D3393" i="1"/>
  <c r="C3394" i="1"/>
  <c r="D3394" i="1"/>
  <c r="C3395" i="1"/>
  <c r="D3395" i="1"/>
  <c r="C3396" i="1"/>
  <c r="D3396" i="1"/>
  <c r="C3397" i="1"/>
  <c r="D3397" i="1"/>
  <c r="C3398" i="1"/>
  <c r="D3398" i="1"/>
  <c r="C3399" i="1"/>
  <c r="D3399" i="1"/>
  <c r="C3400" i="1"/>
  <c r="D3400" i="1"/>
  <c r="C3401" i="1"/>
  <c r="D3401" i="1"/>
  <c r="C3402" i="1"/>
  <c r="D3402" i="1"/>
  <c r="C3403" i="1"/>
  <c r="D3403" i="1"/>
  <c r="C3404" i="1"/>
  <c r="D3404" i="1"/>
  <c r="C3405" i="1"/>
  <c r="D3405" i="1"/>
  <c r="C3406" i="1"/>
  <c r="D3406" i="1"/>
  <c r="C3407" i="1"/>
  <c r="D3407" i="1"/>
  <c r="C3408" i="1"/>
  <c r="D3408" i="1"/>
  <c r="C3409" i="1"/>
  <c r="D3409" i="1"/>
  <c r="C3410" i="1"/>
  <c r="D3410" i="1"/>
  <c r="C3411" i="1"/>
  <c r="D3411" i="1"/>
  <c r="C3412" i="1"/>
  <c r="D3412" i="1"/>
  <c r="C3413" i="1"/>
  <c r="D3413" i="1"/>
  <c r="C3414" i="1"/>
  <c r="D3414" i="1"/>
  <c r="C3415" i="1"/>
  <c r="D3415" i="1"/>
  <c r="C3416" i="1"/>
  <c r="D3416" i="1"/>
  <c r="C3417" i="1"/>
  <c r="D3417" i="1"/>
  <c r="C3418" i="1"/>
  <c r="D3418" i="1"/>
  <c r="C3419" i="1"/>
  <c r="D3419" i="1"/>
  <c r="C3420" i="1"/>
  <c r="D3420" i="1"/>
  <c r="C3421" i="1"/>
  <c r="D3421" i="1"/>
  <c r="C3422" i="1"/>
  <c r="D3422" i="1"/>
  <c r="C3423" i="1"/>
  <c r="D3423" i="1"/>
  <c r="C3424" i="1"/>
  <c r="D3424" i="1"/>
  <c r="C3425" i="1"/>
  <c r="D3425" i="1"/>
  <c r="C3426" i="1"/>
  <c r="D3426" i="1"/>
  <c r="C3427" i="1"/>
  <c r="D3427" i="1"/>
  <c r="C3428" i="1"/>
  <c r="D3428" i="1"/>
  <c r="C3429" i="1"/>
  <c r="D3429" i="1"/>
  <c r="C3430" i="1"/>
  <c r="D3430" i="1"/>
  <c r="C3431" i="1"/>
  <c r="D3431" i="1"/>
  <c r="C3432" i="1"/>
  <c r="D3432" i="1"/>
  <c r="C3433" i="1"/>
  <c r="D3433" i="1"/>
  <c r="C3434" i="1"/>
  <c r="D3434" i="1"/>
  <c r="C3435" i="1"/>
  <c r="D3435" i="1"/>
  <c r="C3436" i="1"/>
  <c r="D3436" i="1"/>
  <c r="C3437" i="1"/>
  <c r="D3437" i="1"/>
  <c r="C3438" i="1"/>
  <c r="D3438" i="1"/>
  <c r="C3439" i="1"/>
  <c r="D3439" i="1"/>
  <c r="C3440" i="1"/>
  <c r="D3440" i="1"/>
  <c r="C3441" i="1"/>
  <c r="D3441" i="1"/>
  <c r="C3442" i="1"/>
  <c r="D3442" i="1"/>
  <c r="C3443" i="1"/>
  <c r="D3443" i="1"/>
  <c r="C3444" i="1"/>
  <c r="D3444" i="1"/>
  <c r="C3445" i="1"/>
  <c r="D3445" i="1"/>
  <c r="C3446" i="1"/>
  <c r="D3446" i="1"/>
  <c r="C3447" i="1"/>
  <c r="D3447" i="1"/>
  <c r="C3448" i="1"/>
  <c r="D3448" i="1"/>
  <c r="C3449" i="1"/>
  <c r="D3449" i="1"/>
  <c r="C3450" i="1"/>
  <c r="D3450" i="1"/>
  <c r="C3451" i="1"/>
  <c r="D3451" i="1"/>
  <c r="C3452" i="1"/>
  <c r="D3452" i="1"/>
  <c r="C3453" i="1"/>
  <c r="D3453" i="1"/>
  <c r="C3454" i="1"/>
  <c r="D3454" i="1"/>
  <c r="C3455" i="1"/>
  <c r="D3455" i="1"/>
  <c r="C3456" i="1"/>
  <c r="D3456" i="1"/>
  <c r="C3457" i="1"/>
  <c r="D3457" i="1"/>
  <c r="C3458" i="1"/>
  <c r="D3458" i="1"/>
  <c r="C3459" i="1"/>
  <c r="D3459" i="1"/>
  <c r="C3460" i="1"/>
  <c r="D3460" i="1"/>
  <c r="C3461" i="1"/>
  <c r="D3461" i="1"/>
  <c r="C3462" i="1"/>
  <c r="D3462" i="1"/>
  <c r="C3463" i="1"/>
  <c r="D3463" i="1"/>
  <c r="C3464" i="1"/>
  <c r="D3464" i="1"/>
  <c r="C3465" i="1"/>
  <c r="D3465" i="1"/>
  <c r="C3466" i="1"/>
  <c r="D3466" i="1"/>
  <c r="C3467" i="1"/>
  <c r="D3467" i="1"/>
  <c r="C3468" i="1"/>
  <c r="D3468" i="1"/>
  <c r="C3469" i="1"/>
  <c r="D3469" i="1"/>
  <c r="C3470" i="1"/>
  <c r="D3470" i="1"/>
  <c r="C3471" i="1"/>
  <c r="D3471" i="1"/>
  <c r="C3472" i="1"/>
  <c r="D3472" i="1"/>
  <c r="C3473" i="1"/>
  <c r="D3473" i="1"/>
  <c r="C3474" i="1"/>
  <c r="D3474" i="1"/>
  <c r="C3475" i="1"/>
  <c r="D3475" i="1"/>
  <c r="C3476" i="1"/>
  <c r="D3476" i="1"/>
  <c r="C3477" i="1"/>
  <c r="D3477" i="1"/>
  <c r="C3478" i="1"/>
  <c r="D3478" i="1"/>
  <c r="C3479" i="1"/>
  <c r="D3479" i="1"/>
  <c r="C3480" i="1"/>
  <c r="D3480" i="1"/>
  <c r="C3481" i="1"/>
  <c r="D3481" i="1"/>
  <c r="C3482" i="1"/>
  <c r="D3482" i="1"/>
  <c r="C3483" i="1"/>
  <c r="D3483" i="1"/>
  <c r="C3484" i="1"/>
  <c r="D3484" i="1"/>
  <c r="C3485" i="1"/>
  <c r="D3485" i="1"/>
  <c r="C3486" i="1"/>
  <c r="D3486" i="1"/>
  <c r="C3487" i="1"/>
  <c r="D3487" i="1"/>
  <c r="C3488" i="1"/>
  <c r="D3488" i="1"/>
  <c r="C3489" i="1"/>
  <c r="D3489" i="1"/>
  <c r="C3490" i="1"/>
  <c r="D3490" i="1"/>
  <c r="C3491" i="1"/>
  <c r="D3491" i="1"/>
  <c r="C3492" i="1"/>
  <c r="D3492" i="1"/>
  <c r="C3493" i="1"/>
  <c r="D3493" i="1"/>
  <c r="C3494" i="1"/>
  <c r="D3494" i="1"/>
  <c r="C3495" i="1"/>
  <c r="D3495" i="1"/>
  <c r="C3496" i="1"/>
  <c r="D3496" i="1"/>
  <c r="C3497" i="1"/>
  <c r="D3497" i="1"/>
  <c r="C3498" i="1"/>
  <c r="D3498" i="1"/>
  <c r="C3499" i="1"/>
  <c r="D3499" i="1"/>
  <c r="C3500" i="1"/>
  <c r="D3500" i="1"/>
  <c r="C3501" i="1"/>
  <c r="D3501" i="1"/>
  <c r="C3502" i="1"/>
  <c r="D3502" i="1"/>
  <c r="C3503" i="1"/>
  <c r="D3503" i="1"/>
  <c r="C3504" i="1"/>
  <c r="D3504" i="1"/>
  <c r="C3505" i="1"/>
  <c r="D3505" i="1"/>
  <c r="C3506" i="1"/>
  <c r="D3506" i="1"/>
  <c r="C3507" i="1"/>
  <c r="D3507" i="1"/>
  <c r="C3508" i="1"/>
  <c r="D3508" i="1"/>
  <c r="C3509" i="1"/>
  <c r="D3509" i="1"/>
  <c r="C3510" i="1"/>
  <c r="D3510" i="1"/>
  <c r="C3511" i="1"/>
  <c r="D3511" i="1"/>
  <c r="C3512" i="1"/>
  <c r="D3512" i="1"/>
  <c r="C3513" i="1"/>
  <c r="D3513" i="1"/>
  <c r="C3514" i="1"/>
  <c r="D3514" i="1"/>
  <c r="C3515" i="1"/>
  <c r="D3515" i="1"/>
  <c r="C3516" i="1"/>
  <c r="D3516" i="1"/>
  <c r="C3517" i="1"/>
  <c r="D3517" i="1"/>
  <c r="C3518" i="1"/>
  <c r="D3518" i="1"/>
  <c r="C3519" i="1"/>
  <c r="D3519" i="1"/>
  <c r="C3520" i="1"/>
  <c r="D3520" i="1"/>
  <c r="C3521" i="1"/>
  <c r="D3521" i="1"/>
  <c r="C3522" i="1"/>
  <c r="D3522" i="1"/>
  <c r="C3523" i="1"/>
  <c r="D3523" i="1"/>
  <c r="C3524" i="1"/>
  <c r="D3524" i="1"/>
  <c r="C3525" i="1"/>
  <c r="D3525" i="1"/>
  <c r="C3526" i="1"/>
  <c r="D3526" i="1"/>
  <c r="C3527" i="1"/>
  <c r="D3527" i="1"/>
  <c r="C3528" i="1"/>
  <c r="D3528" i="1"/>
  <c r="C3529" i="1"/>
  <c r="D3529" i="1"/>
  <c r="C3530" i="1"/>
  <c r="D3530" i="1"/>
  <c r="C3531" i="1"/>
  <c r="D3531" i="1"/>
  <c r="C3532" i="1"/>
  <c r="D3532" i="1"/>
  <c r="C3533" i="1"/>
  <c r="D3533" i="1"/>
  <c r="C3534" i="1"/>
  <c r="D3534" i="1"/>
  <c r="C3535" i="1"/>
  <c r="D3535" i="1"/>
  <c r="C3536" i="1"/>
  <c r="D3536" i="1"/>
  <c r="C3537" i="1"/>
  <c r="D3537" i="1"/>
  <c r="C3538" i="1"/>
  <c r="D3538" i="1"/>
  <c r="C3539" i="1"/>
  <c r="D3539" i="1"/>
  <c r="C3540" i="1"/>
  <c r="D3540" i="1"/>
  <c r="C3541" i="1"/>
  <c r="D3541" i="1"/>
  <c r="C3542" i="1"/>
  <c r="D3542" i="1"/>
  <c r="C3543" i="1"/>
  <c r="D3543" i="1"/>
  <c r="C3544" i="1"/>
  <c r="D3544" i="1"/>
  <c r="C3545" i="1"/>
  <c r="D3545" i="1"/>
  <c r="C3546" i="1"/>
  <c r="D3546" i="1"/>
  <c r="C3547" i="1"/>
  <c r="D3547" i="1"/>
  <c r="C3548" i="1"/>
  <c r="D3548" i="1"/>
  <c r="C3549" i="1"/>
  <c r="D3549" i="1"/>
  <c r="C3550" i="1"/>
  <c r="D3550" i="1"/>
  <c r="C3551" i="1"/>
  <c r="D3551" i="1"/>
  <c r="C3552" i="1"/>
  <c r="D3552" i="1"/>
  <c r="C3553" i="1"/>
  <c r="D3553" i="1"/>
  <c r="C3554" i="1"/>
  <c r="D3554" i="1"/>
  <c r="C3555" i="1"/>
  <c r="D3555" i="1"/>
  <c r="C3556" i="1"/>
  <c r="D3556" i="1"/>
  <c r="C3557" i="1"/>
  <c r="D3557" i="1"/>
  <c r="C3558" i="1"/>
  <c r="D3558" i="1"/>
  <c r="C3559" i="1"/>
  <c r="D3559" i="1"/>
  <c r="C3560" i="1"/>
  <c r="D3560" i="1"/>
  <c r="C3561" i="1"/>
  <c r="D3561" i="1"/>
  <c r="C3562" i="1"/>
  <c r="D3562" i="1"/>
  <c r="C3563" i="1"/>
  <c r="D3563" i="1"/>
  <c r="C3564" i="1"/>
  <c r="D3564" i="1"/>
  <c r="C3565" i="1"/>
  <c r="D3565" i="1"/>
  <c r="C3566" i="1"/>
  <c r="D3566" i="1"/>
  <c r="C3567" i="1"/>
  <c r="D3567" i="1"/>
  <c r="C3568" i="1"/>
  <c r="D3568" i="1"/>
  <c r="C3569" i="1"/>
  <c r="D3569" i="1"/>
  <c r="C3570" i="1"/>
  <c r="D3570" i="1"/>
  <c r="C3571" i="1"/>
  <c r="D3571" i="1"/>
  <c r="C3572" i="1"/>
  <c r="D3572" i="1"/>
  <c r="C3573" i="1"/>
  <c r="D3573" i="1"/>
  <c r="C3574" i="1"/>
  <c r="D3574" i="1"/>
  <c r="C3575" i="1"/>
  <c r="D3575" i="1"/>
  <c r="C3576" i="1"/>
  <c r="D3576" i="1"/>
  <c r="C3577" i="1"/>
  <c r="D3577" i="1"/>
  <c r="C3578" i="1"/>
  <c r="D3578" i="1"/>
  <c r="C3579" i="1"/>
  <c r="D3579" i="1"/>
  <c r="C3580" i="1"/>
  <c r="D3580" i="1"/>
  <c r="C3581" i="1"/>
  <c r="D3581" i="1"/>
  <c r="C3582" i="1"/>
  <c r="D3582" i="1"/>
  <c r="C3583" i="1"/>
  <c r="D3583" i="1"/>
  <c r="C3584" i="1"/>
  <c r="D3584" i="1"/>
  <c r="C3585" i="1"/>
  <c r="D3585" i="1"/>
  <c r="C3586" i="1"/>
  <c r="D3586" i="1"/>
  <c r="C3587" i="1"/>
  <c r="D3587" i="1"/>
  <c r="C3588" i="1"/>
  <c r="D3588" i="1"/>
  <c r="C3589" i="1"/>
  <c r="D3589" i="1"/>
  <c r="C3590" i="1"/>
  <c r="D3590" i="1"/>
  <c r="C3591" i="1"/>
  <c r="D3591" i="1"/>
  <c r="C3592" i="1"/>
  <c r="D3592" i="1"/>
  <c r="C3593" i="1"/>
  <c r="D3593" i="1"/>
  <c r="C3594" i="1"/>
  <c r="D3594" i="1"/>
  <c r="C3595" i="1"/>
  <c r="D3595" i="1"/>
  <c r="C3596" i="1"/>
  <c r="D3596" i="1"/>
  <c r="C3597" i="1"/>
  <c r="D3597" i="1"/>
  <c r="C3598" i="1"/>
  <c r="D3598" i="1"/>
  <c r="C3599" i="1"/>
  <c r="D3599" i="1"/>
  <c r="C3600" i="1"/>
  <c r="D3600" i="1"/>
  <c r="C3601" i="1"/>
  <c r="D3601" i="1"/>
  <c r="C3602" i="1"/>
  <c r="D3602" i="1"/>
  <c r="C3603" i="1"/>
  <c r="D3603" i="1"/>
  <c r="C3604" i="1"/>
  <c r="D3604" i="1"/>
  <c r="C3605" i="1"/>
  <c r="D3605" i="1"/>
  <c r="C3606" i="1"/>
  <c r="D3606" i="1"/>
  <c r="C3607" i="1"/>
  <c r="D3607" i="1"/>
  <c r="C3608" i="1"/>
  <c r="D3608" i="1"/>
  <c r="C3609" i="1"/>
  <c r="D3609" i="1"/>
  <c r="C3610" i="1"/>
  <c r="D3610" i="1"/>
  <c r="C3611" i="1"/>
  <c r="D3611" i="1"/>
  <c r="C3612" i="1"/>
  <c r="D3612" i="1"/>
  <c r="C3613" i="1"/>
  <c r="D3613" i="1"/>
  <c r="C3614" i="1"/>
  <c r="D3614" i="1"/>
  <c r="C3615" i="1"/>
  <c r="D3615" i="1"/>
  <c r="C3616" i="1"/>
  <c r="D3616" i="1"/>
  <c r="C3617" i="1"/>
  <c r="D3617" i="1"/>
  <c r="C3618" i="1"/>
  <c r="D3618" i="1"/>
  <c r="C3619" i="1"/>
  <c r="D3619" i="1"/>
  <c r="C3620" i="1"/>
  <c r="D3620" i="1"/>
  <c r="C3621" i="1"/>
  <c r="D3621" i="1"/>
  <c r="C3622" i="1"/>
  <c r="D3622" i="1"/>
  <c r="C3623" i="1"/>
  <c r="D3623" i="1"/>
  <c r="C3624" i="1"/>
  <c r="D3624" i="1"/>
  <c r="C3625" i="1"/>
  <c r="D3625" i="1"/>
  <c r="C3626" i="1"/>
  <c r="D3626" i="1"/>
  <c r="C3627" i="1"/>
  <c r="D3627" i="1"/>
  <c r="C3628" i="1"/>
  <c r="D3628" i="1"/>
  <c r="C3629" i="1"/>
  <c r="D3629" i="1"/>
  <c r="C3630" i="1"/>
  <c r="D3630" i="1"/>
  <c r="C3631" i="1"/>
  <c r="D3631" i="1"/>
  <c r="C3632" i="1"/>
  <c r="D3632" i="1"/>
  <c r="C3633" i="1"/>
  <c r="D3633" i="1"/>
  <c r="C3634" i="1"/>
  <c r="D3634" i="1"/>
  <c r="C3635" i="1"/>
  <c r="D3635" i="1"/>
  <c r="C3636" i="1"/>
  <c r="D3636" i="1"/>
  <c r="C3637" i="1"/>
  <c r="D3637" i="1"/>
  <c r="C3638" i="1"/>
  <c r="D3638" i="1"/>
  <c r="C3639" i="1"/>
  <c r="D3639" i="1"/>
  <c r="C3640" i="1"/>
  <c r="D3640" i="1"/>
  <c r="C3641" i="1"/>
  <c r="D3641" i="1"/>
  <c r="C3642" i="1"/>
  <c r="D3642" i="1"/>
  <c r="C3643" i="1"/>
  <c r="D3643" i="1"/>
  <c r="C3644" i="1"/>
  <c r="D3644" i="1"/>
  <c r="C3645" i="1"/>
  <c r="D3645" i="1"/>
  <c r="C3646" i="1"/>
  <c r="D3646" i="1"/>
  <c r="C3647" i="1"/>
  <c r="D3647" i="1"/>
  <c r="C3648" i="1"/>
  <c r="D3648" i="1"/>
  <c r="C3649" i="1"/>
  <c r="D3649" i="1"/>
  <c r="C3650" i="1"/>
  <c r="D3650" i="1"/>
  <c r="C3651" i="1"/>
  <c r="D3651" i="1"/>
  <c r="C3652" i="1"/>
  <c r="D3652" i="1"/>
  <c r="C3653" i="1"/>
  <c r="D3653" i="1"/>
  <c r="C3654" i="1"/>
  <c r="D3654" i="1"/>
  <c r="C3655" i="1"/>
  <c r="D3655" i="1"/>
  <c r="C3656" i="1"/>
  <c r="D3656" i="1"/>
  <c r="C3657" i="1"/>
  <c r="D3657" i="1"/>
  <c r="C3658" i="1"/>
  <c r="D3658" i="1"/>
  <c r="C3659" i="1"/>
  <c r="D3659" i="1"/>
  <c r="C3660" i="1"/>
  <c r="D3660" i="1"/>
  <c r="C3661" i="1"/>
  <c r="D3661" i="1"/>
  <c r="C3662" i="1"/>
  <c r="D3662" i="1"/>
  <c r="C3663" i="1"/>
  <c r="D3663" i="1"/>
  <c r="C3664" i="1"/>
  <c r="D3664" i="1"/>
  <c r="C3665" i="1"/>
  <c r="D3665" i="1"/>
  <c r="C3666" i="1"/>
  <c r="D3666" i="1"/>
  <c r="C3667" i="1"/>
  <c r="D3667" i="1"/>
  <c r="C3668" i="1"/>
  <c r="D3668" i="1"/>
  <c r="C3669" i="1"/>
  <c r="D3669" i="1"/>
  <c r="C3670" i="1"/>
  <c r="D3670" i="1"/>
  <c r="C3671" i="1"/>
  <c r="D3671" i="1"/>
  <c r="C3672" i="1"/>
  <c r="D3672" i="1"/>
  <c r="C3673" i="1"/>
  <c r="D3673" i="1"/>
  <c r="C3674" i="1"/>
  <c r="D3674" i="1"/>
  <c r="C3675" i="1"/>
  <c r="D3675" i="1"/>
  <c r="C3676" i="1"/>
  <c r="D3676" i="1"/>
  <c r="C3677" i="1"/>
  <c r="D3677" i="1"/>
  <c r="C3678" i="1"/>
  <c r="D3678" i="1"/>
  <c r="C3679" i="1"/>
  <c r="D3679" i="1"/>
  <c r="C3680" i="1"/>
  <c r="D3680" i="1"/>
  <c r="C3681" i="1"/>
  <c r="D3681" i="1"/>
  <c r="C3682" i="1"/>
  <c r="D3682" i="1"/>
  <c r="C3683" i="1"/>
  <c r="D3683" i="1"/>
  <c r="C3684" i="1"/>
  <c r="D3684" i="1"/>
  <c r="C3685" i="1"/>
  <c r="D3685" i="1"/>
  <c r="C3686" i="1"/>
  <c r="D3686" i="1"/>
  <c r="C3687" i="1"/>
  <c r="D3687" i="1"/>
  <c r="C3688" i="1"/>
  <c r="D3688" i="1"/>
  <c r="C3689" i="1"/>
  <c r="D3689" i="1"/>
  <c r="C3690" i="1"/>
  <c r="D3690" i="1"/>
  <c r="C3691" i="1"/>
  <c r="D3691" i="1"/>
  <c r="C3692" i="1"/>
  <c r="D3692" i="1"/>
  <c r="C3693" i="1"/>
  <c r="D3693" i="1"/>
  <c r="C3694" i="1"/>
  <c r="D3694" i="1"/>
  <c r="C3695" i="1"/>
  <c r="D3695" i="1"/>
  <c r="C3696" i="1"/>
  <c r="D3696" i="1"/>
  <c r="C3697" i="1"/>
  <c r="D3697" i="1"/>
  <c r="C3698" i="1"/>
  <c r="D3698" i="1"/>
  <c r="C3699" i="1"/>
  <c r="D3699" i="1"/>
  <c r="C3700" i="1"/>
  <c r="D3700" i="1"/>
  <c r="C3701" i="1"/>
  <c r="D3701" i="1"/>
  <c r="C3702" i="1"/>
  <c r="D3702" i="1"/>
  <c r="C3703" i="1"/>
  <c r="D3703" i="1"/>
  <c r="C3704" i="1"/>
  <c r="D3704" i="1"/>
  <c r="C3705" i="1"/>
  <c r="D3705" i="1"/>
  <c r="C3706" i="1"/>
  <c r="D3706" i="1"/>
  <c r="C3707" i="1"/>
  <c r="D3707" i="1"/>
  <c r="C3708" i="1"/>
  <c r="D3708" i="1"/>
  <c r="C3709" i="1"/>
  <c r="D3709" i="1"/>
  <c r="C3710" i="1"/>
  <c r="D3710" i="1"/>
  <c r="C3711" i="1"/>
  <c r="D3711" i="1"/>
  <c r="C3712" i="1"/>
  <c r="D3712" i="1"/>
  <c r="C3713" i="1"/>
  <c r="D3713" i="1"/>
  <c r="C3714" i="1"/>
  <c r="D3714" i="1"/>
  <c r="C3715" i="1"/>
  <c r="D3715" i="1"/>
  <c r="C3716" i="1"/>
  <c r="D3716" i="1"/>
  <c r="C3717" i="1"/>
  <c r="D3717" i="1"/>
  <c r="C3718" i="1"/>
  <c r="D3718" i="1"/>
  <c r="C3719" i="1"/>
  <c r="D3719" i="1"/>
  <c r="C3720" i="1"/>
  <c r="D3720" i="1"/>
  <c r="C3721" i="1"/>
  <c r="D3721" i="1"/>
  <c r="C3722" i="1"/>
  <c r="D3722" i="1"/>
  <c r="C3723" i="1"/>
  <c r="D3723" i="1"/>
  <c r="C3724" i="1"/>
  <c r="D3724" i="1"/>
  <c r="C3725" i="1"/>
  <c r="D3725" i="1"/>
  <c r="C3726" i="1"/>
  <c r="D3726" i="1"/>
  <c r="C3727" i="1"/>
  <c r="D3727" i="1"/>
  <c r="C3728" i="1"/>
  <c r="D3728" i="1"/>
  <c r="C3729" i="1"/>
  <c r="D3729" i="1"/>
  <c r="C3730" i="1"/>
  <c r="D3730" i="1"/>
  <c r="C3731" i="1"/>
  <c r="D3731" i="1"/>
  <c r="C3732" i="1"/>
  <c r="D3732" i="1"/>
  <c r="C3733" i="1"/>
  <c r="D3733" i="1"/>
  <c r="C3734" i="1"/>
  <c r="D3734" i="1"/>
  <c r="C3735" i="1"/>
  <c r="D3735" i="1"/>
  <c r="C3736" i="1"/>
  <c r="D3736" i="1"/>
  <c r="C3737" i="1"/>
  <c r="D3737" i="1"/>
  <c r="C3738" i="1"/>
  <c r="D3738" i="1"/>
  <c r="C3739" i="1"/>
  <c r="D3739" i="1"/>
  <c r="C3740" i="1"/>
  <c r="D3740" i="1"/>
  <c r="C3741" i="1"/>
  <c r="D3741" i="1"/>
  <c r="C3742" i="1"/>
  <c r="D3742" i="1"/>
  <c r="C3743" i="1"/>
  <c r="D3743" i="1"/>
  <c r="C3744" i="1"/>
  <c r="D3744" i="1"/>
  <c r="C3745" i="1"/>
  <c r="D3745" i="1"/>
  <c r="C3746" i="1"/>
  <c r="D3746" i="1"/>
  <c r="C3747" i="1"/>
  <c r="D3747" i="1"/>
  <c r="C3748" i="1"/>
  <c r="D3748" i="1"/>
  <c r="C3749" i="1"/>
  <c r="D3749" i="1"/>
  <c r="C3750" i="1"/>
  <c r="D3750" i="1"/>
  <c r="C3751" i="1"/>
  <c r="D3751" i="1"/>
  <c r="C3752" i="1"/>
  <c r="D3752" i="1"/>
  <c r="C3753" i="1"/>
  <c r="D3753" i="1"/>
  <c r="C3754" i="1"/>
  <c r="D3754" i="1"/>
  <c r="C3755" i="1"/>
  <c r="D3755" i="1"/>
  <c r="C3756" i="1"/>
  <c r="D3756" i="1"/>
  <c r="C3757" i="1"/>
  <c r="D3757" i="1"/>
  <c r="C3758" i="1"/>
  <c r="D3758" i="1"/>
  <c r="C3759" i="1"/>
  <c r="D3759" i="1"/>
  <c r="C3760" i="1"/>
  <c r="D3760" i="1"/>
  <c r="C3761" i="1"/>
  <c r="D3761" i="1"/>
  <c r="C3762" i="1"/>
  <c r="D3762" i="1"/>
  <c r="C3763" i="1"/>
  <c r="D3763" i="1"/>
  <c r="C3764" i="1"/>
  <c r="D3764" i="1"/>
  <c r="C3765" i="1"/>
  <c r="D3765" i="1"/>
  <c r="C3766" i="1"/>
  <c r="D3766" i="1"/>
  <c r="C3767" i="1"/>
  <c r="D3767" i="1"/>
  <c r="C3768" i="1"/>
  <c r="D3768" i="1"/>
  <c r="C3769" i="1"/>
  <c r="D3769" i="1"/>
  <c r="C3770" i="1"/>
  <c r="D3770" i="1"/>
  <c r="C3771" i="1"/>
  <c r="D3771" i="1"/>
  <c r="C3772" i="1"/>
  <c r="D3772" i="1"/>
  <c r="C3773" i="1"/>
  <c r="D3773" i="1"/>
  <c r="C3774" i="1"/>
  <c r="D3774" i="1"/>
  <c r="C3775" i="1"/>
  <c r="D3775" i="1"/>
  <c r="C3776" i="1"/>
  <c r="D3776" i="1"/>
  <c r="C3777" i="1"/>
  <c r="D3777" i="1"/>
  <c r="C3778" i="1"/>
  <c r="D3778" i="1"/>
  <c r="C3779" i="1"/>
  <c r="D3779" i="1"/>
  <c r="C3780" i="1"/>
  <c r="D3780" i="1"/>
  <c r="C3781" i="1"/>
  <c r="D3781" i="1"/>
  <c r="C3782" i="1"/>
  <c r="D3782" i="1"/>
  <c r="C3783" i="1"/>
  <c r="D3783" i="1"/>
  <c r="C3784" i="1"/>
  <c r="D3784" i="1"/>
  <c r="C3785" i="1"/>
  <c r="D3785" i="1"/>
  <c r="C3786" i="1"/>
  <c r="D3786" i="1"/>
  <c r="C3787" i="1"/>
  <c r="D3787" i="1"/>
  <c r="C3788" i="1"/>
  <c r="D3788" i="1"/>
  <c r="C3789" i="1"/>
  <c r="D3789" i="1"/>
  <c r="C3790" i="1"/>
  <c r="D3790" i="1"/>
  <c r="C3791" i="1"/>
  <c r="D3791" i="1"/>
  <c r="C3792" i="1"/>
  <c r="D3792" i="1"/>
  <c r="C3793" i="1"/>
  <c r="D3793" i="1"/>
  <c r="C3794" i="1"/>
  <c r="D3794" i="1"/>
  <c r="C3795" i="1"/>
  <c r="D3795" i="1"/>
  <c r="C3796" i="1"/>
  <c r="D3796" i="1"/>
  <c r="C3797" i="1"/>
  <c r="D3797" i="1"/>
  <c r="C3798" i="1"/>
  <c r="D3798" i="1"/>
  <c r="C3799" i="1"/>
  <c r="D3799" i="1"/>
  <c r="C3800" i="1"/>
  <c r="D3800" i="1"/>
  <c r="C3801" i="1"/>
  <c r="D3801" i="1"/>
  <c r="C3802" i="1"/>
  <c r="D3802" i="1"/>
  <c r="C3803" i="1"/>
  <c r="D3803" i="1"/>
  <c r="C3804" i="1"/>
  <c r="D3804" i="1"/>
  <c r="C3805" i="1"/>
  <c r="D3805" i="1"/>
  <c r="C3806" i="1"/>
  <c r="D3806" i="1"/>
  <c r="C3807" i="1"/>
  <c r="D3807" i="1"/>
  <c r="C3808" i="1"/>
  <c r="D3808" i="1"/>
  <c r="C3809" i="1"/>
  <c r="D3809" i="1"/>
  <c r="C3810" i="1"/>
  <c r="D3810" i="1"/>
  <c r="C3811" i="1"/>
  <c r="D3811" i="1"/>
  <c r="C3812" i="1"/>
  <c r="D3812" i="1"/>
  <c r="C3813" i="1"/>
  <c r="D3813" i="1"/>
  <c r="C3814" i="1"/>
  <c r="D3814" i="1"/>
  <c r="C3815" i="1"/>
  <c r="D3815" i="1"/>
  <c r="C3816" i="1"/>
  <c r="D3816" i="1"/>
  <c r="C3817" i="1"/>
  <c r="D3817" i="1"/>
  <c r="C3818" i="1"/>
  <c r="D3818" i="1"/>
  <c r="C3819" i="1"/>
  <c r="D3819" i="1"/>
  <c r="C3820" i="1"/>
  <c r="D3820" i="1"/>
  <c r="C3821" i="1"/>
  <c r="D3821" i="1"/>
  <c r="C3822" i="1"/>
  <c r="D3822" i="1"/>
  <c r="C3823" i="1"/>
  <c r="D3823" i="1"/>
  <c r="C3824" i="1"/>
  <c r="D3824" i="1"/>
  <c r="C3825" i="1"/>
  <c r="D3825" i="1"/>
  <c r="C3826" i="1"/>
  <c r="D3826" i="1"/>
  <c r="C3827" i="1"/>
  <c r="D3827" i="1"/>
  <c r="C3828" i="1"/>
  <c r="D3828" i="1"/>
  <c r="C3829" i="1"/>
  <c r="D3829" i="1"/>
  <c r="C3830" i="1"/>
  <c r="D3830" i="1"/>
  <c r="C3831" i="1"/>
  <c r="D3831" i="1"/>
  <c r="C3832" i="1"/>
  <c r="D3832" i="1"/>
  <c r="C3833" i="1"/>
  <c r="D3833" i="1"/>
  <c r="C3834" i="1"/>
  <c r="D3834" i="1"/>
  <c r="C3835" i="1"/>
  <c r="D3835" i="1"/>
  <c r="C3836" i="1"/>
  <c r="D3836" i="1"/>
  <c r="C3837" i="1"/>
  <c r="D3837" i="1"/>
  <c r="C3838" i="1"/>
  <c r="D3838" i="1"/>
  <c r="C3839" i="1"/>
  <c r="D3839" i="1"/>
  <c r="C3840" i="1"/>
  <c r="D3840" i="1"/>
  <c r="C3841" i="1"/>
  <c r="D3841" i="1"/>
  <c r="C3842" i="1"/>
  <c r="D3842" i="1"/>
  <c r="C3843" i="1"/>
  <c r="D3843" i="1"/>
  <c r="C3844" i="1"/>
  <c r="D3844" i="1"/>
  <c r="C3845" i="1"/>
  <c r="D3845" i="1"/>
  <c r="C3846" i="1"/>
  <c r="D3846" i="1"/>
  <c r="C3847" i="1"/>
  <c r="D3847" i="1"/>
  <c r="C3848" i="1"/>
  <c r="D3848" i="1"/>
  <c r="C3849" i="1"/>
  <c r="D3849" i="1"/>
  <c r="C3850" i="1"/>
  <c r="D3850" i="1"/>
  <c r="C3851" i="1"/>
  <c r="D3851" i="1"/>
  <c r="C3852" i="1"/>
  <c r="D3852" i="1"/>
  <c r="C3853" i="1"/>
  <c r="D3853" i="1"/>
  <c r="C3854" i="1"/>
  <c r="D3854" i="1"/>
  <c r="C3855" i="1"/>
  <c r="D3855" i="1"/>
  <c r="C3856" i="1"/>
  <c r="D3856" i="1"/>
  <c r="C3857" i="1"/>
  <c r="D3857" i="1"/>
  <c r="C3858" i="1"/>
  <c r="D3858" i="1"/>
  <c r="C3859" i="1"/>
  <c r="D3859" i="1"/>
  <c r="C3860" i="1"/>
  <c r="D3860" i="1"/>
  <c r="C3861" i="1"/>
  <c r="D3861" i="1"/>
  <c r="C3862" i="1"/>
  <c r="D3862" i="1"/>
  <c r="C3863" i="1"/>
  <c r="D3863" i="1"/>
  <c r="C3864" i="1"/>
  <c r="D3864" i="1"/>
  <c r="C3865" i="1"/>
  <c r="D3865" i="1"/>
  <c r="C3866" i="1"/>
  <c r="D3866" i="1"/>
  <c r="C3867" i="1"/>
  <c r="D3867" i="1"/>
  <c r="C3868" i="1"/>
  <c r="D3868" i="1"/>
  <c r="C3869" i="1"/>
  <c r="D3869" i="1"/>
  <c r="C3870" i="1"/>
  <c r="D3870" i="1"/>
  <c r="C3871" i="1"/>
  <c r="D3871" i="1"/>
  <c r="C3872" i="1"/>
  <c r="D3872" i="1"/>
  <c r="C3873" i="1"/>
  <c r="D3873" i="1"/>
  <c r="C3874" i="1"/>
  <c r="D3874" i="1"/>
  <c r="C3875" i="1"/>
  <c r="D3875" i="1"/>
  <c r="C3876" i="1"/>
  <c r="D3876" i="1"/>
  <c r="C3877" i="1"/>
  <c r="D3877" i="1"/>
  <c r="C3878" i="1"/>
  <c r="D3878" i="1"/>
  <c r="C3879" i="1"/>
  <c r="D3879" i="1"/>
  <c r="C3880" i="1"/>
  <c r="D3880" i="1"/>
  <c r="C3881" i="1"/>
  <c r="D3881" i="1"/>
  <c r="C3882" i="1"/>
  <c r="D3882" i="1"/>
  <c r="C3883" i="1"/>
  <c r="D3883" i="1"/>
  <c r="C3884" i="1"/>
  <c r="D3884" i="1"/>
  <c r="C3885" i="1"/>
  <c r="D3885" i="1"/>
  <c r="C3886" i="1"/>
  <c r="D3886" i="1"/>
  <c r="C3887" i="1"/>
  <c r="D3887" i="1"/>
  <c r="C3888" i="1"/>
  <c r="D3888" i="1"/>
  <c r="C3889" i="1"/>
  <c r="D3889" i="1"/>
  <c r="C3890" i="1"/>
  <c r="D3890" i="1"/>
  <c r="C3891" i="1"/>
  <c r="D3891" i="1"/>
  <c r="C3892" i="1"/>
  <c r="D3892" i="1"/>
  <c r="C3893" i="1"/>
  <c r="D3893" i="1"/>
  <c r="C3894" i="1"/>
  <c r="D3894" i="1"/>
  <c r="C3895" i="1"/>
  <c r="D3895" i="1"/>
  <c r="C3896" i="1"/>
  <c r="D3896" i="1"/>
  <c r="C3897" i="1"/>
  <c r="D3897" i="1"/>
  <c r="C3898" i="1"/>
  <c r="D3898" i="1"/>
  <c r="C3899" i="1"/>
  <c r="D3899" i="1"/>
  <c r="C3900" i="1"/>
  <c r="D3900" i="1"/>
  <c r="C3901" i="1"/>
  <c r="D3901" i="1"/>
  <c r="C3902" i="1"/>
  <c r="D3902" i="1"/>
  <c r="C3903" i="1"/>
  <c r="D3903" i="1"/>
  <c r="C3904" i="1"/>
  <c r="D3904" i="1"/>
  <c r="C3905" i="1"/>
  <c r="D3905" i="1"/>
  <c r="C3906" i="1"/>
  <c r="D3906" i="1"/>
  <c r="C3907" i="1"/>
  <c r="D3907" i="1"/>
  <c r="C3908" i="1"/>
  <c r="D3908" i="1"/>
  <c r="C3909" i="1"/>
  <c r="D3909" i="1"/>
  <c r="C3910" i="1"/>
  <c r="D3910" i="1"/>
  <c r="C3911" i="1"/>
  <c r="D3911" i="1"/>
  <c r="C3912" i="1"/>
  <c r="D3912" i="1"/>
  <c r="C3913" i="1"/>
  <c r="D3913" i="1"/>
  <c r="C3914" i="1"/>
  <c r="D3914" i="1"/>
  <c r="C3915" i="1"/>
  <c r="D3915" i="1"/>
  <c r="C3916" i="1"/>
  <c r="D3916" i="1"/>
  <c r="C3917" i="1"/>
  <c r="D3917" i="1"/>
  <c r="C3918" i="1"/>
  <c r="D3918" i="1"/>
  <c r="C3919" i="1"/>
  <c r="D3919" i="1"/>
  <c r="C3920" i="1"/>
  <c r="D3920" i="1"/>
  <c r="C3921" i="1"/>
  <c r="D3921" i="1"/>
  <c r="C3922" i="1"/>
  <c r="D3922" i="1"/>
  <c r="C3923" i="1"/>
  <c r="D3923" i="1"/>
  <c r="C3924" i="1"/>
  <c r="D3924" i="1"/>
  <c r="C3925" i="1"/>
  <c r="D3925" i="1"/>
  <c r="C3926" i="1"/>
  <c r="D3926" i="1"/>
  <c r="C3927" i="1"/>
  <c r="D3927" i="1"/>
  <c r="C3928" i="1"/>
  <c r="D3928" i="1"/>
  <c r="C3929" i="1"/>
  <c r="D3929" i="1"/>
  <c r="C3930" i="1"/>
  <c r="D3930" i="1"/>
  <c r="C3931" i="1"/>
  <c r="D3931" i="1"/>
  <c r="C3932" i="1"/>
  <c r="D3932" i="1"/>
  <c r="C3933" i="1"/>
  <c r="D3933" i="1"/>
  <c r="C3934" i="1"/>
  <c r="D3934" i="1"/>
  <c r="C3935" i="1"/>
  <c r="D3935" i="1"/>
  <c r="C3936" i="1"/>
  <c r="D3936" i="1"/>
  <c r="C3937" i="1"/>
  <c r="D3937" i="1"/>
  <c r="C3938" i="1"/>
  <c r="D3938" i="1"/>
  <c r="C3939" i="1"/>
  <c r="D3939" i="1"/>
  <c r="C3940" i="1"/>
  <c r="D3940" i="1"/>
  <c r="C3941" i="1"/>
  <c r="D3941" i="1"/>
  <c r="C3942" i="1"/>
  <c r="D3942" i="1"/>
  <c r="C3943" i="1"/>
  <c r="D3943" i="1"/>
  <c r="C3944" i="1"/>
  <c r="D3944" i="1"/>
  <c r="C3945" i="1"/>
  <c r="D3945" i="1"/>
  <c r="C3946" i="1"/>
  <c r="D3946" i="1"/>
  <c r="C3947" i="1"/>
  <c r="D3947" i="1"/>
  <c r="C3948" i="1"/>
  <c r="D3948" i="1"/>
  <c r="C3949" i="1"/>
  <c r="D3949" i="1"/>
  <c r="C3950" i="1"/>
  <c r="D3950" i="1"/>
  <c r="C3951" i="1"/>
  <c r="D3951" i="1"/>
  <c r="C3952" i="1"/>
  <c r="D3952" i="1"/>
  <c r="C3953" i="1"/>
  <c r="D3953" i="1"/>
  <c r="C3954" i="1"/>
  <c r="D3954" i="1"/>
  <c r="C3955" i="1"/>
  <c r="D3955" i="1"/>
  <c r="C3956" i="1"/>
  <c r="D3956" i="1"/>
  <c r="C3957" i="1"/>
  <c r="D3957" i="1"/>
  <c r="C3958" i="1"/>
  <c r="D3958" i="1"/>
  <c r="C3959" i="1"/>
  <c r="D3959" i="1"/>
  <c r="C3960" i="1"/>
  <c r="D3960" i="1"/>
  <c r="C3961" i="1"/>
  <c r="D3961" i="1"/>
  <c r="C3962" i="1"/>
  <c r="D3962" i="1"/>
  <c r="C3963" i="1"/>
  <c r="D3963" i="1"/>
  <c r="C3964" i="1"/>
  <c r="D3964" i="1"/>
  <c r="C3965" i="1"/>
  <c r="D3965" i="1"/>
  <c r="C3966" i="1"/>
  <c r="D3966" i="1"/>
  <c r="C3967" i="1"/>
  <c r="D3967" i="1"/>
  <c r="C3968" i="1"/>
  <c r="D3968" i="1"/>
  <c r="C3969" i="1"/>
  <c r="D3969" i="1"/>
  <c r="C3970" i="1"/>
  <c r="D3970" i="1"/>
  <c r="C3971" i="1"/>
  <c r="D3971" i="1"/>
  <c r="C3972" i="1"/>
  <c r="D3972" i="1"/>
  <c r="C3973" i="1"/>
  <c r="D3973" i="1"/>
  <c r="C3974" i="1"/>
  <c r="D3974" i="1"/>
  <c r="C3975" i="1"/>
  <c r="D3975" i="1"/>
  <c r="C3976" i="1"/>
  <c r="D3976" i="1"/>
  <c r="C3977" i="1"/>
  <c r="D3977" i="1"/>
  <c r="C3978" i="1"/>
  <c r="D3978" i="1"/>
  <c r="C3979" i="1"/>
  <c r="D3979" i="1"/>
  <c r="C3980" i="1"/>
  <c r="D3980" i="1"/>
  <c r="C3981" i="1"/>
  <c r="D3981" i="1"/>
  <c r="C3982" i="1"/>
  <c r="D3982" i="1"/>
  <c r="C3983" i="1"/>
  <c r="D3983" i="1"/>
  <c r="C3984" i="1"/>
  <c r="D3984" i="1"/>
  <c r="C3985" i="1"/>
  <c r="D3985" i="1"/>
  <c r="C3986" i="1"/>
  <c r="D3986" i="1"/>
  <c r="C3987" i="1"/>
  <c r="D3987" i="1"/>
  <c r="C3988" i="1"/>
  <c r="D3988" i="1"/>
  <c r="C3989" i="1"/>
  <c r="D3989" i="1"/>
  <c r="C3990" i="1"/>
  <c r="D3990" i="1"/>
  <c r="C3991" i="1"/>
  <c r="D3991" i="1"/>
  <c r="C3992" i="1"/>
  <c r="D3992" i="1"/>
  <c r="C3993" i="1"/>
  <c r="D3993" i="1"/>
  <c r="C3994" i="1"/>
  <c r="D3994" i="1"/>
  <c r="C3995" i="1"/>
  <c r="D3995" i="1"/>
  <c r="C3996" i="1"/>
  <c r="D3996" i="1"/>
  <c r="C3997" i="1"/>
  <c r="D3997" i="1"/>
  <c r="C3998" i="1"/>
  <c r="D3998" i="1"/>
  <c r="C3999" i="1"/>
  <c r="D3999" i="1"/>
  <c r="C4000" i="1"/>
  <c r="D4000" i="1"/>
  <c r="C4001" i="1"/>
  <c r="D4001" i="1"/>
  <c r="C4002" i="1"/>
  <c r="D4002" i="1"/>
  <c r="C4003" i="1"/>
  <c r="D4003" i="1"/>
  <c r="C4004" i="1"/>
  <c r="D4004" i="1"/>
  <c r="C4005" i="1"/>
  <c r="D4005" i="1"/>
  <c r="C4006" i="1"/>
  <c r="D4006" i="1"/>
  <c r="C4007" i="1"/>
  <c r="D4007" i="1"/>
  <c r="C4008" i="1"/>
  <c r="D4008" i="1"/>
  <c r="C4009" i="1"/>
  <c r="D4009" i="1"/>
  <c r="C4010" i="1"/>
  <c r="D4010" i="1"/>
  <c r="C4011" i="1"/>
  <c r="D4011" i="1"/>
  <c r="C4012" i="1"/>
  <c r="D4012" i="1"/>
  <c r="C4013" i="1"/>
  <c r="D4013" i="1"/>
  <c r="C4014" i="1"/>
  <c r="D4014" i="1"/>
  <c r="C4015" i="1"/>
  <c r="D4015" i="1"/>
  <c r="C4016" i="1"/>
  <c r="D4016" i="1"/>
  <c r="C4017" i="1"/>
  <c r="D4017" i="1"/>
  <c r="C4018" i="1"/>
  <c r="D4018" i="1"/>
  <c r="C4019" i="1"/>
  <c r="D4019" i="1"/>
  <c r="C4020" i="1"/>
  <c r="D4020" i="1"/>
  <c r="C4021" i="1"/>
  <c r="D4021" i="1"/>
  <c r="C4022" i="1"/>
  <c r="D4022" i="1"/>
  <c r="C4023" i="1"/>
  <c r="D4023" i="1"/>
  <c r="C4024" i="1"/>
  <c r="D4024" i="1"/>
  <c r="C4025" i="1"/>
  <c r="D4025" i="1"/>
  <c r="C4026" i="1"/>
  <c r="D4026" i="1"/>
  <c r="C4027" i="1"/>
  <c r="D4027" i="1"/>
  <c r="C4028" i="1"/>
  <c r="D4028" i="1"/>
  <c r="C4029" i="1"/>
  <c r="D4029" i="1"/>
  <c r="C4030" i="1"/>
  <c r="D4030" i="1"/>
  <c r="C4031" i="1"/>
  <c r="D4031" i="1"/>
  <c r="C4032" i="1"/>
  <c r="D4032" i="1"/>
  <c r="C4033" i="1"/>
  <c r="D4033" i="1"/>
  <c r="C4034" i="1"/>
  <c r="D4034" i="1"/>
  <c r="C4035" i="1"/>
  <c r="D4035" i="1"/>
  <c r="C4036" i="1"/>
  <c r="D4036" i="1"/>
  <c r="C4037" i="1"/>
  <c r="D4037" i="1"/>
  <c r="C4038" i="1"/>
  <c r="D4038" i="1"/>
  <c r="C4039" i="1"/>
  <c r="D4039" i="1"/>
  <c r="C4040" i="1"/>
  <c r="D4040" i="1"/>
  <c r="C4041" i="1"/>
  <c r="D4041" i="1"/>
  <c r="C4042" i="1"/>
  <c r="D4042" i="1"/>
  <c r="C4043" i="1"/>
  <c r="D4043" i="1"/>
  <c r="C4044" i="1"/>
  <c r="D4044" i="1"/>
  <c r="C4045" i="1"/>
  <c r="D4045" i="1"/>
  <c r="C4046" i="1"/>
  <c r="D4046" i="1"/>
  <c r="C4047" i="1"/>
  <c r="D4047" i="1"/>
  <c r="C4048" i="1"/>
  <c r="D4048" i="1"/>
  <c r="C4049" i="1"/>
  <c r="D4049" i="1"/>
  <c r="C4050" i="1"/>
  <c r="D4050" i="1"/>
  <c r="C4051" i="1"/>
  <c r="D4051" i="1"/>
  <c r="C4052" i="1"/>
  <c r="D4052" i="1"/>
  <c r="C4053" i="1"/>
  <c r="D4053" i="1"/>
  <c r="C4054" i="1"/>
  <c r="D4054" i="1"/>
  <c r="C4055" i="1"/>
  <c r="D4055" i="1"/>
  <c r="C4056" i="1"/>
  <c r="D4056" i="1"/>
  <c r="C4057" i="1"/>
  <c r="D4057" i="1"/>
  <c r="C4058" i="1"/>
  <c r="D4058" i="1"/>
  <c r="C4059" i="1"/>
  <c r="D4059" i="1"/>
  <c r="C4060" i="1"/>
  <c r="D4060" i="1"/>
  <c r="C4061" i="1"/>
  <c r="D4061" i="1"/>
  <c r="C4062" i="1"/>
  <c r="D4062" i="1"/>
  <c r="C4063" i="1"/>
  <c r="D4063" i="1"/>
  <c r="C4064" i="1"/>
  <c r="D4064" i="1"/>
  <c r="C4065" i="1"/>
  <c r="D4065" i="1"/>
  <c r="C4066" i="1"/>
  <c r="D4066" i="1"/>
  <c r="C4067" i="1"/>
  <c r="D4067" i="1"/>
  <c r="C4068" i="1"/>
  <c r="D4068" i="1"/>
  <c r="C4069" i="1"/>
  <c r="D4069" i="1"/>
  <c r="C4070" i="1"/>
  <c r="D4070" i="1"/>
  <c r="C4071" i="1"/>
  <c r="D4071" i="1"/>
  <c r="C4072" i="1"/>
  <c r="D4072" i="1"/>
  <c r="C4073" i="1"/>
  <c r="D4073" i="1"/>
  <c r="C4074" i="1"/>
  <c r="D4074" i="1"/>
  <c r="C4075" i="1"/>
  <c r="D4075" i="1"/>
  <c r="C4076" i="1"/>
  <c r="D4076" i="1"/>
  <c r="C4077" i="1"/>
  <c r="D4077" i="1"/>
  <c r="C4078" i="1"/>
  <c r="D4078" i="1"/>
  <c r="C4079" i="1"/>
  <c r="D4079" i="1"/>
  <c r="C4080" i="1"/>
  <c r="D4080" i="1"/>
  <c r="C4081" i="1"/>
  <c r="D4081" i="1"/>
  <c r="C4082" i="1"/>
  <c r="D4082" i="1"/>
  <c r="C4083" i="1"/>
  <c r="D4083" i="1"/>
  <c r="C4084" i="1"/>
  <c r="D4084" i="1"/>
  <c r="C4085" i="1"/>
  <c r="D4085" i="1"/>
  <c r="C4086" i="1"/>
  <c r="D4086" i="1"/>
  <c r="C4087" i="1"/>
  <c r="D4087" i="1"/>
  <c r="C4088" i="1"/>
  <c r="D4088" i="1"/>
  <c r="C4089" i="1"/>
  <c r="D4089" i="1"/>
  <c r="C4090" i="1"/>
  <c r="D4090" i="1"/>
  <c r="C4091" i="1"/>
  <c r="D4091" i="1"/>
  <c r="C4092" i="1"/>
  <c r="D4092" i="1"/>
  <c r="C4093" i="1"/>
  <c r="D4093" i="1"/>
  <c r="C4094" i="1"/>
  <c r="D4094" i="1"/>
  <c r="C4095" i="1"/>
  <c r="D4095" i="1"/>
  <c r="C4096" i="1"/>
  <c r="D4096" i="1"/>
  <c r="C4097" i="1"/>
  <c r="D4097" i="1"/>
  <c r="C4098" i="1"/>
  <c r="D4098" i="1"/>
  <c r="C4099" i="1"/>
  <c r="D4099" i="1"/>
  <c r="C4100" i="1"/>
  <c r="D4100" i="1"/>
  <c r="C4101" i="1"/>
  <c r="D4101" i="1"/>
  <c r="C4102" i="1"/>
  <c r="D4102" i="1"/>
  <c r="C4103" i="1"/>
  <c r="D4103" i="1"/>
  <c r="C4104" i="1"/>
  <c r="D4104" i="1"/>
  <c r="C4105" i="1"/>
  <c r="D4105" i="1"/>
  <c r="C4106" i="1"/>
  <c r="D4106" i="1"/>
  <c r="C4107" i="1"/>
  <c r="D4107" i="1"/>
  <c r="C4108" i="1"/>
  <c r="D4108" i="1"/>
  <c r="C4109" i="1"/>
  <c r="D4109" i="1"/>
  <c r="C4110" i="1"/>
  <c r="D4110" i="1"/>
  <c r="C4111" i="1"/>
  <c r="D4111" i="1"/>
  <c r="C4112" i="1"/>
  <c r="D4112" i="1"/>
  <c r="C4113" i="1"/>
  <c r="D4113" i="1"/>
  <c r="C4114" i="1"/>
  <c r="D4114" i="1"/>
  <c r="C4115" i="1"/>
  <c r="D4115" i="1"/>
  <c r="C4116" i="1"/>
  <c r="D4116" i="1"/>
  <c r="C4117" i="1"/>
  <c r="D4117" i="1"/>
  <c r="C4118" i="1"/>
  <c r="D4118" i="1"/>
  <c r="C4119" i="1"/>
  <c r="D4119" i="1"/>
  <c r="C4120" i="1"/>
  <c r="D4120" i="1"/>
  <c r="C4121" i="1"/>
  <c r="D4121" i="1"/>
  <c r="C4122" i="1"/>
  <c r="D4122" i="1"/>
  <c r="C4123" i="1"/>
  <c r="D4123" i="1"/>
  <c r="C4124" i="1"/>
  <c r="D4124" i="1"/>
  <c r="C4125" i="1"/>
  <c r="D4125" i="1"/>
  <c r="C4126" i="1"/>
  <c r="D4126" i="1"/>
  <c r="C4127" i="1"/>
  <c r="D4127" i="1"/>
  <c r="C4128" i="1"/>
  <c r="D4128" i="1"/>
  <c r="C4129" i="1"/>
  <c r="D4129" i="1"/>
  <c r="C4130" i="1"/>
  <c r="D4130" i="1"/>
  <c r="C4131" i="1"/>
  <c r="D4131" i="1"/>
  <c r="C4132" i="1"/>
  <c r="D4132" i="1"/>
  <c r="C4133" i="1"/>
  <c r="D4133" i="1"/>
  <c r="C4134" i="1"/>
  <c r="D4134" i="1"/>
  <c r="C4135" i="1"/>
  <c r="D4135" i="1"/>
  <c r="C4136" i="1"/>
  <c r="D4136" i="1"/>
  <c r="C4137" i="1"/>
  <c r="D4137" i="1"/>
  <c r="C4138" i="1"/>
  <c r="D4138" i="1"/>
  <c r="C4139" i="1"/>
  <c r="D4139" i="1"/>
  <c r="C4140" i="1"/>
  <c r="D4140" i="1"/>
  <c r="C4141" i="1"/>
  <c r="D4141" i="1"/>
  <c r="C4142" i="1"/>
  <c r="D4142" i="1"/>
  <c r="C4143" i="1"/>
  <c r="D4143" i="1"/>
  <c r="C4144" i="1"/>
  <c r="D4144" i="1"/>
  <c r="C4145" i="1"/>
  <c r="D4145" i="1"/>
  <c r="C4146" i="1"/>
  <c r="D4146" i="1"/>
  <c r="C4147" i="1"/>
  <c r="D4147" i="1"/>
  <c r="C4148" i="1"/>
  <c r="D4148" i="1"/>
  <c r="C4149" i="1"/>
  <c r="D4149" i="1"/>
  <c r="C4150" i="1"/>
  <c r="D4150" i="1"/>
  <c r="C4151" i="1"/>
  <c r="D4151" i="1"/>
  <c r="C4152" i="1"/>
  <c r="D4152" i="1"/>
  <c r="C4153" i="1"/>
  <c r="D4153" i="1"/>
  <c r="C4154" i="1"/>
  <c r="D4154" i="1"/>
  <c r="C4155" i="1"/>
  <c r="D4155" i="1"/>
  <c r="C4156" i="1"/>
  <c r="D4156" i="1"/>
  <c r="C4157" i="1"/>
  <c r="D4157" i="1"/>
  <c r="C4158" i="1"/>
  <c r="D4158" i="1"/>
  <c r="C4159" i="1"/>
  <c r="D4159" i="1"/>
  <c r="C4160" i="1"/>
  <c r="D4160" i="1"/>
  <c r="C4161" i="1"/>
  <c r="D4161" i="1"/>
  <c r="C4162" i="1"/>
  <c r="D4162" i="1"/>
  <c r="C4163" i="1"/>
  <c r="D4163" i="1"/>
  <c r="C4164" i="1"/>
  <c r="D4164" i="1"/>
  <c r="C4165" i="1"/>
  <c r="D4165" i="1"/>
  <c r="C4166" i="1"/>
  <c r="D4166" i="1"/>
  <c r="C4167" i="1"/>
  <c r="D4167" i="1"/>
  <c r="C4168" i="1"/>
  <c r="D4168" i="1"/>
  <c r="C4169" i="1"/>
  <c r="D4169" i="1"/>
  <c r="C4170" i="1"/>
  <c r="D4170" i="1"/>
  <c r="C4171" i="1"/>
  <c r="D4171" i="1"/>
  <c r="C4172" i="1"/>
  <c r="D4172" i="1"/>
  <c r="C4173" i="1"/>
  <c r="D4173" i="1"/>
  <c r="C4174" i="1"/>
  <c r="D4174" i="1"/>
  <c r="C4175" i="1"/>
  <c r="D4175" i="1"/>
  <c r="C4176" i="1"/>
  <c r="D4176" i="1"/>
  <c r="C4177" i="1"/>
  <c r="D4177" i="1"/>
  <c r="C4178" i="1"/>
  <c r="D4178" i="1"/>
  <c r="C4179" i="1"/>
  <c r="D4179" i="1"/>
  <c r="C4180" i="1"/>
  <c r="D4180" i="1"/>
  <c r="C4181" i="1"/>
  <c r="D4181" i="1"/>
  <c r="C4182" i="1"/>
  <c r="D4182" i="1"/>
  <c r="C4183" i="1"/>
  <c r="D4183" i="1"/>
  <c r="C4184" i="1"/>
  <c r="D4184" i="1"/>
  <c r="C4185" i="1"/>
  <c r="D4185" i="1"/>
  <c r="C4186" i="1"/>
  <c r="D4186" i="1"/>
  <c r="C4187" i="1"/>
  <c r="D4187" i="1"/>
  <c r="C4188" i="1"/>
  <c r="D4188" i="1"/>
  <c r="C4189" i="1"/>
  <c r="D4189" i="1"/>
  <c r="C4190" i="1"/>
  <c r="D4190" i="1"/>
  <c r="C4191" i="1"/>
  <c r="D4191" i="1"/>
  <c r="C4192" i="1"/>
  <c r="D4192" i="1"/>
  <c r="C4193" i="1"/>
  <c r="D4193" i="1"/>
  <c r="C4194" i="1"/>
  <c r="D4194" i="1"/>
  <c r="C4195" i="1"/>
  <c r="D4195" i="1"/>
  <c r="C4196" i="1"/>
  <c r="D4196" i="1"/>
  <c r="C4197" i="1"/>
  <c r="D4197" i="1"/>
  <c r="C4198" i="1"/>
  <c r="D4198" i="1"/>
  <c r="C4199" i="1"/>
  <c r="D4199" i="1"/>
  <c r="C4200" i="1"/>
  <c r="D4200" i="1"/>
  <c r="C4201" i="1"/>
  <c r="D4201" i="1"/>
  <c r="C4202" i="1"/>
  <c r="D4202" i="1"/>
  <c r="C4203" i="1"/>
  <c r="D4203" i="1"/>
  <c r="C4204" i="1"/>
  <c r="D4204" i="1"/>
  <c r="C4205" i="1"/>
  <c r="D4205" i="1"/>
  <c r="C4206" i="1"/>
  <c r="D4206" i="1"/>
  <c r="C4207" i="1"/>
  <c r="D4207" i="1"/>
  <c r="C4208" i="1"/>
  <c r="D4208" i="1"/>
  <c r="C4209" i="1"/>
  <c r="D4209" i="1"/>
  <c r="C4210" i="1"/>
  <c r="D4210" i="1"/>
  <c r="C4211" i="1"/>
  <c r="D4211" i="1"/>
  <c r="C4212" i="1"/>
  <c r="D4212" i="1"/>
  <c r="C4213" i="1"/>
  <c r="D4213" i="1"/>
  <c r="C4214" i="1"/>
  <c r="D4214" i="1"/>
  <c r="C4215" i="1"/>
  <c r="D4215" i="1"/>
  <c r="C4216" i="1"/>
  <c r="D4216" i="1"/>
  <c r="C4217" i="1"/>
  <c r="D4217" i="1"/>
  <c r="C4218" i="1"/>
  <c r="D4218" i="1"/>
  <c r="C4219" i="1"/>
  <c r="D4219" i="1"/>
  <c r="C4220" i="1"/>
  <c r="D4220" i="1"/>
  <c r="C4221" i="1"/>
  <c r="D4221" i="1"/>
  <c r="C4222" i="1"/>
  <c r="D4222" i="1"/>
  <c r="C4223" i="1"/>
  <c r="D4223" i="1"/>
  <c r="C4224" i="1"/>
  <c r="D4224" i="1"/>
  <c r="C4225" i="1"/>
  <c r="D4225" i="1"/>
  <c r="C4226" i="1"/>
  <c r="D4226" i="1"/>
  <c r="C4227" i="1"/>
  <c r="D4227" i="1"/>
  <c r="C4228" i="1"/>
  <c r="D4228" i="1"/>
  <c r="C4229" i="1"/>
  <c r="D4229" i="1"/>
  <c r="C4230" i="1"/>
  <c r="D4230" i="1"/>
  <c r="C4231" i="1"/>
  <c r="D4231" i="1"/>
  <c r="C4232" i="1"/>
  <c r="D4232" i="1"/>
  <c r="C4233" i="1"/>
  <c r="D4233" i="1"/>
  <c r="C4234" i="1"/>
  <c r="D4234" i="1"/>
  <c r="C4235" i="1"/>
  <c r="D4235" i="1"/>
  <c r="C4236" i="1"/>
  <c r="D4236" i="1"/>
  <c r="C4237" i="1"/>
  <c r="D4237" i="1"/>
  <c r="C4238" i="1"/>
  <c r="D4238" i="1"/>
  <c r="C4239" i="1"/>
  <c r="D4239" i="1"/>
  <c r="C4240" i="1"/>
  <c r="D4240" i="1"/>
  <c r="C4241" i="1"/>
  <c r="D4241" i="1"/>
  <c r="C4242" i="1"/>
  <c r="D4242" i="1"/>
  <c r="C4243" i="1"/>
  <c r="D4243" i="1"/>
  <c r="C4244" i="1"/>
  <c r="D4244" i="1"/>
  <c r="C4245" i="1"/>
  <c r="D4245" i="1"/>
  <c r="C4246" i="1"/>
  <c r="D4246" i="1"/>
  <c r="C4247" i="1"/>
  <c r="D4247" i="1"/>
  <c r="C4248" i="1"/>
  <c r="D4248" i="1"/>
  <c r="C4249" i="1"/>
  <c r="D4249" i="1"/>
  <c r="C4250" i="1"/>
  <c r="D4250" i="1"/>
  <c r="C4251" i="1"/>
  <c r="D4251" i="1"/>
  <c r="C4252" i="1"/>
  <c r="D4252" i="1"/>
  <c r="C4253" i="1"/>
  <c r="D4253" i="1"/>
  <c r="C4254" i="1"/>
  <c r="D4254" i="1"/>
  <c r="C4255" i="1"/>
  <c r="D4255" i="1"/>
  <c r="C4256" i="1"/>
  <c r="D4256" i="1"/>
  <c r="C4257" i="1"/>
  <c r="D4257" i="1"/>
  <c r="C4258" i="1"/>
  <c r="D4258" i="1"/>
  <c r="C4259" i="1"/>
  <c r="D4259" i="1"/>
  <c r="C4260" i="1"/>
  <c r="D4260" i="1"/>
  <c r="C4261" i="1"/>
  <c r="D4261" i="1"/>
  <c r="C4262" i="1"/>
  <c r="D4262" i="1"/>
  <c r="C4263" i="1"/>
  <c r="D4263" i="1"/>
  <c r="C4264" i="1"/>
  <c r="D4264" i="1"/>
  <c r="C4265" i="1"/>
  <c r="D4265" i="1"/>
  <c r="C4266" i="1"/>
  <c r="D4266" i="1"/>
  <c r="C4267" i="1"/>
  <c r="D4267" i="1"/>
  <c r="C4268" i="1"/>
  <c r="D4268" i="1"/>
  <c r="C4269" i="1"/>
  <c r="D4269" i="1"/>
  <c r="C4270" i="1"/>
  <c r="D4270" i="1"/>
  <c r="C4271" i="1"/>
  <c r="D4271" i="1"/>
  <c r="C4272" i="1"/>
  <c r="D4272" i="1"/>
  <c r="C4273" i="1"/>
  <c r="D4273" i="1"/>
  <c r="C4274" i="1"/>
  <c r="D4274" i="1"/>
  <c r="C4275" i="1"/>
  <c r="D4275" i="1"/>
  <c r="C4276" i="1"/>
  <c r="D4276" i="1"/>
  <c r="C4277" i="1"/>
  <c r="D4277" i="1"/>
  <c r="C4278" i="1"/>
  <c r="D4278" i="1"/>
  <c r="C4279" i="1"/>
  <c r="D4279" i="1"/>
  <c r="C4280" i="1"/>
  <c r="D4280" i="1"/>
  <c r="C4281" i="1"/>
  <c r="D4281" i="1"/>
  <c r="C4282" i="1"/>
  <c r="D4282" i="1"/>
  <c r="C4283" i="1"/>
  <c r="D4283" i="1"/>
  <c r="C4284" i="1"/>
  <c r="D4284" i="1"/>
  <c r="C4285" i="1"/>
  <c r="D4285" i="1"/>
  <c r="C4286" i="1"/>
  <c r="D4286" i="1"/>
  <c r="C4287" i="1"/>
  <c r="D4287" i="1"/>
  <c r="C4288" i="1"/>
  <c r="D4288" i="1"/>
  <c r="C4289" i="1"/>
  <c r="D4289" i="1"/>
  <c r="C4290" i="1"/>
  <c r="D4290" i="1"/>
  <c r="C4291" i="1"/>
  <c r="D4291" i="1"/>
  <c r="C4292" i="1"/>
  <c r="D4292" i="1"/>
  <c r="C4293" i="1"/>
  <c r="D4293" i="1"/>
  <c r="C4294" i="1"/>
  <c r="D4294" i="1"/>
  <c r="C4295" i="1"/>
  <c r="D4295" i="1"/>
  <c r="C4296" i="1"/>
  <c r="D4296" i="1"/>
  <c r="C4297" i="1"/>
  <c r="D4297" i="1"/>
  <c r="C4298" i="1"/>
  <c r="D4298" i="1"/>
  <c r="C4299" i="1"/>
  <c r="D4299" i="1"/>
  <c r="C4300" i="1"/>
  <c r="D4300" i="1"/>
  <c r="C4301" i="1"/>
  <c r="D4301" i="1"/>
  <c r="C4302" i="1"/>
  <c r="D4302" i="1"/>
  <c r="C4303" i="1"/>
  <c r="D4303" i="1"/>
  <c r="C4304" i="1"/>
  <c r="D4304" i="1"/>
  <c r="C4305" i="1"/>
  <c r="D4305" i="1"/>
  <c r="C4306" i="1"/>
  <c r="D4306" i="1"/>
  <c r="C4307" i="1"/>
  <c r="D4307" i="1"/>
  <c r="C4308" i="1"/>
  <c r="D4308" i="1"/>
  <c r="C4309" i="1"/>
  <c r="D4309" i="1"/>
  <c r="C4310" i="1"/>
  <c r="D4310" i="1"/>
  <c r="C4311" i="1"/>
  <c r="D4311" i="1"/>
  <c r="C4312" i="1"/>
  <c r="D4312" i="1"/>
  <c r="C4313" i="1"/>
  <c r="D4313" i="1"/>
  <c r="C4314" i="1"/>
  <c r="D4314" i="1"/>
  <c r="C4315" i="1"/>
  <c r="D4315" i="1"/>
  <c r="C4316" i="1"/>
  <c r="D4316" i="1"/>
  <c r="C4317" i="1"/>
  <c r="D4317" i="1"/>
  <c r="C4318" i="1"/>
  <c r="D4318" i="1"/>
  <c r="C4319" i="1"/>
  <c r="D4319" i="1"/>
  <c r="C4320" i="1"/>
  <c r="D4320" i="1"/>
  <c r="C4321" i="1"/>
  <c r="D4321" i="1"/>
  <c r="C4322" i="1"/>
  <c r="D4322" i="1"/>
  <c r="C4323" i="1"/>
  <c r="D4323" i="1"/>
  <c r="C4324" i="1"/>
  <c r="D4324" i="1"/>
  <c r="C4325" i="1"/>
  <c r="D4325" i="1"/>
  <c r="C4326" i="1"/>
  <c r="D4326" i="1"/>
  <c r="C4327" i="1"/>
  <c r="D4327" i="1"/>
  <c r="C4328" i="1"/>
  <c r="D4328" i="1"/>
  <c r="C4329" i="1"/>
  <c r="D4329" i="1"/>
  <c r="C4330" i="1"/>
  <c r="D4330" i="1"/>
  <c r="C4331" i="1"/>
  <c r="D4331" i="1"/>
  <c r="C4332" i="1"/>
  <c r="D4332" i="1"/>
  <c r="C4333" i="1"/>
  <c r="D4333" i="1"/>
  <c r="C4334" i="1"/>
  <c r="D4334" i="1"/>
  <c r="C4335" i="1"/>
  <c r="D4335" i="1"/>
  <c r="C4336" i="1"/>
  <c r="D4336" i="1"/>
  <c r="C4337" i="1"/>
  <c r="D4337" i="1"/>
  <c r="C4338" i="1"/>
  <c r="D4338" i="1"/>
  <c r="C4339" i="1"/>
  <c r="D4339" i="1"/>
  <c r="C4340" i="1"/>
  <c r="D4340" i="1"/>
  <c r="C4341" i="1"/>
  <c r="D4341" i="1"/>
  <c r="C4342" i="1"/>
  <c r="D4342" i="1"/>
  <c r="C4343" i="1"/>
  <c r="D4343" i="1"/>
  <c r="C4344" i="1"/>
  <c r="D4344" i="1"/>
  <c r="C4345" i="1"/>
  <c r="D4345" i="1"/>
  <c r="C4346" i="1"/>
  <c r="D4346" i="1"/>
  <c r="C4347" i="1"/>
  <c r="D4347" i="1"/>
  <c r="C4348" i="1"/>
  <c r="D4348" i="1"/>
  <c r="C4349" i="1"/>
  <c r="D4349" i="1"/>
  <c r="C4350" i="1"/>
  <c r="D4350" i="1"/>
  <c r="C4351" i="1"/>
  <c r="D4351" i="1"/>
  <c r="C4352" i="1"/>
  <c r="D4352" i="1"/>
  <c r="C4353" i="1"/>
  <c r="D4353" i="1"/>
  <c r="C4354" i="1"/>
  <c r="D4354" i="1"/>
  <c r="C4355" i="1"/>
  <c r="D4355" i="1"/>
  <c r="C4356" i="1"/>
  <c r="D4356" i="1"/>
  <c r="C4357" i="1"/>
  <c r="D4357" i="1"/>
  <c r="C4358" i="1"/>
  <c r="D4358" i="1"/>
  <c r="C4359" i="1"/>
  <c r="D4359" i="1"/>
  <c r="C4360" i="1"/>
  <c r="D4360" i="1"/>
  <c r="C4361" i="1"/>
  <c r="D4361" i="1"/>
  <c r="C4362" i="1"/>
  <c r="D4362" i="1"/>
  <c r="C4363" i="1"/>
  <c r="D4363" i="1"/>
  <c r="C4364" i="1"/>
  <c r="D4364" i="1"/>
  <c r="C4365" i="1"/>
  <c r="D4365" i="1"/>
  <c r="C4366" i="1"/>
  <c r="D4366" i="1"/>
  <c r="C4367" i="1"/>
  <c r="D4367" i="1"/>
  <c r="C4368" i="1"/>
  <c r="D4368" i="1"/>
  <c r="C4369" i="1"/>
  <c r="D4369" i="1"/>
  <c r="C4370" i="1"/>
  <c r="D4370" i="1"/>
  <c r="C4371" i="1"/>
  <c r="D4371" i="1"/>
  <c r="C4372" i="1"/>
  <c r="D4372" i="1"/>
  <c r="C4373" i="1"/>
  <c r="D4373" i="1"/>
  <c r="C4374" i="1"/>
  <c r="D4374" i="1"/>
  <c r="C4375" i="1"/>
  <c r="D4375" i="1"/>
  <c r="C4376" i="1"/>
  <c r="D4376" i="1"/>
  <c r="C4377" i="1"/>
  <c r="D4377" i="1"/>
  <c r="C4378" i="1"/>
  <c r="D4378" i="1"/>
  <c r="C4379" i="1"/>
  <c r="D4379" i="1"/>
  <c r="C4380" i="1"/>
  <c r="D4380" i="1"/>
  <c r="C4381" i="1"/>
  <c r="D4381" i="1"/>
  <c r="C4382" i="1"/>
  <c r="D4382" i="1"/>
  <c r="C4383" i="1"/>
  <c r="D4383" i="1"/>
  <c r="C4384" i="1"/>
  <c r="D4384" i="1"/>
  <c r="C4385" i="1"/>
  <c r="D4385" i="1"/>
  <c r="C4386" i="1"/>
  <c r="D4386" i="1"/>
  <c r="C4387" i="1"/>
  <c r="D4387" i="1"/>
  <c r="C4388" i="1"/>
  <c r="D4388" i="1"/>
  <c r="C4389" i="1"/>
  <c r="D4389" i="1"/>
  <c r="C4390" i="1"/>
  <c r="D4390" i="1"/>
  <c r="C4391" i="1"/>
  <c r="D4391" i="1"/>
  <c r="C4392" i="1"/>
  <c r="D4392" i="1"/>
  <c r="C4393" i="1"/>
  <c r="D4393" i="1"/>
  <c r="C4394" i="1"/>
  <c r="D4394" i="1"/>
  <c r="C4395" i="1"/>
  <c r="D4395" i="1"/>
  <c r="C4396" i="1"/>
  <c r="D4396" i="1"/>
  <c r="C4397" i="1"/>
  <c r="D4397" i="1"/>
  <c r="C4398" i="1"/>
  <c r="D4398" i="1"/>
  <c r="C4399" i="1"/>
  <c r="D4399" i="1"/>
  <c r="C4400" i="1"/>
  <c r="D4400" i="1"/>
  <c r="C4401" i="1"/>
  <c r="D4401" i="1"/>
  <c r="C4402" i="1"/>
  <c r="D4402" i="1"/>
  <c r="C4403" i="1"/>
  <c r="D4403" i="1"/>
  <c r="C4404" i="1"/>
  <c r="D4404" i="1"/>
  <c r="C4405" i="1"/>
  <c r="D4405" i="1"/>
  <c r="C4406" i="1"/>
  <c r="D4406" i="1"/>
  <c r="C4407" i="1"/>
  <c r="D4407" i="1"/>
  <c r="C4408" i="1"/>
  <c r="D4408" i="1"/>
  <c r="C4409" i="1"/>
  <c r="D4409" i="1"/>
  <c r="C4410" i="1"/>
  <c r="D4410" i="1"/>
  <c r="C4411" i="1"/>
  <c r="D4411" i="1"/>
  <c r="C4412" i="1"/>
  <c r="D4412" i="1"/>
  <c r="C4413" i="1"/>
  <c r="D4413" i="1"/>
  <c r="C4414" i="1"/>
  <c r="D4414" i="1"/>
  <c r="C4415" i="1"/>
  <c r="D4415" i="1"/>
  <c r="C4416" i="1"/>
  <c r="D4416" i="1"/>
  <c r="C4417" i="1"/>
  <c r="D4417" i="1"/>
  <c r="C4418" i="1"/>
  <c r="D4418" i="1"/>
  <c r="C4419" i="1"/>
  <c r="D4419" i="1"/>
  <c r="C4420" i="1"/>
  <c r="D4420" i="1"/>
  <c r="C4421" i="1"/>
  <c r="D4421" i="1"/>
  <c r="C4422" i="1"/>
  <c r="D4422" i="1"/>
  <c r="C4423" i="1"/>
  <c r="D4423" i="1"/>
  <c r="C4424" i="1"/>
  <c r="D4424" i="1"/>
  <c r="C4425" i="1"/>
  <c r="D4425" i="1"/>
  <c r="C4426" i="1"/>
  <c r="D4426" i="1"/>
  <c r="C4427" i="1"/>
  <c r="D4427" i="1"/>
  <c r="C4428" i="1"/>
  <c r="D4428" i="1"/>
  <c r="C4429" i="1"/>
  <c r="D4429" i="1"/>
  <c r="C4430" i="1"/>
  <c r="D4430" i="1"/>
  <c r="C4431" i="1"/>
  <c r="D4431" i="1"/>
  <c r="C4432" i="1"/>
  <c r="D4432" i="1"/>
  <c r="C4433" i="1"/>
  <c r="D4433" i="1"/>
  <c r="C4434" i="1"/>
  <c r="D4434" i="1"/>
  <c r="C4435" i="1"/>
  <c r="D4435" i="1"/>
  <c r="C4436" i="1"/>
  <c r="D4436" i="1"/>
  <c r="C4437" i="1"/>
  <c r="D4437" i="1"/>
  <c r="C4438" i="1"/>
  <c r="D4438" i="1"/>
  <c r="C4439" i="1"/>
  <c r="D4439" i="1"/>
  <c r="C4440" i="1"/>
  <c r="D4440" i="1"/>
  <c r="C4441" i="1"/>
  <c r="D4441" i="1"/>
  <c r="C4442" i="1"/>
  <c r="D4442" i="1"/>
  <c r="C4443" i="1"/>
  <c r="D4443" i="1"/>
  <c r="C4444" i="1"/>
  <c r="D4444" i="1"/>
  <c r="C4445" i="1"/>
  <c r="D4445" i="1"/>
  <c r="C4446" i="1"/>
  <c r="D4446" i="1"/>
  <c r="C4447" i="1"/>
  <c r="D4447" i="1"/>
  <c r="C4448" i="1"/>
  <c r="D4448" i="1"/>
  <c r="C4449" i="1"/>
  <c r="D4449" i="1"/>
  <c r="C4450" i="1"/>
  <c r="D4450" i="1"/>
  <c r="C4451" i="1"/>
  <c r="D4451" i="1"/>
  <c r="C4452" i="1"/>
  <c r="D4452" i="1"/>
  <c r="C4453" i="1"/>
  <c r="D4453" i="1"/>
  <c r="C4454" i="1"/>
  <c r="D4454" i="1"/>
  <c r="C4455" i="1"/>
  <c r="D4455" i="1"/>
  <c r="C4456" i="1"/>
  <c r="D4456" i="1"/>
  <c r="C4457" i="1"/>
  <c r="D4457" i="1"/>
  <c r="C4458" i="1"/>
  <c r="D4458" i="1"/>
  <c r="C4459" i="1"/>
  <c r="D4459" i="1"/>
  <c r="C4460" i="1"/>
  <c r="D4460" i="1"/>
  <c r="C4461" i="1"/>
  <c r="D4461" i="1"/>
  <c r="C4462" i="1"/>
  <c r="D4462" i="1"/>
  <c r="C4463" i="1"/>
  <c r="D4463" i="1"/>
  <c r="C4464" i="1"/>
  <c r="D4464" i="1"/>
  <c r="C4465" i="1"/>
  <c r="D4465" i="1"/>
  <c r="C4466" i="1"/>
  <c r="D4466" i="1"/>
  <c r="C4467" i="1"/>
  <c r="D4467" i="1"/>
  <c r="C4468" i="1"/>
  <c r="D4468" i="1"/>
  <c r="C4469" i="1"/>
  <c r="D4469" i="1"/>
  <c r="C4470" i="1"/>
  <c r="D4470" i="1"/>
  <c r="C4471" i="1"/>
  <c r="D4471" i="1"/>
  <c r="C4472" i="1"/>
  <c r="D4472" i="1"/>
  <c r="C4473" i="1"/>
  <c r="D4473" i="1"/>
  <c r="C4474" i="1"/>
  <c r="D4474" i="1"/>
  <c r="C4475" i="1"/>
  <c r="D4475" i="1"/>
  <c r="C4476" i="1"/>
  <c r="D4476" i="1"/>
  <c r="C4477" i="1"/>
  <c r="D4477" i="1"/>
  <c r="C4478" i="1"/>
  <c r="D4478" i="1"/>
  <c r="C4479" i="1"/>
  <c r="D4479" i="1"/>
  <c r="C4480" i="1"/>
  <c r="D4480" i="1"/>
  <c r="C4481" i="1"/>
  <c r="D4481" i="1"/>
  <c r="C4482" i="1"/>
  <c r="D4482" i="1"/>
  <c r="C4483" i="1"/>
  <c r="D4483" i="1"/>
  <c r="C4484" i="1"/>
  <c r="D4484" i="1"/>
  <c r="C4485" i="1"/>
  <c r="D4485" i="1"/>
  <c r="C4486" i="1"/>
  <c r="D4486" i="1"/>
  <c r="C4487" i="1"/>
  <c r="D4487" i="1"/>
  <c r="C4488" i="1"/>
  <c r="D4488" i="1"/>
  <c r="C4489" i="1"/>
  <c r="D4489" i="1"/>
  <c r="C4490" i="1"/>
  <c r="D4490" i="1"/>
  <c r="C4491" i="1"/>
  <c r="D4491" i="1"/>
  <c r="C4492" i="1"/>
  <c r="D4492" i="1"/>
  <c r="C4493" i="1"/>
  <c r="D4493" i="1"/>
  <c r="C4494" i="1"/>
  <c r="D4494" i="1"/>
  <c r="C4495" i="1"/>
  <c r="D4495" i="1"/>
  <c r="C4496" i="1"/>
  <c r="D4496" i="1"/>
  <c r="C4497" i="1"/>
  <c r="D4497" i="1"/>
  <c r="C4498" i="1"/>
  <c r="D4498" i="1"/>
  <c r="C4499" i="1"/>
  <c r="D4499" i="1"/>
  <c r="C4500" i="1"/>
  <c r="D4500" i="1"/>
  <c r="C4501" i="1"/>
  <c r="D4501" i="1"/>
  <c r="C4502" i="1"/>
  <c r="D4502" i="1"/>
  <c r="C4503" i="1"/>
  <c r="D4503" i="1"/>
  <c r="C4504" i="1"/>
  <c r="D4504" i="1"/>
  <c r="C4505" i="1"/>
  <c r="D4505" i="1"/>
  <c r="C4506" i="1"/>
  <c r="D4506" i="1"/>
  <c r="C4507" i="1"/>
  <c r="D4507" i="1"/>
  <c r="C4508" i="1"/>
  <c r="D4508" i="1"/>
  <c r="C4509" i="1"/>
  <c r="D4509" i="1"/>
  <c r="C4510" i="1"/>
  <c r="D4510" i="1"/>
  <c r="C4511" i="1"/>
  <c r="D4511" i="1"/>
  <c r="C4512" i="1"/>
  <c r="D4512" i="1"/>
  <c r="C4513" i="1"/>
  <c r="D4513" i="1"/>
  <c r="C4514" i="1"/>
  <c r="D4514" i="1"/>
  <c r="C4515" i="1"/>
  <c r="D4515" i="1"/>
  <c r="C4516" i="1"/>
  <c r="D4516" i="1"/>
  <c r="C4517" i="1"/>
  <c r="D4517" i="1"/>
  <c r="C4518" i="1"/>
  <c r="D4518" i="1"/>
  <c r="C4519" i="1"/>
  <c r="D4519" i="1"/>
  <c r="C4520" i="1"/>
  <c r="D4520" i="1"/>
  <c r="C4521" i="1"/>
  <c r="D4521" i="1"/>
  <c r="C4522" i="1"/>
  <c r="D4522" i="1"/>
  <c r="C4523" i="1"/>
  <c r="D4523" i="1"/>
  <c r="C4524" i="1"/>
  <c r="D4524" i="1"/>
  <c r="C4525" i="1"/>
  <c r="D4525" i="1"/>
  <c r="C4526" i="1"/>
  <c r="D4526" i="1"/>
  <c r="C4527" i="1"/>
  <c r="D4527" i="1"/>
  <c r="C4528" i="1"/>
  <c r="D4528" i="1"/>
  <c r="C4529" i="1"/>
  <c r="D4529" i="1"/>
  <c r="C4530" i="1"/>
  <c r="D4530" i="1"/>
  <c r="C4531" i="1"/>
  <c r="D4531" i="1"/>
  <c r="C4532" i="1"/>
  <c r="D4532" i="1"/>
  <c r="C4533" i="1"/>
  <c r="D4533" i="1"/>
  <c r="C4534" i="1"/>
  <c r="D4534" i="1"/>
  <c r="C4535" i="1"/>
  <c r="D4535" i="1"/>
  <c r="C4536" i="1"/>
  <c r="D4536" i="1"/>
  <c r="C4537" i="1"/>
  <c r="D4537" i="1"/>
  <c r="C4538" i="1"/>
  <c r="D4538" i="1"/>
  <c r="C4539" i="1"/>
  <c r="D4539" i="1"/>
  <c r="C4540" i="1"/>
  <c r="D4540" i="1"/>
  <c r="C4541" i="1"/>
  <c r="D4541" i="1"/>
  <c r="C4542" i="1"/>
  <c r="D4542" i="1"/>
  <c r="C4543" i="1"/>
  <c r="D4543" i="1"/>
  <c r="C4544" i="1"/>
  <c r="D4544" i="1"/>
  <c r="C4545" i="1"/>
  <c r="D4545" i="1"/>
  <c r="C4546" i="1"/>
  <c r="D4546" i="1"/>
  <c r="C4547" i="1"/>
  <c r="D4547" i="1"/>
  <c r="C4548" i="1"/>
  <c r="D4548" i="1"/>
  <c r="C4549" i="1"/>
  <c r="D4549" i="1"/>
  <c r="C4550" i="1"/>
  <c r="D4550" i="1"/>
  <c r="C4551" i="1"/>
  <c r="D4551" i="1"/>
  <c r="C4552" i="1"/>
  <c r="D4552" i="1"/>
  <c r="C4553" i="1"/>
  <c r="D4553" i="1"/>
  <c r="C4554" i="1"/>
  <c r="D4554" i="1"/>
  <c r="C4555" i="1"/>
  <c r="D4555" i="1"/>
  <c r="C4556" i="1"/>
  <c r="D4556" i="1"/>
  <c r="C4557" i="1"/>
  <c r="D4557" i="1"/>
  <c r="C4558" i="1"/>
  <c r="D4558" i="1"/>
  <c r="C4559" i="1"/>
  <c r="D4559" i="1"/>
  <c r="C4560" i="1"/>
  <c r="D4560" i="1"/>
  <c r="C4561" i="1"/>
  <c r="D4561" i="1"/>
  <c r="C4562" i="1"/>
  <c r="D4562" i="1"/>
  <c r="C4563" i="1"/>
  <c r="D4563" i="1"/>
  <c r="C4564" i="1"/>
  <c r="D4564" i="1"/>
  <c r="C4565" i="1"/>
  <c r="D4565" i="1"/>
  <c r="C4566" i="1"/>
  <c r="D4566" i="1"/>
  <c r="C4567" i="1"/>
  <c r="D4567" i="1"/>
  <c r="C4568" i="1"/>
  <c r="D4568" i="1"/>
  <c r="C4569" i="1"/>
  <c r="D4569" i="1"/>
  <c r="C4570" i="1"/>
  <c r="D4570" i="1"/>
  <c r="C4571" i="1"/>
  <c r="D4571" i="1"/>
  <c r="C4572" i="1"/>
  <c r="D4572" i="1"/>
  <c r="C4573" i="1"/>
  <c r="D4573" i="1"/>
  <c r="C4574" i="1"/>
  <c r="D4574" i="1"/>
  <c r="C4575" i="1"/>
  <c r="D4575" i="1"/>
  <c r="C4576" i="1"/>
  <c r="D4576" i="1"/>
  <c r="C4577" i="1"/>
  <c r="D4577" i="1"/>
  <c r="C4578" i="1"/>
  <c r="D4578" i="1"/>
  <c r="C4579" i="1"/>
  <c r="D4579" i="1"/>
  <c r="C4580" i="1"/>
  <c r="D4580" i="1"/>
  <c r="C4581" i="1"/>
  <c r="D4581" i="1"/>
  <c r="C4582" i="1"/>
  <c r="D4582" i="1"/>
  <c r="C4583" i="1"/>
  <c r="D4583" i="1"/>
  <c r="C4584" i="1"/>
  <c r="D4584" i="1"/>
  <c r="C4585" i="1"/>
  <c r="D4585" i="1"/>
  <c r="C4586" i="1"/>
  <c r="D4586" i="1"/>
  <c r="C4587" i="1"/>
  <c r="D4587" i="1"/>
  <c r="C4588" i="1"/>
  <c r="D4588" i="1"/>
  <c r="C4589" i="1"/>
  <c r="D4589" i="1"/>
  <c r="C4590" i="1"/>
  <c r="D4590" i="1"/>
  <c r="C4591" i="1"/>
  <c r="D4591" i="1"/>
  <c r="C4592" i="1"/>
  <c r="D4592" i="1"/>
  <c r="C4593" i="1"/>
  <c r="D4593" i="1"/>
  <c r="C4594" i="1"/>
  <c r="D4594" i="1"/>
  <c r="C4595" i="1"/>
  <c r="D4595" i="1"/>
  <c r="C4596" i="1"/>
  <c r="D4596" i="1"/>
  <c r="C4597" i="1"/>
  <c r="D4597" i="1"/>
  <c r="C4598" i="1"/>
  <c r="D4598" i="1"/>
  <c r="C4599" i="1"/>
  <c r="D4599" i="1"/>
  <c r="C4600" i="1"/>
  <c r="D4600" i="1"/>
  <c r="C4601" i="1"/>
  <c r="D4601" i="1"/>
  <c r="C4602" i="1"/>
  <c r="D4602" i="1"/>
  <c r="C4603" i="1"/>
  <c r="D4603" i="1"/>
  <c r="C4604" i="1"/>
  <c r="D4604" i="1"/>
  <c r="C4605" i="1"/>
  <c r="D4605" i="1"/>
  <c r="C4606" i="1"/>
  <c r="D4606" i="1"/>
  <c r="C4607" i="1"/>
  <c r="D4607" i="1"/>
  <c r="C4608" i="1"/>
  <c r="D4608" i="1"/>
  <c r="C4609" i="1"/>
  <c r="D4609" i="1"/>
  <c r="C4610" i="1"/>
  <c r="D4610" i="1"/>
  <c r="C4611" i="1"/>
  <c r="D4611" i="1"/>
  <c r="C4612" i="1"/>
  <c r="D4612" i="1"/>
  <c r="C4613" i="1"/>
  <c r="D4613" i="1"/>
  <c r="C4614" i="1"/>
  <c r="D4614" i="1"/>
  <c r="C4615" i="1"/>
  <c r="D4615" i="1"/>
  <c r="C4616" i="1"/>
  <c r="D4616" i="1"/>
  <c r="C4617" i="1"/>
  <c r="D4617" i="1"/>
  <c r="C4618" i="1"/>
  <c r="D4618" i="1"/>
  <c r="C4619" i="1"/>
  <c r="D4619" i="1"/>
  <c r="C4620" i="1"/>
  <c r="D4620" i="1"/>
  <c r="C4621" i="1"/>
  <c r="D4621" i="1"/>
  <c r="C4622" i="1"/>
  <c r="D4622" i="1"/>
  <c r="C4623" i="1"/>
  <c r="D4623" i="1"/>
  <c r="C4624" i="1"/>
  <c r="D4624" i="1"/>
  <c r="C4625" i="1"/>
  <c r="D4625" i="1"/>
  <c r="C4626" i="1"/>
  <c r="D4626" i="1"/>
  <c r="C4627" i="1"/>
  <c r="D4627" i="1"/>
  <c r="C4628" i="1"/>
  <c r="D4628" i="1"/>
  <c r="C4629" i="1"/>
  <c r="D4629" i="1"/>
  <c r="C4630" i="1"/>
  <c r="D4630" i="1"/>
  <c r="C4631" i="1"/>
  <c r="D4631" i="1"/>
  <c r="C4632" i="1"/>
  <c r="D4632" i="1"/>
  <c r="C4633" i="1"/>
  <c r="D4633" i="1"/>
  <c r="C4634" i="1"/>
  <c r="D4634" i="1"/>
  <c r="C4635" i="1"/>
  <c r="D4635" i="1"/>
  <c r="C4636" i="1"/>
  <c r="D4636" i="1"/>
  <c r="C4637" i="1"/>
  <c r="D4637" i="1"/>
  <c r="C4638" i="1"/>
  <c r="D4638" i="1"/>
  <c r="C4639" i="1"/>
  <c r="D4639" i="1"/>
  <c r="C4640" i="1"/>
  <c r="D4640" i="1"/>
  <c r="C4641" i="1"/>
  <c r="D4641" i="1"/>
  <c r="C4642" i="1"/>
  <c r="D4642" i="1"/>
  <c r="C4643" i="1"/>
  <c r="D4643" i="1"/>
  <c r="C4644" i="1"/>
  <c r="D4644" i="1"/>
  <c r="C4645" i="1"/>
  <c r="D4645" i="1"/>
  <c r="C4646" i="1"/>
  <c r="D4646" i="1"/>
  <c r="C4647" i="1"/>
  <c r="D4647" i="1"/>
  <c r="C4648" i="1"/>
  <c r="D4648" i="1"/>
  <c r="C4649" i="1"/>
  <c r="D4649" i="1"/>
  <c r="C4650" i="1"/>
  <c r="D4650" i="1"/>
  <c r="C4651" i="1"/>
  <c r="D4651" i="1"/>
  <c r="C4652" i="1"/>
  <c r="D4652" i="1"/>
  <c r="C4653" i="1"/>
  <c r="D4653" i="1"/>
  <c r="C4654" i="1"/>
  <c r="D4654" i="1"/>
  <c r="C4655" i="1"/>
  <c r="D4655" i="1"/>
  <c r="C4656" i="1"/>
  <c r="D4656" i="1"/>
  <c r="C4657" i="1"/>
  <c r="D4657" i="1"/>
  <c r="C4658" i="1"/>
  <c r="D4658" i="1"/>
  <c r="C4659" i="1"/>
  <c r="D4659" i="1"/>
  <c r="C4660" i="1"/>
  <c r="D4660" i="1"/>
  <c r="C4661" i="1"/>
  <c r="D4661" i="1"/>
  <c r="C4662" i="1"/>
  <c r="D4662" i="1"/>
  <c r="C4663" i="1"/>
  <c r="D4663" i="1"/>
  <c r="C4664" i="1"/>
  <c r="D4664" i="1"/>
  <c r="C4665" i="1"/>
  <c r="D4665" i="1"/>
  <c r="C4666" i="1"/>
  <c r="D4666" i="1"/>
  <c r="C4667" i="1"/>
  <c r="D4667" i="1"/>
  <c r="C4668" i="1"/>
  <c r="D4668" i="1"/>
  <c r="C4669" i="1"/>
  <c r="D4669" i="1"/>
  <c r="C4670" i="1"/>
  <c r="D4670" i="1"/>
  <c r="C4671" i="1"/>
  <c r="D4671" i="1"/>
  <c r="C4672" i="1"/>
  <c r="D4672" i="1"/>
  <c r="C4673" i="1"/>
  <c r="D4673" i="1"/>
  <c r="C4674" i="1"/>
  <c r="D4674" i="1"/>
  <c r="C4675" i="1"/>
  <c r="D4675" i="1"/>
  <c r="C4676" i="1"/>
  <c r="D4676" i="1"/>
  <c r="C4677" i="1"/>
  <c r="D4677" i="1"/>
  <c r="C4678" i="1"/>
  <c r="D4678" i="1"/>
  <c r="C4679" i="1"/>
  <c r="D4679" i="1"/>
  <c r="C4680" i="1"/>
  <c r="D4680" i="1"/>
  <c r="C4681" i="1"/>
  <c r="D4681" i="1"/>
  <c r="C4682" i="1"/>
  <c r="D4682" i="1"/>
  <c r="C4683" i="1"/>
  <c r="D4683" i="1"/>
  <c r="C4684" i="1"/>
  <c r="D4684" i="1"/>
  <c r="C4685" i="1"/>
  <c r="D4685" i="1"/>
  <c r="C4686" i="1"/>
  <c r="D4686" i="1"/>
  <c r="C4687" i="1"/>
  <c r="D4687" i="1"/>
  <c r="C4688" i="1"/>
  <c r="D4688" i="1"/>
  <c r="C4689" i="1"/>
  <c r="D4689" i="1"/>
  <c r="C4690" i="1"/>
  <c r="D4690" i="1"/>
  <c r="C4691" i="1"/>
  <c r="D4691" i="1"/>
  <c r="C4692" i="1"/>
  <c r="D4692" i="1"/>
  <c r="C4693" i="1"/>
  <c r="D4693" i="1"/>
  <c r="C4694" i="1"/>
  <c r="D4694" i="1"/>
  <c r="C4695" i="1"/>
  <c r="D4695" i="1"/>
  <c r="C4696" i="1"/>
  <c r="D4696" i="1"/>
  <c r="C4697" i="1"/>
  <c r="D4697" i="1"/>
  <c r="C4698" i="1"/>
  <c r="D4698" i="1"/>
  <c r="C4699" i="1"/>
  <c r="D4699" i="1"/>
  <c r="C4700" i="1"/>
  <c r="D4700" i="1"/>
  <c r="C4701" i="1"/>
  <c r="D4701" i="1"/>
  <c r="C4702" i="1"/>
  <c r="D4702" i="1"/>
  <c r="C4703" i="1"/>
  <c r="D4703" i="1"/>
  <c r="C4704" i="1"/>
  <c r="D4704" i="1"/>
  <c r="C4705" i="1"/>
  <c r="D4705" i="1"/>
  <c r="C4706" i="1"/>
  <c r="D4706" i="1"/>
  <c r="C4707" i="1"/>
  <c r="D4707" i="1"/>
  <c r="C4708" i="1"/>
  <c r="D4708" i="1"/>
  <c r="C4709" i="1"/>
  <c r="D4709" i="1"/>
  <c r="C4710" i="1"/>
  <c r="D4710" i="1"/>
  <c r="C4711" i="1"/>
  <c r="D4711" i="1"/>
  <c r="C4712" i="1"/>
  <c r="D4712" i="1"/>
  <c r="C4713" i="1"/>
  <c r="D4713" i="1"/>
  <c r="C4714" i="1"/>
  <c r="D4714" i="1"/>
  <c r="C4715" i="1"/>
  <c r="D4715" i="1"/>
  <c r="C4716" i="1"/>
  <c r="D4716" i="1"/>
  <c r="C4717" i="1"/>
  <c r="D4717" i="1"/>
  <c r="C4718" i="1"/>
  <c r="D4718" i="1"/>
  <c r="C4719" i="1"/>
  <c r="D4719" i="1"/>
  <c r="C4720" i="1"/>
  <c r="D4720" i="1"/>
  <c r="C4721" i="1"/>
  <c r="D4721" i="1"/>
  <c r="C4722" i="1"/>
  <c r="D4722" i="1"/>
  <c r="C4723" i="1"/>
  <c r="D4723" i="1"/>
  <c r="C4724" i="1"/>
  <c r="D4724" i="1"/>
  <c r="C4725" i="1"/>
  <c r="D4725" i="1"/>
  <c r="C4726" i="1"/>
  <c r="D4726" i="1"/>
  <c r="C4727" i="1"/>
  <c r="D4727" i="1"/>
  <c r="C4728" i="1"/>
  <c r="D4728" i="1"/>
  <c r="C4729" i="1"/>
  <c r="D4729" i="1"/>
  <c r="C4730" i="1"/>
  <c r="D4730" i="1"/>
  <c r="C4731" i="1"/>
  <c r="D4731" i="1"/>
  <c r="C4732" i="1"/>
  <c r="D4732" i="1"/>
  <c r="C4733" i="1"/>
  <c r="D4733" i="1"/>
  <c r="C4734" i="1"/>
  <c r="D4734" i="1"/>
  <c r="C4735" i="1"/>
  <c r="D4735" i="1"/>
  <c r="C4736" i="1"/>
  <c r="D4736" i="1"/>
  <c r="C4737" i="1"/>
  <c r="D4737" i="1"/>
  <c r="C4738" i="1"/>
  <c r="D4738" i="1"/>
  <c r="C4739" i="1"/>
  <c r="D4739" i="1"/>
  <c r="C4740" i="1"/>
  <c r="D4740" i="1"/>
  <c r="C4741" i="1"/>
  <c r="D4741" i="1"/>
  <c r="C4742" i="1"/>
  <c r="D4742" i="1"/>
  <c r="C4743" i="1"/>
  <c r="D4743" i="1"/>
  <c r="C4744" i="1"/>
  <c r="D4744" i="1"/>
  <c r="C4745" i="1"/>
  <c r="D4745" i="1"/>
  <c r="C4746" i="1"/>
  <c r="D4746" i="1"/>
  <c r="C4747" i="1"/>
  <c r="D4747" i="1"/>
  <c r="C4748" i="1"/>
  <c r="D4748" i="1"/>
  <c r="C4749" i="1"/>
  <c r="D4749" i="1"/>
  <c r="C4750" i="1"/>
  <c r="D4750" i="1"/>
  <c r="C4751" i="1"/>
  <c r="D4751" i="1"/>
  <c r="C4752" i="1"/>
  <c r="D4752" i="1"/>
  <c r="C4753" i="1"/>
  <c r="D4753" i="1"/>
  <c r="C4754" i="1"/>
  <c r="D4754" i="1"/>
  <c r="C4755" i="1"/>
  <c r="D4755" i="1"/>
  <c r="C4756" i="1"/>
  <c r="D4756" i="1"/>
  <c r="C4757" i="1"/>
  <c r="D4757" i="1"/>
  <c r="C4758" i="1"/>
  <c r="D4758" i="1"/>
  <c r="C4759" i="1"/>
  <c r="D4759" i="1"/>
  <c r="C4760" i="1"/>
  <c r="D4760" i="1"/>
  <c r="C4761" i="1"/>
  <c r="D4761" i="1"/>
  <c r="C4762" i="1"/>
  <c r="D4762" i="1"/>
  <c r="C4763" i="1"/>
  <c r="D4763" i="1"/>
  <c r="C4764" i="1"/>
  <c r="D4764" i="1"/>
  <c r="C4765" i="1"/>
  <c r="D4765" i="1"/>
  <c r="C4766" i="1"/>
  <c r="D4766" i="1"/>
  <c r="C4767" i="1"/>
  <c r="D4767" i="1"/>
  <c r="C4768" i="1"/>
  <c r="D4768" i="1"/>
  <c r="C4769" i="1"/>
  <c r="D4769" i="1"/>
  <c r="C4770" i="1"/>
  <c r="D4770" i="1"/>
  <c r="C4771" i="1"/>
  <c r="D4771" i="1"/>
  <c r="C4772" i="1"/>
  <c r="D4772" i="1"/>
  <c r="C4773" i="1"/>
  <c r="D4773" i="1"/>
  <c r="C4774" i="1"/>
  <c r="D4774" i="1"/>
  <c r="C4775" i="1"/>
  <c r="D4775" i="1"/>
  <c r="C4776" i="1"/>
  <c r="D4776" i="1"/>
  <c r="C4777" i="1"/>
  <c r="D4777" i="1"/>
  <c r="C4778" i="1"/>
  <c r="D4778" i="1"/>
  <c r="C4779" i="1"/>
  <c r="D4779" i="1"/>
  <c r="C4780" i="1"/>
  <c r="D4780" i="1"/>
  <c r="C4781" i="1"/>
  <c r="D4781" i="1"/>
  <c r="C4782" i="1"/>
  <c r="D4782" i="1"/>
  <c r="C4783" i="1"/>
  <c r="D4783" i="1"/>
  <c r="C4784" i="1"/>
  <c r="D4784" i="1"/>
  <c r="C4785" i="1"/>
  <c r="D4785" i="1"/>
  <c r="C4786" i="1"/>
  <c r="D4786" i="1"/>
  <c r="C4787" i="1"/>
  <c r="D4787" i="1"/>
  <c r="C4788" i="1"/>
  <c r="D4788" i="1"/>
  <c r="C4789" i="1"/>
  <c r="D4789" i="1"/>
  <c r="C4790" i="1"/>
  <c r="D4790" i="1"/>
  <c r="C4791" i="1"/>
  <c r="D4791" i="1"/>
  <c r="C4792" i="1"/>
  <c r="D4792" i="1"/>
  <c r="C4793" i="1"/>
  <c r="D4793" i="1"/>
  <c r="C4794" i="1"/>
  <c r="D4794" i="1"/>
  <c r="C4795" i="1"/>
  <c r="D4795" i="1"/>
  <c r="C4796" i="1"/>
  <c r="D4796" i="1"/>
  <c r="C4797" i="1"/>
  <c r="D4797" i="1"/>
  <c r="C4798" i="1"/>
  <c r="D4798" i="1"/>
  <c r="C4799" i="1"/>
  <c r="D4799" i="1"/>
  <c r="C4800" i="1"/>
  <c r="D4800" i="1"/>
  <c r="C4801" i="1"/>
  <c r="D4801" i="1"/>
  <c r="C4802" i="1"/>
  <c r="D4802" i="1"/>
  <c r="C4803" i="1"/>
  <c r="D4803" i="1"/>
  <c r="C4804" i="1"/>
  <c r="D4804" i="1"/>
  <c r="C4805" i="1"/>
  <c r="D4805" i="1"/>
  <c r="C4806" i="1"/>
  <c r="D4806" i="1"/>
  <c r="C4807" i="1"/>
  <c r="D4807" i="1"/>
  <c r="C4808" i="1"/>
  <c r="D4808" i="1"/>
  <c r="C4809" i="1"/>
  <c r="D4809" i="1"/>
  <c r="C4810" i="1"/>
  <c r="D4810" i="1"/>
  <c r="C4811" i="1"/>
  <c r="D4811" i="1"/>
  <c r="C4812" i="1"/>
  <c r="D4812" i="1"/>
  <c r="C4813" i="1"/>
  <c r="D4813" i="1"/>
  <c r="C4814" i="1"/>
  <c r="D4814" i="1"/>
  <c r="C4815" i="1"/>
  <c r="D4815" i="1"/>
  <c r="C4816" i="1"/>
  <c r="D4816" i="1"/>
  <c r="C4817" i="1"/>
  <c r="D4817" i="1"/>
  <c r="C4818" i="1"/>
  <c r="D4818" i="1"/>
  <c r="C4819" i="1"/>
  <c r="D4819" i="1"/>
  <c r="C4820" i="1"/>
  <c r="D4820" i="1"/>
  <c r="C4821" i="1"/>
  <c r="D4821" i="1"/>
  <c r="C4822" i="1"/>
  <c r="D4822" i="1"/>
  <c r="C4823" i="1"/>
  <c r="D4823" i="1"/>
  <c r="C4824" i="1"/>
  <c r="D4824" i="1"/>
  <c r="C4825" i="1"/>
  <c r="D4825" i="1"/>
  <c r="C4826" i="1"/>
  <c r="D4826" i="1"/>
  <c r="C4827" i="1"/>
  <c r="D4827" i="1"/>
  <c r="C4828" i="1"/>
  <c r="D4828" i="1"/>
  <c r="C4829" i="1"/>
  <c r="D4829" i="1"/>
  <c r="C4830" i="1"/>
  <c r="D4830" i="1"/>
  <c r="C4831" i="1"/>
  <c r="D4831" i="1"/>
  <c r="C4832" i="1"/>
  <c r="D4832" i="1"/>
  <c r="C4833" i="1"/>
  <c r="D4833" i="1"/>
  <c r="C4834" i="1"/>
  <c r="D4834" i="1"/>
  <c r="C4835" i="1"/>
  <c r="D4835" i="1"/>
  <c r="C4836" i="1"/>
  <c r="D4836" i="1"/>
  <c r="C4837" i="1"/>
  <c r="D4837" i="1"/>
  <c r="C4838" i="1"/>
  <c r="D4838" i="1"/>
  <c r="C4839" i="1"/>
  <c r="D4839" i="1"/>
  <c r="C4840" i="1"/>
  <c r="D4840" i="1"/>
  <c r="C4841" i="1"/>
  <c r="D4841" i="1"/>
  <c r="C4842" i="1"/>
  <c r="D4842" i="1"/>
  <c r="C4843" i="1"/>
  <c r="D4843" i="1"/>
  <c r="C4844" i="1"/>
  <c r="D4844" i="1"/>
  <c r="C4845" i="1"/>
  <c r="D4845" i="1"/>
  <c r="C4846" i="1"/>
  <c r="D4846" i="1"/>
  <c r="C4847" i="1"/>
  <c r="D4847" i="1"/>
  <c r="C4848" i="1"/>
  <c r="D4848" i="1"/>
  <c r="C4849" i="1"/>
  <c r="D4849" i="1"/>
  <c r="C4850" i="1"/>
  <c r="D4850" i="1"/>
  <c r="C4851" i="1"/>
  <c r="D4851" i="1"/>
  <c r="C4852" i="1"/>
  <c r="D4852" i="1"/>
  <c r="C4853" i="1"/>
  <c r="D4853" i="1"/>
  <c r="C4854" i="1"/>
  <c r="D4854" i="1"/>
  <c r="C4855" i="1"/>
  <c r="D4855" i="1"/>
  <c r="C4856" i="1"/>
  <c r="D4856" i="1"/>
  <c r="C4857" i="1"/>
  <c r="D4857" i="1"/>
  <c r="C4858" i="1"/>
  <c r="D4858" i="1"/>
  <c r="C4859" i="1"/>
  <c r="D4859" i="1"/>
  <c r="C4860" i="1"/>
  <c r="D4860" i="1"/>
  <c r="C4861" i="1"/>
  <c r="D4861" i="1"/>
  <c r="C4862" i="1"/>
  <c r="D4862" i="1"/>
  <c r="C4863" i="1"/>
  <c r="D4863" i="1"/>
  <c r="C4864" i="1"/>
  <c r="D4864" i="1"/>
  <c r="C4865" i="1"/>
  <c r="D4865" i="1"/>
  <c r="C4866" i="1"/>
  <c r="D4866" i="1"/>
  <c r="C4867" i="1"/>
  <c r="D4867" i="1"/>
  <c r="C4868" i="1"/>
  <c r="D4868" i="1"/>
  <c r="C4869" i="1"/>
  <c r="D4869" i="1"/>
  <c r="C4870" i="1"/>
  <c r="D4870" i="1"/>
  <c r="C4871" i="1"/>
  <c r="D4871" i="1"/>
  <c r="C4872" i="1"/>
  <c r="D4872" i="1"/>
  <c r="C4873" i="1"/>
  <c r="D4873" i="1"/>
  <c r="C4874" i="1"/>
  <c r="D4874" i="1"/>
  <c r="C4875" i="1"/>
  <c r="D4875" i="1"/>
  <c r="C4876" i="1"/>
  <c r="D4876" i="1"/>
  <c r="C4877" i="1"/>
  <c r="D4877" i="1"/>
  <c r="C4878" i="1"/>
  <c r="D4878" i="1"/>
  <c r="C4879" i="1"/>
  <c r="D4879" i="1"/>
  <c r="C4880" i="1"/>
  <c r="D4880" i="1"/>
  <c r="C4881" i="1"/>
  <c r="D4881" i="1"/>
  <c r="C4882" i="1"/>
  <c r="D4882" i="1"/>
  <c r="C4883" i="1"/>
  <c r="D4883" i="1"/>
  <c r="C4884" i="1"/>
  <c r="D4884" i="1"/>
  <c r="C4885" i="1"/>
  <c r="D4885" i="1"/>
  <c r="C4886" i="1"/>
  <c r="D4886" i="1"/>
  <c r="C4887" i="1"/>
  <c r="D4887" i="1"/>
  <c r="C4888" i="1"/>
  <c r="D4888" i="1"/>
  <c r="C4889" i="1"/>
  <c r="D4889" i="1"/>
  <c r="C4890" i="1"/>
  <c r="D4890" i="1"/>
  <c r="C4891" i="1"/>
  <c r="D4891" i="1"/>
  <c r="C4892" i="1"/>
  <c r="D4892" i="1"/>
  <c r="C4893" i="1"/>
  <c r="D4893" i="1"/>
  <c r="C4894" i="1"/>
  <c r="D4894" i="1"/>
  <c r="C4895" i="1"/>
  <c r="D4895" i="1"/>
  <c r="C4896" i="1"/>
  <c r="D4896" i="1"/>
  <c r="C4897" i="1"/>
  <c r="D4897" i="1"/>
  <c r="C4898" i="1"/>
  <c r="D4898" i="1"/>
  <c r="C4899" i="1"/>
  <c r="D4899" i="1"/>
  <c r="C4900" i="1"/>
  <c r="D4900" i="1"/>
  <c r="C4901" i="1"/>
  <c r="D4901" i="1"/>
  <c r="C4902" i="1"/>
  <c r="D4902" i="1"/>
  <c r="C4903" i="1"/>
  <c r="D4903" i="1"/>
  <c r="C4904" i="1"/>
  <c r="D4904" i="1"/>
  <c r="C4905" i="1"/>
  <c r="D4905" i="1"/>
  <c r="C4906" i="1"/>
  <c r="D4906" i="1"/>
  <c r="C4907" i="1"/>
  <c r="D4907" i="1"/>
  <c r="C4908" i="1"/>
  <c r="D4908" i="1"/>
  <c r="C4909" i="1"/>
  <c r="D4909" i="1"/>
  <c r="C4910" i="1"/>
  <c r="D4910" i="1"/>
  <c r="C4911" i="1"/>
  <c r="D4911" i="1"/>
  <c r="C4912" i="1"/>
  <c r="D4912" i="1"/>
  <c r="C4913" i="1"/>
  <c r="D4913" i="1"/>
  <c r="C4914" i="1"/>
  <c r="D4914" i="1"/>
  <c r="C4915" i="1"/>
  <c r="D4915" i="1"/>
  <c r="C4916" i="1"/>
  <c r="D4916" i="1"/>
  <c r="C4917" i="1"/>
  <c r="D4917" i="1"/>
  <c r="C4918" i="1"/>
  <c r="D4918" i="1"/>
  <c r="C4919" i="1"/>
  <c r="D4919" i="1"/>
  <c r="C4920" i="1"/>
  <c r="D4920" i="1"/>
  <c r="C4921" i="1"/>
  <c r="D4921" i="1"/>
  <c r="C4922" i="1"/>
  <c r="D4922" i="1"/>
  <c r="C4923" i="1"/>
  <c r="D4923" i="1"/>
  <c r="C4924" i="1"/>
  <c r="D4924" i="1"/>
  <c r="C4925" i="1"/>
  <c r="D4925" i="1"/>
  <c r="C4926" i="1"/>
  <c r="D4926" i="1"/>
  <c r="C4927" i="1"/>
  <c r="D4927" i="1"/>
  <c r="C4928" i="1"/>
  <c r="D4928" i="1"/>
  <c r="C4929" i="1"/>
  <c r="D4929" i="1"/>
  <c r="C4930" i="1"/>
  <c r="D4930" i="1"/>
  <c r="C4931" i="1"/>
  <c r="D4931" i="1"/>
  <c r="C4932" i="1"/>
  <c r="D4932" i="1"/>
  <c r="C4933" i="1"/>
  <c r="D4933" i="1"/>
  <c r="C4934" i="1"/>
  <c r="D4934" i="1"/>
  <c r="C4935" i="1"/>
  <c r="D4935" i="1"/>
  <c r="C4936" i="1"/>
  <c r="D4936" i="1"/>
  <c r="C4937" i="1"/>
  <c r="D4937" i="1"/>
  <c r="C4938" i="1"/>
  <c r="D4938" i="1"/>
  <c r="C4939" i="1"/>
  <c r="D4939" i="1"/>
  <c r="C4940" i="1"/>
  <c r="D4940" i="1"/>
  <c r="C4941" i="1"/>
  <c r="D4941" i="1"/>
  <c r="C4942" i="1"/>
  <c r="D4942" i="1"/>
  <c r="C4943" i="1"/>
  <c r="D4943" i="1"/>
  <c r="C4944" i="1"/>
  <c r="D4944" i="1"/>
  <c r="C4945" i="1"/>
  <c r="D4945" i="1"/>
  <c r="C4946" i="1"/>
  <c r="D4946" i="1"/>
  <c r="C4947" i="1"/>
  <c r="D4947" i="1"/>
  <c r="C4948" i="1"/>
  <c r="D4948" i="1"/>
  <c r="C4949" i="1"/>
  <c r="D4949" i="1"/>
  <c r="C4950" i="1"/>
  <c r="D4950" i="1"/>
  <c r="C4951" i="1"/>
  <c r="D4951" i="1"/>
  <c r="C4952" i="1"/>
  <c r="D4952" i="1"/>
  <c r="C4953" i="1"/>
  <c r="D4953" i="1"/>
  <c r="C4954" i="1"/>
  <c r="D4954" i="1"/>
  <c r="C4955" i="1"/>
  <c r="D4955" i="1"/>
  <c r="C4956" i="1"/>
  <c r="D4956" i="1"/>
  <c r="C4957" i="1"/>
  <c r="D4957" i="1"/>
  <c r="C4958" i="1"/>
  <c r="D4958" i="1"/>
  <c r="C4959" i="1"/>
  <c r="D4959" i="1"/>
  <c r="C4960" i="1"/>
  <c r="D4960" i="1"/>
  <c r="C4961" i="1"/>
  <c r="D4961" i="1"/>
  <c r="C4962" i="1"/>
  <c r="D4962" i="1"/>
  <c r="C4963" i="1"/>
  <c r="D4963" i="1"/>
  <c r="C4964" i="1"/>
  <c r="D4964" i="1"/>
  <c r="C4965" i="1"/>
  <c r="D4965" i="1"/>
  <c r="C4966" i="1"/>
  <c r="D4966" i="1"/>
  <c r="C4967" i="1"/>
  <c r="D4967" i="1"/>
  <c r="C4968" i="1"/>
  <c r="D4968" i="1"/>
  <c r="C4969" i="1"/>
  <c r="D4969" i="1"/>
  <c r="C4970" i="1"/>
  <c r="D4970" i="1"/>
  <c r="C4971" i="1"/>
  <c r="D4971" i="1"/>
  <c r="C4972" i="1"/>
  <c r="D4972" i="1"/>
  <c r="C4973" i="1"/>
  <c r="D4973" i="1"/>
  <c r="C4974" i="1"/>
  <c r="D4974" i="1"/>
  <c r="C4975" i="1"/>
  <c r="D4975" i="1"/>
  <c r="C4976" i="1"/>
  <c r="D4976" i="1"/>
  <c r="C4977" i="1"/>
  <c r="D4977" i="1"/>
  <c r="C4978" i="1"/>
  <c r="D4978" i="1"/>
  <c r="C4979" i="1"/>
  <c r="D4979" i="1"/>
  <c r="C4980" i="1"/>
  <c r="D4980" i="1"/>
  <c r="C4981" i="1"/>
  <c r="D4981" i="1"/>
  <c r="C4982" i="1"/>
  <c r="D4982" i="1"/>
  <c r="C4983" i="1"/>
  <c r="D4983" i="1"/>
  <c r="C4984" i="1"/>
  <c r="D4984" i="1"/>
  <c r="C4985" i="1"/>
  <c r="D4985" i="1"/>
  <c r="C4986" i="1"/>
  <c r="D4986" i="1"/>
  <c r="C4987" i="1"/>
  <c r="D4987" i="1"/>
  <c r="C4988" i="1"/>
  <c r="D4988" i="1"/>
  <c r="C4989" i="1"/>
  <c r="D4989" i="1"/>
  <c r="C4990" i="1"/>
  <c r="D4990" i="1"/>
  <c r="C4991" i="1"/>
  <c r="D4991" i="1"/>
  <c r="C4992" i="1"/>
  <c r="D4992" i="1"/>
  <c r="C4993" i="1"/>
  <c r="D4993" i="1"/>
  <c r="C4994" i="1"/>
  <c r="D4994" i="1"/>
  <c r="C4995" i="1"/>
  <c r="D4995" i="1"/>
  <c r="C4996" i="1"/>
  <c r="D4996" i="1"/>
  <c r="C4997" i="1"/>
  <c r="D4997" i="1"/>
  <c r="C4998" i="1"/>
  <c r="D4998" i="1"/>
  <c r="C4999" i="1"/>
  <c r="D4999" i="1"/>
  <c r="C5000" i="1"/>
  <c r="D5000" i="1"/>
  <c r="C5001" i="1"/>
  <c r="D5001" i="1"/>
  <c r="C5002" i="1"/>
  <c r="D5002" i="1"/>
  <c r="C5003" i="1"/>
  <c r="D5003" i="1"/>
  <c r="C5004" i="1"/>
  <c r="D5004" i="1"/>
  <c r="C5005" i="1"/>
  <c r="D5005" i="1"/>
  <c r="C5006" i="1"/>
  <c r="D5006" i="1"/>
  <c r="C5007" i="1"/>
  <c r="D5007" i="1"/>
  <c r="C5008" i="1"/>
  <c r="D5008" i="1"/>
  <c r="C5009" i="1"/>
  <c r="D5009" i="1"/>
  <c r="C5010" i="1"/>
  <c r="D5010" i="1"/>
  <c r="C5011" i="1"/>
  <c r="D5011" i="1"/>
  <c r="C5012" i="1"/>
  <c r="D5012" i="1"/>
  <c r="C5013" i="1"/>
  <c r="D5013" i="1"/>
  <c r="C5014" i="1"/>
  <c r="D5014" i="1"/>
  <c r="C5015" i="1"/>
  <c r="D5015" i="1"/>
  <c r="C5016" i="1"/>
  <c r="D5016" i="1"/>
  <c r="C5017" i="1"/>
  <c r="D5017" i="1"/>
  <c r="C5018" i="1"/>
  <c r="D5018" i="1"/>
  <c r="C5019" i="1"/>
  <c r="D5019" i="1"/>
  <c r="C5020" i="1"/>
  <c r="D5020" i="1"/>
  <c r="C5021" i="1"/>
  <c r="D5021" i="1"/>
  <c r="C5022" i="1"/>
  <c r="D5022" i="1"/>
  <c r="C5023" i="1"/>
  <c r="D5023" i="1"/>
  <c r="C5024" i="1"/>
  <c r="D5024" i="1"/>
  <c r="C5025" i="1"/>
  <c r="D5025" i="1"/>
  <c r="C5026" i="1"/>
  <c r="D5026" i="1"/>
  <c r="C5027" i="1"/>
  <c r="D5027" i="1"/>
  <c r="C5028" i="1"/>
  <c r="D5028" i="1"/>
  <c r="C5029" i="1"/>
  <c r="D5029" i="1"/>
  <c r="C5030" i="1"/>
  <c r="D5030" i="1"/>
  <c r="C5031" i="1"/>
  <c r="D5031" i="1"/>
  <c r="C5032" i="1"/>
  <c r="D5032" i="1"/>
  <c r="C5033" i="1"/>
  <c r="D5033" i="1"/>
  <c r="C5034" i="1"/>
  <c r="D5034" i="1"/>
  <c r="C5035" i="1"/>
  <c r="D5035" i="1"/>
  <c r="C5036" i="1"/>
  <c r="D5036" i="1"/>
  <c r="C5037" i="1"/>
  <c r="D5037" i="1"/>
  <c r="C5038" i="1"/>
  <c r="D5038" i="1"/>
  <c r="C5039" i="1"/>
  <c r="D5039" i="1"/>
  <c r="C5040" i="1"/>
  <c r="D5040" i="1"/>
  <c r="C5041" i="1"/>
  <c r="D5041" i="1"/>
  <c r="C5042" i="1"/>
  <c r="D5042" i="1"/>
  <c r="C5043" i="1"/>
  <c r="D5043" i="1"/>
  <c r="C5044" i="1"/>
  <c r="D5044" i="1"/>
  <c r="C5045" i="1"/>
  <c r="D5045" i="1"/>
  <c r="C5046" i="1"/>
  <c r="D5046" i="1"/>
  <c r="C5047" i="1"/>
  <c r="D5047" i="1"/>
  <c r="C5048" i="1"/>
  <c r="D5048" i="1"/>
  <c r="C5049" i="1"/>
  <c r="D5049" i="1"/>
  <c r="C5050" i="1"/>
  <c r="D5050" i="1"/>
  <c r="C5051" i="1"/>
  <c r="D5051" i="1"/>
  <c r="C5052" i="1"/>
  <c r="D5052" i="1"/>
  <c r="C5053" i="1"/>
  <c r="D5053" i="1"/>
  <c r="C5054" i="1"/>
  <c r="D5054" i="1"/>
  <c r="C5055" i="1"/>
  <c r="D5055" i="1"/>
  <c r="C5056" i="1"/>
  <c r="D5056" i="1"/>
  <c r="C5057" i="1"/>
  <c r="D5057" i="1"/>
  <c r="C5058" i="1"/>
  <c r="D5058" i="1"/>
  <c r="C5059" i="1"/>
  <c r="D5059" i="1"/>
  <c r="C5060" i="1"/>
  <c r="D5060" i="1"/>
  <c r="C5061" i="1"/>
  <c r="D5061" i="1"/>
  <c r="C5062" i="1"/>
  <c r="D5062" i="1"/>
  <c r="C5063" i="1"/>
  <c r="D5063" i="1"/>
  <c r="C5064" i="1"/>
  <c r="D5064" i="1"/>
  <c r="C5065" i="1"/>
  <c r="D5065" i="1"/>
  <c r="C5066" i="1"/>
  <c r="D5066" i="1"/>
  <c r="C5067" i="1"/>
  <c r="D5067" i="1"/>
  <c r="C5068" i="1"/>
  <c r="D5068" i="1"/>
  <c r="C5069" i="1"/>
  <c r="D5069" i="1"/>
  <c r="C5070" i="1"/>
  <c r="D5070" i="1"/>
  <c r="C5071" i="1"/>
  <c r="D5071" i="1"/>
  <c r="C5072" i="1"/>
  <c r="D5072" i="1"/>
  <c r="C5073" i="1"/>
  <c r="D5073" i="1"/>
  <c r="C5074" i="1"/>
  <c r="D5074" i="1"/>
  <c r="C5075" i="1"/>
  <c r="D5075" i="1"/>
  <c r="C5076" i="1"/>
  <c r="D5076" i="1"/>
  <c r="C5077" i="1"/>
  <c r="D5077" i="1"/>
  <c r="C5078" i="1"/>
  <c r="D5078" i="1"/>
  <c r="C5079" i="1"/>
  <c r="D5079" i="1"/>
  <c r="C5080" i="1"/>
  <c r="D5080" i="1"/>
  <c r="C5081" i="1"/>
  <c r="D5081" i="1"/>
  <c r="C5082" i="1"/>
  <c r="D5082" i="1"/>
  <c r="C5083" i="1"/>
  <c r="D5083" i="1"/>
  <c r="C5084" i="1"/>
  <c r="D5084" i="1"/>
  <c r="C5085" i="1"/>
  <c r="D5085" i="1"/>
  <c r="C5086" i="1"/>
  <c r="D5086" i="1"/>
  <c r="C5087" i="1"/>
  <c r="D5087" i="1"/>
  <c r="C5088" i="1"/>
  <c r="D5088" i="1"/>
  <c r="C5089" i="1"/>
  <c r="D5089" i="1"/>
  <c r="C5090" i="1"/>
  <c r="D5090" i="1"/>
  <c r="C5091" i="1"/>
  <c r="D5091" i="1"/>
  <c r="C5092" i="1"/>
  <c r="D5092" i="1"/>
  <c r="C5093" i="1"/>
  <c r="D5093" i="1"/>
  <c r="C5094" i="1"/>
  <c r="D5094" i="1"/>
  <c r="C5095" i="1"/>
  <c r="D5095" i="1"/>
  <c r="C5096" i="1"/>
  <c r="D5096" i="1"/>
  <c r="C5097" i="1"/>
  <c r="D5097" i="1"/>
  <c r="C5098" i="1"/>
  <c r="D5098" i="1"/>
  <c r="C5099" i="1"/>
  <c r="D5099" i="1"/>
  <c r="C5100" i="1"/>
  <c r="D5100" i="1"/>
  <c r="C5101" i="1"/>
  <c r="D5101" i="1"/>
  <c r="C5102" i="1"/>
  <c r="D5102" i="1"/>
  <c r="C5103" i="1"/>
  <c r="D5103" i="1"/>
  <c r="C5104" i="1"/>
  <c r="D5104" i="1"/>
  <c r="C5105" i="1"/>
  <c r="D5105" i="1"/>
  <c r="C5106" i="1"/>
  <c r="D5106" i="1"/>
  <c r="C5107" i="1"/>
  <c r="D5107" i="1"/>
  <c r="C5108" i="1"/>
  <c r="D5108" i="1"/>
  <c r="C5109" i="1"/>
  <c r="D5109" i="1"/>
  <c r="C5110" i="1"/>
  <c r="D5110" i="1"/>
  <c r="C5111" i="1"/>
  <c r="D5111" i="1"/>
  <c r="C5112" i="1"/>
  <c r="D5112" i="1"/>
  <c r="C5113" i="1"/>
  <c r="D5113" i="1"/>
  <c r="C5114" i="1"/>
  <c r="D5114" i="1"/>
  <c r="C5115" i="1"/>
  <c r="D5115" i="1"/>
  <c r="C5116" i="1"/>
  <c r="D5116" i="1"/>
  <c r="C5117" i="1"/>
  <c r="D5117" i="1"/>
  <c r="C5118" i="1"/>
  <c r="D5118" i="1"/>
  <c r="C5119" i="1"/>
  <c r="D5119" i="1"/>
  <c r="C5120" i="1"/>
  <c r="D5120" i="1"/>
  <c r="C5121" i="1"/>
  <c r="D5121" i="1"/>
  <c r="C5122" i="1"/>
  <c r="D5122" i="1"/>
  <c r="C5123" i="1"/>
  <c r="D5123" i="1"/>
  <c r="C5124" i="1"/>
  <c r="D5124" i="1"/>
  <c r="C5125" i="1"/>
  <c r="D5125" i="1"/>
  <c r="C5126" i="1"/>
  <c r="D5126" i="1"/>
  <c r="C5127" i="1"/>
  <c r="D5127" i="1"/>
  <c r="C5128" i="1"/>
  <c r="D5128" i="1"/>
  <c r="C5129" i="1"/>
  <c r="D5129" i="1"/>
  <c r="C5130" i="1"/>
  <c r="D5130" i="1"/>
  <c r="C5131" i="1"/>
  <c r="D5131" i="1"/>
  <c r="C5132" i="1"/>
  <c r="D5132" i="1"/>
  <c r="C5133" i="1"/>
  <c r="D5133" i="1"/>
  <c r="C5134" i="1"/>
  <c r="D5134" i="1"/>
  <c r="C5135" i="1"/>
  <c r="D5135" i="1"/>
  <c r="C5136" i="1"/>
  <c r="D5136" i="1"/>
  <c r="C5137" i="1"/>
  <c r="D5137" i="1"/>
  <c r="C5138" i="1"/>
  <c r="D5138" i="1"/>
  <c r="C5139" i="1"/>
  <c r="D5139" i="1"/>
  <c r="C5140" i="1"/>
  <c r="D5140" i="1"/>
  <c r="C5141" i="1"/>
  <c r="D5141" i="1"/>
  <c r="C5142" i="1"/>
  <c r="D5142" i="1"/>
  <c r="C5143" i="1"/>
  <c r="D5143" i="1"/>
  <c r="C5144" i="1"/>
  <c r="D5144" i="1"/>
  <c r="C5145" i="1"/>
  <c r="D5145" i="1"/>
  <c r="C5146" i="1"/>
  <c r="D5146" i="1"/>
  <c r="C5147" i="1"/>
  <c r="D5147" i="1"/>
  <c r="C5148" i="1"/>
  <c r="D5148" i="1"/>
  <c r="C5149" i="1"/>
  <c r="D5149" i="1"/>
  <c r="C5150" i="1"/>
  <c r="D5150" i="1"/>
  <c r="C5151" i="1"/>
  <c r="D5151" i="1"/>
  <c r="C5152" i="1"/>
  <c r="D5152" i="1"/>
  <c r="C5153" i="1"/>
  <c r="D5153" i="1"/>
  <c r="C5154" i="1"/>
  <c r="D5154" i="1"/>
  <c r="C5155" i="1"/>
  <c r="D5155" i="1"/>
  <c r="C5156" i="1"/>
  <c r="D5156" i="1"/>
  <c r="C5157" i="1"/>
  <c r="D5157" i="1"/>
  <c r="C5158" i="1"/>
  <c r="D5158" i="1"/>
  <c r="C5159" i="1"/>
  <c r="D5159" i="1"/>
  <c r="C5160" i="1"/>
  <c r="D5160" i="1"/>
  <c r="C5161" i="1"/>
  <c r="D5161" i="1"/>
  <c r="C5162" i="1"/>
  <c r="D5162" i="1"/>
  <c r="C5163" i="1"/>
  <c r="D5163" i="1"/>
  <c r="C5164" i="1"/>
  <c r="D5164" i="1"/>
  <c r="C5165" i="1"/>
  <c r="D5165" i="1"/>
  <c r="C5166" i="1"/>
  <c r="D5166" i="1"/>
  <c r="C5167" i="1"/>
  <c r="D5167" i="1"/>
  <c r="C5168" i="1"/>
  <c r="D5168" i="1"/>
  <c r="C5169" i="1"/>
  <c r="D5169" i="1"/>
  <c r="C5170" i="1"/>
  <c r="D5170" i="1"/>
  <c r="C5171" i="1"/>
  <c r="D5171" i="1"/>
  <c r="C5172" i="1"/>
  <c r="D5172" i="1"/>
  <c r="C5173" i="1"/>
  <c r="D5173" i="1"/>
  <c r="C5174" i="1"/>
  <c r="D5174" i="1"/>
  <c r="C5175" i="1"/>
  <c r="D5175" i="1"/>
  <c r="C5176" i="1"/>
  <c r="D5176" i="1"/>
  <c r="C5177" i="1"/>
  <c r="D5177" i="1"/>
  <c r="C5178" i="1"/>
  <c r="D5178" i="1"/>
  <c r="C5179" i="1"/>
  <c r="D5179" i="1"/>
  <c r="C5180" i="1"/>
  <c r="D5180" i="1"/>
  <c r="C5181" i="1"/>
  <c r="D5181" i="1"/>
  <c r="C5182" i="1"/>
  <c r="D5182" i="1"/>
  <c r="C5183" i="1"/>
  <c r="D5183" i="1"/>
  <c r="C5184" i="1"/>
  <c r="D5184" i="1"/>
  <c r="C5185" i="1"/>
  <c r="D5185" i="1"/>
  <c r="C5186" i="1"/>
  <c r="D5186" i="1"/>
  <c r="C5187" i="1"/>
  <c r="D5187" i="1"/>
  <c r="C5188" i="1"/>
  <c r="D5188" i="1"/>
  <c r="C5189" i="1"/>
  <c r="D5189" i="1"/>
  <c r="C5190" i="1"/>
  <c r="D5190" i="1"/>
  <c r="C5191" i="1"/>
  <c r="D5191" i="1"/>
  <c r="C5192" i="1"/>
  <c r="D5192" i="1"/>
  <c r="C5193" i="1"/>
  <c r="D5193" i="1"/>
  <c r="C5194" i="1"/>
  <c r="D5194" i="1"/>
  <c r="C5195" i="1"/>
  <c r="D5195" i="1"/>
  <c r="C5196" i="1"/>
  <c r="D5196" i="1"/>
  <c r="C5197" i="1"/>
  <c r="D5197" i="1"/>
  <c r="C5198" i="1"/>
  <c r="D5198" i="1"/>
  <c r="C5199" i="1"/>
  <c r="D5199" i="1"/>
  <c r="C5200" i="1"/>
  <c r="D5200" i="1"/>
  <c r="C5201" i="1"/>
  <c r="D5201" i="1"/>
  <c r="C5202" i="1"/>
  <c r="D5202" i="1"/>
  <c r="C5203" i="1"/>
  <c r="D5203" i="1"/>
  <c r="C5204" i="1"/>
  <c r="D5204" i="1"/>
  <c r="C5205" i="1"/>
  <c r="D5205" i="1"/>
  <c r="C5206" i="1"/>
  <c r="D5206" i="1"/>
  <c r="C5207" i="1"/>
  <c r="D5207" i="1"/>
  <c r="C5208" i="1"/>
  <c r="D5208" i="1"/>
  <c r="C5209" i="1"/>
  <c r="D5209" i="1"/>
  <c r="C5210" i="1"/>
  <c r="D5210" i="1"/>
  <c r="C5211" i="1"/>
  <c r="D5211" i="1"/>
  <c r="C5212" i="1"/>
  <c r="D5212" i="1"/>
  <c r="C5213" i="1"/>
  <c r="D5213" i="1"/>
  <c r="C5214" i="1"/>
  <c r="D5214" i="1"/>
  <c r="C5215" i="1"/>
  <c r="D5215" i="1"/>
  <c r="C5216" i="1"/>
  <c r="D5216" i="1"/>
  <c r="C5217" i="1"/>
  <c r="D5217" i="1"/>
  <c r="C5218" i="1"/>
  <c r="D5218" i="1"/>
  <c r="C5219" i="1"/>
  <c r="D5219" i="1"/>
  <c r="C5220" i="1"/>
  <c r="D5220" i="1"/>
  <c r="C5221" i="1"/>
  <c r="D5221" i="1"/>
  <c r="C5222" i="1"/>
  <c r="D5222" i="1"/>
  <c r="C5223" i="1"/>
  <c r="D5223" i="1"/>
  <c r="C5224" i="1"/>
  <c r="D5224" i="1"/>
  <c r="C5225" i="1"/>
  <c r="D5225" i="1"/>
  <c r="C5226" i="1"/>
  <c r="D5226" i="1"/>
  <c r="C5227" i="1"/>
  <c r="D5227" i="1"/>
  <c r="C5228" i="1"/>
  <c r="D5228" i="1"/>
  <c r="C5229" i="1"/>
  <c r="D5229" i="1"/>
  <c r="C5230" i="1"/>
  <c r="D5230" i="1"/>
  <c r="C5231" i="1"/>
  <c r="D5231" i="1"/>
  <c r="C5232" i="1"/>
  <c r="D5232" i="1"/>
  <c r="C5233" i="1"/>
  <c r="D5233" i="1"/>
  <c r="C5234" i="1"/>
  <c r="D5234" i="1"/>
  <c r="C5235" i="1"/>
  <c r="D5235" i="1"/>
  <c r="C5236" i="1"/>
  <c r="D5236" i="1"/>
  <c r="C5237" i="1"/>
  <c r="D5237" i="1"/>
  <c r="C5238" i="1"/>
  <c r="D5238" i="1"/>
  <c r="C5239" i="1"/>
  <c r="D5239" i="1"/>
  <c r="C5240" i="1"/>
  <c r="D5240" i="1"/>
  <c r="C5241" i="1"/>
  <c r="D5241" i="1"/>
  <c r="C5242" i="1"/>
  <c r="D5242" i="1"/>
  <c r="C5243" i="1"/>
  <c r="D5243" i="1"/>
  <c r="C5244" i="1"/>
  <c r="D5244" i="1"/>
  <c r="C5245" i="1"/>
  <c r="D5245" i="1"/>
  <c r="C5246" i="1"/>
  <c r="D5246" i="1"/>
  <c r="C5247" i="1"/>
  <c r="D5247" i="1"/>
  <c r="C5248" i="1"/>
  <c r="D5248" i="1"/>
  <c r="C5249" i="1"/>
  <c r="D5249" i="1"/>
  <c r="C5250" i="1"/>
  <c r="D5250" i="1"/>
  <c r="C5251" i="1"/>
  <c r="D5251" i="1"/>
  <c r="C5252" i="1"/>
  <c r="D5252" i="1"/>
  <c r="C5253" i="1"/>
  <c r="D5253" i="1"/>
  <c r="C5254" i="1"/>
  <c r="D5254" i="1"/>
  <c r="C5255" i="1"/>
  <c r="D5255" i="1"/>
  <c r="C5256" i="1"/>
  <c r="D5256" i="1"/>
  <c r="C5257" i="1"/>
  <c r="D5257" i="1"/>
  <c r="C5258" i="1"/>
  <c r="D5258" i="1"/>
  <c r="C5259" i="1"/>
  <c r="D5259" i="1"/>
  <c r="C5260" i="1"/>
  <c r="D5260" i="1"/>
  <c r="C5261" i="1"/>
  <c r="D5261" i="1"/>
  <c r="C5262" i="1"/>
  <c r="D5262" i="1"/>
  <c r="C5263" i="1"/>
  <c r="D5263" i="1"/>
  <c r="C5264" i="1"/>
  <c r="D5264" i="1"/>
  <c r="C5265" i="1"/>
  <c r="D5265" i="1"/>
  <c r="C5266" i="1"/>
  <c r="D5266" i="1"/>
  <c r="C5267" i="1"/>
  <c r="D5267" i="1"/>
  <c r="C5268" i="1"/>
  <c r="D5268" i="1"/>
  <c r="C5269" i="1"/>
  <c r="D5269" i="1"/>
  <c r="C5270" i="1"/>
  <c r="D5270" i="1"/>
  <c r="C5271" i="1"/>
  <c r="D5271" i="1"/>
  <c r="C5272" i="1"/>
  <c r="D5272" i="1"/>
  <c r="C5273" i="1"/>
  <c r="D5273" i="1"/>
  <c r="C5274" i="1"/>
  <c r="D5274" i="1"/>
  <c r="C5275" i="1"/>
  <c r="D5275" i="1"/>
  <c r="C5276" i="1"/>
  <c r="D5276" i="1"/>
  <c r="C5277" i="1"/>
  <c r="D5277" i="1"/>
  <c r="C5278" i="1"/>
  <c r="D5278" i="1"/>
  <c r="C5279" i="1"/>
  <c r="D5279" i="1"/>
  <c r="C5280" i="1"/>
  <c r="D5280" i="1"/>
  <c r="C5281" i="1"/>
  <c r="D5281" i="1"/>
  <c r="C5282" i="1"/>
  <c r="D5282" i="1"/>
  <c r="C5283" i="1"/>
  <c r="D5283" i="1"/>
  <c r="C5284" i="1"/>
  <c r="D5284" i="1"/>
  <c r="C5285" i="1"/>
  <c r="D5285" i="1"/>
  <c r="C5286" i="1"/>
  <c r="D5286" i="1"/>
  <c r="C5287" i="1"/>
  <c r="D5287" i="1"/>
  <c r="C5288" i="1"/>
  <c r="D5288" i="1"/>
  <c r="C5289" i="1"/>
  <c r="D5289" i="1"/>
  <c r="C5290" i="1"/>
  <c r="D5290" i="1"/>
  <c r="C5291" i="1"/>
  <c r="D5291" i="1"/>
  <c r="C5292" i="1"/>
  <c r="D5292" i="1"/>
  <c r="C5293" i="1"/>
  <c r="D5293" i="1"/>
  <c r="C5294" i="1"/>
  <c r="D5294" i="1"/>
  <c r="C5295" i="1"/>
  <c r="D5295" i="1"/>
  <c r="C5296" i="1"/>
  <c r="D5296" i="1"/>
  <c r="C5297" i="1"/>
  <c r="D5297" i="1"/>
  <c r="C5298" i="1"/>
  <c r="D5298" i="1"/>
  <c r="C5299" i="1"/>
  <c r="D5299" i="1"/>
  <c r="C5300" i="1"/>
  <c r="D5300" i="1"/>
  <c r="C5301" i="1"/>
  <c r="D5301" i="1"/>
  <c r="C5302" i="1"/>
  <c r="D5302" i="1"/>
  <c r="C5303" i="1"/>
  <c r="D5303" i="1"/>
  <c r="C5304" i="1"/>
  <c r="D5304" i="1"/>
  <c r="C5305" i="1"/>
  <c r="D5305" i="1"/>
  <c r="C5306" i="1"/>
  <c r="D5306" i="1"/>
  <c r="C5307" i="1"/>
  <c r="D5307" i="1"/>
  <c r="C5308" i="1"/>
  <c r="D5308" i="1"/>
  <c r="C5309" i="1"/>
  <c r="D5309" i="1"/>
  <c r="C5310" i="1"/>
  <c r="D5310" i="1"/>
  <c r="C5311" i="1"/>
  <c r="D5311" i="1"/>
  <c r="C5312" i="1"/>
  <c r="D5312" i="1"/>
  <c r="C5313" i="1"/>
  <c r="D5313" i="1"/>
  <c r="C5314" i="1"/>
  <c r="D5314" i="1"/>
  <c r="C5315" i="1"/>
  <c r="D5315" i="1"/>
  <c r="C5316" i="1"/>
  <c r="D5316" i="1"/>
  <c r="C5317" i="1"/>
  <c r="D5317" i="1"/>
  <c r="C5318" i="1"/>
  <c r="D5318" i="1"/>
  <c r="C5319" i="1"/>
  <c r="D5319" i="1"/>
  <c r="C5320" i="1"/>
  <c r="D5320" i="1"/>
  <c r="C5321" i="1"/>
  <c r="D5321" i="1"/>
  <c r="C5322" i="1"/>
  <c r="D5322" i="1"/>
  <c r="C5323" i="1"/>
  <c r="D5323" i="1"/>
  <c r="C5324" i="1"/>
  <c r="D5324" i="1"/>
  <c r="C5325" i="1"/>
  <c r="D5325" i="1"/>
  <c r="C5326" i="1"/>
  <c r="D5326" i="1"/>
  <c r="C5327" i="1"/>
  <c r="D5327" i="1"/>
  <c r="C5328" i="1"/>
  <c r="D5328" i="1"/>
  <c r="C5329" i="1"/>
  <c r="D5329" i="1"/>
  <c r="C5330" i="1"/>
  <c r="D5330" i="1"/>
  <c r="C5331" i="1"/>
  <c r="D5331" i="1"/>
  <c r="C5332" i="1"/>
  <c r="D5332" i="1"/>
  <c r="C5333" i="1"/>
  <c r="D5333" i="1"/>
  <c r="C5334" i="1"/>
  <c r="D5334" i="1"/>
  <c r="C5335" i="1"/>
  <c r="D5335" i="1"/>
  <c r="C5336" i="1"/>
  <c r="D5336" i="1"/>
  <c r="C5337" i="1"/>
  <c r="D5337" i="1"/>
  <c r="C5338" i="1"/>
  <c r="D5338" i="1"/>
  <c r="C5339" i="1"/>
  <c r="D5339" i="1"/>
  <c r="C5340" i="1"/>
  <c r="D5340" i="1"/>
  <c r="C5341" i="1"/>
  <c r="D5341" i="1"/>
  <c r="C5342" i="1"/>
  <c r="D5342" i="1"/>
  <c r="C5343" i="1"/>
  <c r="D5343" i="1"/>
  <c r="C5344" i="1"/>
  <c r="D5344" i="1"/>
  <c r="C5345" i="1"/>
  <c r="D5345" i="1"/>
  <c r="C5346" i="1"/>
  <c r="D5346" i="1"/>
  <c r="C5347" i="1"/>
  <c r="D5347" i="1"/>
  <c r="C5348" i="1"/>
  <c r="D5348" i="1"/>
  <c r="C5349" i="1"/>
  <c r="D5349" i="1"/>
  <c r="C5350" i="1"/>
  <c r="D5350" i="1"/>
  <c r="C5351" i="1"/>
  <c r="D5351" i="1"/>
  <c r="C5352" i="1"/>
  <c r="D5352" i="1"/>
  <c r="C5353" i="1"/>
  <c r="D5353" i="1"/>
  <c r="C5354" i="1"/>
  <c r="D5354" i="1"/>
  <c r="C5355" i="1"/>
  <c r="D5355" i="1"/>
  <c r="C5356" i="1"/>
  <c r="D5356" i="1"/>
  <c r="C5357" i="1"/>
  <c r="D5357" i="1"/>
  <c r="C5358" i="1"/>
  <c r="D5358" i="1"/>
  <c r="C5359" i="1"/>
  <c r="D5359" i="1"/>
  <c r="C5360" i="1"/>
  <c r="D5360" i="1"/>
  <c r="C5361" i="1"/>
  <c r="D5361" i="1"/>
  <c r="C5362" i="1"/>
  <c r="D5362" i="1"/>
  <c r="C5363" i="1"/>
  <c r="D5363" i="1"/>
  <c r="C5364" i="1"/>
  <c r="D5364" i="1"/>
  <c r="C5365" i="1"/>
  <c r="D5365" i="1"/>
  <c r="C5366" i="1"/>
  <c r="D5366" i="1"/>
  <c r="C5367" i="1"/>
  <c r="D5367" i="1"/>
  <c r="C5368" i="1"/>
  <c r="D5368" i="1"/>
  <c r="C5369" i="1"/>
  <c r="D5369" i="1"/>
  <c r="C5370" i="1"/>
  <c r="D5370" i="1"/>
  <c r="C5371" i="1"/>
  <c r="D5371" i="1"/>
  <c r="C5372" i="1"/>
  <c r="D5372" i="1"/>
  <c r="C5373" i="1"/>
  <c r="D5373" i="1"/>
  <c r="C5374" i="1"/>
  <c r="D5374" i="1"/>
  <c r="C5375" i="1"/>
  <c r="D5375" i="1"/>
  <c r="C5376" i="1"/>
  <c r="D5376" i="1"/>
  <c r="C5377" i="1"/>
  <c r="D5377" i="1"/>
  <c r="C5378" i="1"/>
  <c r="D5378" i="1"/>
  <c r="C5379" i="1"/>
  <c r="D5379" i="1"/>
  <c r="C5380" i="1"/>
  <c r="D5380" i="1"/>
  <c r="C5381" i="1"/>
  <c r="D5381" i="1"/>
  <c r="C5382" i="1"/>
  <c r="D5382" i="1"/>
  <c r="C5383" i="1"/>
  <c r="D5383" i="1"/>
  <c r="C5384" i="1"/>
  <c r="D5384" i="1"/>
  <c r="C5385" i="1"/>
  <c r="D5385" i="1"/>
  <c r="C5386" i="1"/>
  <c r="D5386" i="1"/>
  <c r="C5387" i="1"/>
  <c r="D5387" i="1"/>
  <c r="C5388" i="1"/>
  <c r="D5388" i="1"/>
  <c r="C5389" i="1"/>
  <c r="D5389" i="1"/>
  <c r="C5390" i="1"/>
  <c r="D5390" i="1"/>
  <c r="C5391" i="1"/>
  <c r="D5391" i="1"/>
  <c r="C5392" i="1"/>
  <c r="D5392" i="1"/>
  <c r="C5393" i="1"/>
  <c r="D5393" i="1"/>
  <c r="C5394" i="1"/>
  <c r="D5394" i="1"/>
  <c r="C5395" i="1"/>
  <c r="D5395" i="1"/>
  <c r="C5396" i="1"/>
  <c r="D5396" i="1"/>
  <c r="C5397" i="1"/>
  <c r="D5397" i="1"/>
  <c r="C5398" i="1"/>
  <c r="D5398" i="1"/>
  <c r="C5399" i="1"/>
  <c r="D5399" i="1"/>
  <c r="C5400" i="1"/>
  <c r="D5400" i="1"/>
  <c r="C5401" i="1"/>
  <c r="D5401" i="1"/>
  <c r="C5402" i="1"/>
  <c r="D5402" i="1"/>
  <c r="C5403" i="1"/>
  <c r="D5403" i="1"/>
  <c r="C5404" i="1"/>
  <c r="D5404" i="1"/>
  <c r="C5405" i="1"/>
  <c r="D5405" i="1"/>
  <c r="C5406" i="1"/>
  <c r="D5406" i="1"/>
  <c r="C5407" i="1"/>
  <c r="D5407" i="1"/>
  <c r="C5408" i="1"/>
  <c r="D5408" i="1"/>
  <c r="C5409" i="1"/>
  <c r="D5409" i="1"/>
  <c r="C5410" i="1"/>
  <c r="D5410" i="1"/>
  <c r="C5411" i="1"/>
  <c r="D5411" i="1"/>
  <c r="C5412" i="1"/>
  <c r="D5412" i="1"/>
  <c r="C5413" i="1"/>
  <c r="D5413" i="1"/>
  <c r="C5414" i="1"/>
  <c r="D5414" i="1"/>
  <c r="C5415" i="1"/>
  <c r="D5415" i="1"/>
  <c r="C5416" i="1"/>
  <c r="D5416" i="1"/>
  <c r="C5417" i="1"/>
  <c r="D5417" i="1"/>
  <c r="C5418" i="1"/>
  <c r="D5418" i="1"/>
  <c r="C5419" i="1"/>
  <c r="D5419" i="1"/>
  <c r="C5420" i="1"/>
  <c r="D5420" i="1"/>
  <c r="C5421" i="1"/>
  <c r="D5421" i="1"/>
  <c r="C5422" i="1"/>
  <c r="D5422" i="1"/>
  <c r="C5423" i="1"/>
  <c r="D5423" i="1"/>
  <c r="C5424" i="1"/>
  <c r="D5424" i="1"/>
  <c r="C5425" i="1"/>
  <c r="D5425" i="1"/>
  <c r="C5426" i="1"/>
  <c r="D5426" i="1"/>
  <c r="C5427" i="1"/>
  <c r="D5427" i="1"/>
  <c r="C5428" i="1"/>
  <c r="D5428" i="1"/>
  <c r="C5429" i="1"/>
  <c r="D5429" i="1"/>
  <c r="C5430" i="1"/>
  <c r="D5430" i="1"/>
  <c r="C5431" i="1"/>
  <c r="D5431" i="1"/>
  <c r="C5432" i="1"/>
  <c r="D5432" i="1"/>
  <c r="C5433" i="1"/>
  <c r="D5433" i="1"/>
  <c r="C5434" i="1"/>
  <c r="D5434" i="1"/>
  <c r="C5435" i="1"/>
  <c r="D5435" i="1"/>
  <c r="C5436" i="1"/>
  <c r="D5436" i="1"/>
  <c r="C5437" i="1"/>
  <c r="D5437" i="1"/>
  <c r="C5438" i="1"/>
  <c r="D5438" i="1"/>
  <c r="C5439" i="1"/>
  <c r="D5439" i="1"/>
  <c r="C5440" i="1"/>
  <c r="D5440" i="1"/>
  <c r="C5441" i="1"/>
  <c r="D5441" i="1"/>
  <c r="C5442" i="1"/>
  <c r="D5442" i="1"/>
  <c r="C5443" i="1"/>
  <c r="D5443" i="1"/>
  <c r="C5444" i="1"/>
  <c r="D5444" i="1"/>
  <c r="C5445" i="1"/>
  <c r="D5445" i="1"/>
  <c r="C5446" i="1"/>
  <c r="D5446" i="1"/>
  <c r="C5447" i="1"/>
  <c r="D5447" i="1"/>
  <c r="C5448" i="1"/>
  <c r="D5448" i="1"/>
  <c r="C5449" i="1"/>
  <c r="D5449" i="1"/>
  <c r="C5450" i="1"/>
  <c r="D5450" i="1"/>
  <c r="C5451" i="1"/>
  <c r="D5451" i="1"/>
  <c r="C5452" i="1"/>
  <c r="D5452" i="1"/>
  <c r="C5453" i="1"/>
  <c r="D5453" i="1"/>
  <c r="C5454" i="1"/>
  <c r="D5454" i="1"/>
  <c r="C5455" i="1"/>
  <c r="D5455" i="1"/>
  <c r="C5456" i="1"/>
  <c r="D5456" i="1"/>
  <c r="C5457" i="1"/>
  <c r="D5457" i="1"/>
  <c r="C5458" i="1"/>
  <c r="D5458" i="1"/>
  <c r="C5459" i="1"/>
  <c r="D5459" i="1"/>
  <c r="C5460" i="1"/>
  <c r="D5460" i="1"/>
  <c r="C5461" i="1"/>
  <c r="D5461" i="1"/>
  <c r="C5462" i="1"/>
  <c r="D5462" i="1"/>
  <c r="C5463" i="1"/>
  <c r="D5463" i="1"/>
  <c r="C5464" i="1"/>
  <c r="D5464" i="1"/>
  <c r="C5465" i="1"/>
  <c r="D5465" i="1"/>
  <c r="C5466" i="1"/>
  <c r="D5466" i="1"/>
  <c r="C5467" i="1"/>
  <c r="D5467" i="1"/>
  <c r="C5468" i="1"/>
  <c r="D5468" i="1"/>
  <c r="C5469" i="1"/>
  <c r="D5469" i="1"/>
  <c r="C5470" i="1"/>
  <c r="D5470" i="1"/>
  <c r="C5471" i="1"/>
  <c r="D5471" i="1"/>
  <c r="C5472" i="1"/>
  <c r="D5472" i="1"/>
  <c r="C5473" i="1"/>
  <c r="D5473" i="1"/>
  <c r="C5474" i="1"/>
  <c r="D5474" i="1"/>
  <c r="C5475" i="1"/>
  <c r="D5475" i="1"/>
  <c r="C5476" i="1"/>
  <c r="D5476" i="1"/>
  <c r="C5477" i="1"/>
  <c r="D5477" i="1"/>
  <c r="C5478" i="1"/>
  <c r="D5478" i="1"/>
  <c r="C5479" i="1"/>
  <c r="D5479" i="1"/>
  <c r="C5480" i="1"/>
  <c r="D5480" i="1"/>
  <c r="C5481" i="1"/>
  <c r="D5481" i="1"/>
  <c r="C5482" i="1"/>
  <c r="D5482" i="1"/>
  <c r="C5483" i="1"/>
  <c r="D5483" i="1"/>
  <c r="C5484" i="1"/>
  <c r="D5484" i="1"/>
  <c r="C5485" i="1"/>
  <c r="D5485" i="1"/>
  <c r="C5486" i="1"/>
  <c r="D5486" i="1"/>
  <c r="C5487" i="1"/>
  <c r="D5487" i="1"/>
  <c r="C5488" i="1"/>
  <c r="D5488" i="1"/>
  <c r="C5489" i="1"/>
  <c r="D5489" i="1"/>
  <c r="C5490" i="1"/>
  <c r="D5490" i="1"/>
  <c r="C5491" i="1"/>
  <c r="D5491" i="1"/>
  <c r="C5492" i="1"/>
  <c r="D5492" i="1"/>
  <c r="C5493" i="1"/>
  <c r="D5493" i="1"/>
  <c r="C5494" i="1"/>
  <c r="D5494" i="1"/>
  <c r="C5495" i="1"/>
  <c r="D5495" i="1"/>
  <c r="C5496" i="1"/>
  <c r="D5496" i="1"/>
  <c r="C5497" i="1"/>
  <c r="D5497" i="1"/>
  <c r="C5498" i="1"/>
  <c r="D5498" i="1"/>
  <c r="C5499" i="1"/>
  <c r="D5499" i="1"/>
  <c r="C5500" i="1"/>
  <c r="D5500" i="1"/>
  <c r="C5501" i="1"/>
  <c r="D5501" i="1"/>
  <c r="C5502" i="1"/>
  <c r="D5502" i="1"/>
  <c r="C5503" i="1"/>
  <c r="D5503" i="1"/>
  <c r="C5504" i="1"/>
  <c r="D5504" i="1"/>
  <c r="C5505" i="1"/>
  <c r="D5505" i="1"/>
  <c r="C5506" i="1"/>
  <c r="D5506" i="1"/>
  <c r="C5507" i="1"/>
  <c r="D5507" i="1"/>
  <c r="C5508" i="1"/>
  <c r="D5508" i="1"/>
  <c r="C5509" i="1"/>
  <c r="D5509" i="1"/>
  <c r="C5510" i="1"/>
  <c r="D5510" i="1"/>
  <c r="C5511" i="1"/>
  <c r="D5511" i="1"/>
  <c r="C5512" i="1"/>
  <c r="D5512" i="1"/>
  <c r="C5513" i="1"/>
  <c r="D5513" i="1"/>
  <c r="C5514" i="1"/>
  <c r="D5514" i="1"/>
  <c r="C5515" i="1"/>
  <c r="D5515" i="1"/>
  <c r="C5516" i="1"/>
  <c r="D5516" i="1"/>
  <c r="C5517" i="1"/>
  <c r="D5517" i="1"/>
  <c r="C5518" i="1"/>
  <c r="D5518" i="1"/>
  <c r="C5519" i="1"/>
  <c r="D5519" i="1"/>
  <c r="C5520" i="1"/>
  <c r="D5520" i="1"/>
  <c r="C5521" i="1"/>
  <c r="D5521" i="1"/>
  <c r="C5522" i="1"/>
  <c r="D5522" i="1"/>
  <c r="C5523" i="1"/>
  <c r="D5523" i="1"/>
  <c r="C5524" i="1"/>
  <c r="D5524" i="1"/>
  <c r="C5525" i="1"/>
  <c r="D5525" i="1"/>
  <c r="C5526" i="1"/>
  <c r="D5526" i="1"/>
  <c r="C5527" i="1"/>
  <c r="D5527" i="1"/>
  <c r="C5528" i="1"/>
  <c r="D5528" i="1"/>
  <c r="C5529" i="1"/>
  <c r="D5529" i="1"/>
  <c r="C5530" i="1"/>
  <c r="D5530" i="1"/>
  <c r="C5531" i="1"/>
  <c r="D5531" i="1"/>
  <c r="C5532" i="1"/>
  <c r="D5532" i="1"/>
  <c r="C5533" i="1"/>
  <c r="D5533" i="1"/>
  <c r="C5534" i="1"/>
  <c r="D5534" i="1"/>
  <c r="C5535" i="1"/>
  <c r="D5535" i="1"/>
  <c r="C5536" i="1"/>
  <c r="D5536" i="1"/>
  <c r="C5537" i="1"/>
  <c r="D5537" i="1"/>
  <c r="C5538" i="1"/>
  <c r="D5538" i="1"/>
  <c r="C5539" i="1"/>
  <c r="D5539" i="1"/>
  <c r="C5540" i="1"/>
  <c r="D5540" i="1"/>
  <c r="C5541" i="1"/>
  <c r="D5541" i="1"/>
  <c r="C5542" i="1"/>
  <c r="D5542" i="1"/>
  <c r="C5543" i="1"/>
  <c r="D5543" i="1"/>
  <c r="C5544" i="1"/>
  <c r="D5544" i="1"/>
  <c r="C5545" i="1"/>
  <c r="D5545" i="1"/>
  <c r="C5546" i="1"/>
  <c r="D5546" i="1"/>
  <c r="C5547" i="1"/>
  <c r="D5547" i="1"/>
  <c r="C5548" i="1"/>
  <c r="D5548" i="1"/>
  <c r="C5549" i="1"/>
  <c r="D5549" i="1"/>
  <c r="C5550" i="1"/>
  <c r="D5550" i="1"/>
  <c r="C5551" i="1"/>
  <c r="D5551" i="1"/>
  <c r="C5552" i="1"/>
  <c r="D5552" i="1"/>
  <c r="C5553" i="1"/>
  <c r="D5553" i="1"/>
  <c r="C5554" i="1"/>
  <c r="D5554" i="1"/>
  <c r="C5555" i="1"/>
  <c r="D5555" i="1"/>
  <c r="C5556" i="1"/>
  <c r="D5556" i="1"/>
  <c r="C5557" i="1"/>
  <c r="D5557" i="1"/>
  <c r="C5558" i="1"/>
  <c r="D5558" i="1"/>
  <c r="C5559" i="1"/>
  <c r="D5559" i="1"/>
  <c r="C5560" i="1"/>
  <c r="D5560" i="1"/>
  <c r="C5561" i="1"/>
  <c r="D5561" i="1"/>
  <c r="C5562" i="1"/>
  <c r="D5562" i="1"/>
  <c r="C5563" i="1"/>
  <c r="D5563" i="1"/>
  <c r="C5564" i="1"/>
  <c r="D5564" i="1"/>
  <c r="C5565" i="1"/>
  <c r="D5565" i="1"/>
  <c r="C5566" i="1"/>
  <c r="D5566" i="1"/>
  <c r="C5567" i="1"/>
  <c r="D5567" i="1"/>
  <c r="C5568" i="1"/>
  <c r="D5568" i="1"/>
  <c r="C5569" i="1"/>
  <c r="D5569" i="1"/>
  <c r="C5570" i="1"/>
  <c r="D5570" i="1"/>
  <c r="C5571" i="1"/>
  <c r="D5571" i="1"/>
  <c r="C5572" i="1"/>
  <c r="D5572" i="1"/>
  <c r="C5573" i="1"/>
  <c r="D5573" i="1"/>
  <c r="C5574" i="1"/>
  <c r="D5574" i="1"/>
  <c r="C5575" i="1"/>
  <c r="D5575" i="1"/>
  <c r="C5576" i="1"/>
  <c r="D5576" i="1"/>
  <c r="C5577" i="1"/>
  <c r="D5577" i="1"/>
  <c r="C5578" i="1"/>
  <c r="D5578" i="1"/>
  <c r="C5579" i="1"/>
  <c r="D5579" i="1"/>
  <c r="C5580" i="1"/>
  <c r="D5580" i="1"/>
  <c r="C5581" i="1"/>
  <c r="D5581" i="1"/>
  <c r="C5582" i="1"/>
  <c r="D5582" i="1"/>
  <c r="C5583" i="1"/>
  <c r="D5583" i="1"/>
  <c r="C5584" i="1"/>
  <c r="D5584" i="1"/>
  <c r="C5585" i="1"/>
  <c r="D5585" i="1"/>
  <c r="C5586" i="1"/>
  <c r="D5586" i="1"/>
  <c r="C5587" i="1"/>
  <c r="D5587" i="1"/>
  <c r="C5588" i="1"/>
  <c r="D5588" i="1"/>
  <c r="C5589" i="1"/>
  <c r="D5589" i="1"/>
  <c r="C5590" i="1"/>
  <c r="D5590" i="1"/>
  <c r="C5591" i="1"/>
  <c r="D5591" i="1"/>
  <c r="C5592" i="1"/>
  <c r="D5592" i="1"/>
  <c r="C5593" i="1"/>
  <c r="D5593" i="1"/>
  <c r="C5594" i="1"/>
  <c r="D5594" i="1"/>
  <c r="C5595" i="1"/>
  <c r="D5595" i="1"/>
  <c r="C5596" i="1"/>
  <c r="D5596" i="1"/>
  <c r="C5597" i="1"/>
  <c r="D5597" i="1"/>
  <c r="C5598" i="1"/>
  <c r="D5598" i="1"/>
  <c r="C5599" i="1"/>
  <c r="D5599" i="1"/>
  <c r="C5600" i="1"/>
  <c r="D5600" i="1"/>
  <c r="C5601" i="1"/>
  <c r="D5601" i="1"/>
  <c r="C5602" i="1"/>
  <c r="D5602" i="1"/>
  <c r="C5603" i="1"/>
  <c r="D5603" i="1"/>
  <c r="C5604" i="1"/>
  <c r="D5604" i="1"/>
  <c r="C5605" i="1"/>
  <c r="D5605" i="1"/>
  <c r="C5606" i="1"/>
  <c r="D5606" i="1"/>
  <c r="C5607" i="1"/>
  <c r="D5607" i="1"/>
  <c r="C5608" i="1"/>
  <c r="D5608" i="1"/>
  <c r="C5609" i="1"/>
  <c r="D5609" i="1"/>
  <c r="C5610" i="1"/>
  <c r="D5610" i="1"/>
  <c r="C5611" i="1"/>
  <c r="D5611" i="1"/>
  <c r="C5612" i="1"/>
  <c r="D5612" i="1"/>
  <c r="C5613" i="1"/>
  <c r="D5613" i="1"/>
  <c r="C5614" i="1"/>
  <c r="D5614" i="1"/>
  <c r="C5615" i="1"/>
  <c r="D5615" i="1"/>
  <c r="C5616" i="1"/>
  <c r="D5616" i="1"/>
  <c r="C5617" i="1"/>
  <c r="D5617" i="1"/>
  <c r="C5618" i="1"/>
  <c r="D5618" i="1"/>
  <c r="C5619" i="1"/>
  <c r="D5619" i="1"/>
  <c r="C5620" i="1"/>
  <c r="D5620" i="1"/>
  <c r="C5621" i="1"/>
  <c r="D5621" i="1"/>
  <c r="C5622" i="1"/>
  <c r="D5622" i="1"/>
  <c r="C5623" i="1"/>
  <c r="D5623" i="1"/>
  <c r="C5624" i="1"/>
  <c r="D5624" i="1"/>
  <c r="C5625" i="1"/>
  <c r="D5625" i="1"/>
  <c r="C5626" i="1"/>
  <c r="D5626" i="1"/>
  <c r="C5627" i="1"/>
  <c r="D5627" i="1"/>
  <c r="C5628" i="1"/>
  <c r="D5628" i="1"/>
  <c r="C5629" i="1"/>
  <c r="D5629" i="1"/>
  <c r="C5630" i="1"/>
  <c r="D5630" i="1"/>
  <c r="C5631" i="1"/>
  <c r="D5631" i="1"/>
  <c r="C5632" i="1"/>
  <c r="D5632" i="1"/>
  <c r="C5633" i="1"/>
  <c r="D5633" i="1"/>
  <c r="C5634" i="1"/>
  <c r="D5634" i="1"/>
  <c r="C5635" i="1"/>
  <c r="D5635" i="1"/>
  <c r="C5636" i="1"/>
  <c r="D5636" i="1"/>
  <c r="C5637" i="1"/>
  <c r="D5637" i="1"/>
  <c r="C5638" i="1"/>
  <c r="D5638" i="1"/>
  <c r="C5639" i="1"/>
  <c r="D5639" i="1"/>
  <c r="C5640" i="1"/>
  <c r="D5640" i="1"/>
  <c r="C5641" i="1"/>
  <c r="D5641" i="1"/>
  <c r="C5642" i="1"/>
  <c r="D5642" i="1"/>
  <c r="C5643" i="1"/>
  <c r="D5643" i="1"/>
  <c r="C5644" i="1"/>
  <c r="D5644" i="1"/>
  <c r="C5645" i="1"/>
  <c r="D5645" i="1"/>
  <c r="C5646" i="1"/>
  <c r="D5646" i="1"/>
  <c r="C5647" i="1"/>
  <c r="D5647" i="1"/>
  <c r="C5648" i="1"/>
  <c r="D5648" i="1"/>
  <c r="C5649" i="1"/>
  <c r="D5649" i="1"/>
  <c r="C5650" i="1"/>
  <c r="D5650" i="1"/>
  <c r="C5651" i="1"/>
  <c r="D5651" i="1"/>
  <c r="C5652" i="1"/>
  <c r="D5652" i="1"/>
  <c r="C5653" i="1"/>
  <c r="D5653" i="1"/>
  <c r="C5654" i="1"/>
  <c r="D5654" i="1"/>
  <c r="C5655" i="1"/>
  <c r="D5655" i="1"/>
  <c r="C5656" i="1"/>
  <c r="D5656" i="1"/>
  <c r="C5657" i="1"/>
  <c r="D5657" i="1"/>
  <c r="C5658" i="1"/>
  <c r="D5658" i="1"/>
  <c r="C5659" i="1"/>
  <c r="D5659" i="1"/>
  <c r="C5660" i="1"/>
  <c r="D5660" i="1"/>
  <c r="C5661" i="1"/>
  <c r="D5661" i="1"/>
  <c r="C5662" i="1"/>
  <c r="D5662" i="1"/>
  <c r="C5663" i="1"/>
  <c r="D5663" i="1"/>
  <c r="C5664" i="1"/>
  <c r="D5664" i="1"/>
  <c r="C5665" i="1"/>
  <c r="D5665" i="1"/>
  <c r="C5666" i="1"/>
  <c r="D5666" i="1"/>
  <c r="C5667" i="1"/>
  <c r="D5667" i="1"/>
  <c r="C5668" i="1"/>
  <c r="D5668" i="1"/>
  <c r="C5669" i="1"/>
  <c r="D5669" i="1"/>
  <c r="C5670" i="1"/>
  <c r="D5670" i="1"/>
  <c r="C5671" i="1"/>
  <c r="D5671" i="1"/>
  <c r="C5672" i="1"/>
  <c r="D5672" i="1"/>
  <c r="C5673" i="1"/>
  <c r="D5673" i="1"/>
  <c r="C5674" i="1"/>
  <c r="D5674" i="1"/>
  <c r="C5675" i="1"/>
  <c r="D5675" i="1"/>
  <c r="C5676" i="1"/>
  <c r="D5676" i="1"/>
  <c r="C5677" i="1"/>
  <c r="D5677" i="1"/>
  <c r="C5678" i="1"/>
  <c r="D5678" i="1"/>
  <c r="C5679" i="1"/>
  <c r="D5679" i="1"/>
  <c r="C5680" i="1"/>
  <c r="D5680" i="1"/>
  <c r="C5681" i="1"/>
  <c r="D5681" i="1"/>
  <c r="C5682" i="1"/>
  <c r="D5682" i="1"/>
  <c r="C5683" i="1"/>
  <c r="D5683" i="1"/>
  <c r="C5684" i="1"/>
  <c r="D5684" i="1"/>
  <c r="C5685" i="1"/>
  <c r="D5685" i="1"/>
  <c r="C5686" i="1"/>
  <c r="D5686" i="1"/>
  <c r="C5687" i="1"/>
  <c r="D5687" i="1"/>
  <c r="C5688" i="1"/>
  <c r="D5688" i="1"/>
  <c r="C5689" i="1"/>
  <c r="D5689" i="1"/>
  <c r="C5690" i="1"/>
  <c r="D5690" i="1"/>
  <c r="C5691" i="1"/>
  <c r="D5691" i="1"/>
  <c r="C5692" i="1"/>
  <c r="D5692" i="1"/>
  <c r="C5693" i="1"/>
  <c r="D5693" i="1"/>
  <c r="C5694" i="1"/>
  <c r="D5694" i="1"/>
  <c r="C5695" i="1"/>
  <c r="D5695" i="1"/>
  <c r="C5696" i="1"/>
  <c r="D5696" i="1"/>
  <c r="C5697" i="1"/>
  <c r="D5697" i="1"/>
  <c r="C5698" i="1"/>
  <c r="D5698" i="1"/>
  <c r="C5699" i="1"/>
  <c r="D5699" i="1"/>
  <c r="C5700" i="1"/>
  <c r="D5700" i="1"/>
  <c r="C5701" i="1"/>
  <c r="D5701" i="1"/>
  <c r="C5702" i="1"/>
  <c r="D5702" i="1"/>
  <c r="C5703" i="1"/>
  <c r="D5703" i="1"/>
  <c r="C5704" i="1"/>
  <c r="D5704" i="1"/>
  <c r="C5705" i="1"/>
  <c r="D5705" i="1"/>
  <c r="C5706" i="1"/>
  <c r="D5706" i="1"/>
  <c r="C5707" i="1"/>
  <c r="D5707" i="1"/>
  <c r="C5708" i="1"/>
  <c r="D5708" i="1"/>
  <c r="C5709" i="1"/>
  <c r="D5709" i="1"/>
  <c r="C5710" i="1"/>
  <c r="D5710" i="1"/>
  <c r="C5711" i="1"/>
  <c r="D5711" i="1"/>
  <c r="C5712" i="1"/>
  <c r="D5712" i="1"/>
  <c r="C5713" i="1"/>
  <c r="D5713" i="1"/>
  <c r="C5714" i="1"/>
  <c r="D5714" i="1"/>
  <c r="C5715" i="1"/>
  <c r="D5715" i="1"/>
  <c r="C5716" i="1"/>
  <c r="D5716" i="1"/>
  <c r="C5717" i="1"/>
  <c r="D5717" i="1"/>
  <c r="C5718" i="1"/>
  <c r="D5718" i="1"/>
  <c r="C5719" i="1"/>
  <c r="D5719" i="1"/>
  <c r="C5720" i="1"/>
  <c r="D5720" i="1"/>
  <c r="C5721" i="1"/>
  <c r="D5721" i="1"/>
  <c r="C5722" i="1"/>
  <c r="D5722" i="1"/>
  <c r="C5723" i="1"/>
  <c r="D5723" i="1"/>
  <c r="C5724" i="1"/>
  <c r="D5724" i="1"/>
  <c r="C5725" i="1"/>
  <c r="D5725" i="1"/>
  <c r="C5726" i="1"/>
  <c r="D5726" i="1"/>
  <c r="C5727" i="1"/>
  <c r="D5727" i="1"/>
  <c r="C5728" i="1"/>
  <c r="D5728" i="1"/>
  <c r="C5729" i="1"/>
  <c r="D5729" i="1"/>
  <c r="C5730" i="1"/>
  <c r="D5730" i="1"/>
  <c r="C5731" i="1"/>
  <c r="D5731" i="1"/>
  <c r="C5732" i="1"/>
  <c r="D5732" i="1"/>
  <c r="C5733" i="1"/>
  <c r="D5733" i="1"/>
  <c r="C5734" i="1"/>
  <c r="D5734" i="1"/>
  <c r="C5735" i="1"/>
  <c r="D5735" i="1"/>
  <c r="C5736" i="1"/>
  <c r="D5736" i="1"/>
  <c r="C5737" i="1"/>
  <c r="D5737" i="1"/>
  <c r="C5738" i="1"/>
  <c r="D5738" i="1"/>
  <c r="C5739" i="1"/>
  <c r="D5739" i="1"/>
  <c r="C5740" i="1"/>
  <c r="D5740" i="1"/>
  <c r="C5741" i="1"/>
  <c r="D5741" i="1"/>
  <c r="C5742" i="1"/>
  <c r="D5742" i="1"/>
  <c r="C5743" i="1"/>
  <c r="D5743" i="1"/>
  <c r="C5744" i="1"/>
  <c r="D5744" i="1"/>
  <c r="C5745" i="1"/>
  <c r="D5745" i="1"/>
  <c r="C5746" i="1"/>
  <c r="D5746" i="1"/>
  <c r="C5747" i="1"/>
  <c r="D5747" i="1"/>
  <c r="C5748" i="1"/>
  <c r="D5748" i="1"/>
  <c r="C5749" i="1"/>
  <c r="D5749" i="1"/>
  <c r="C5750" i="1"/>
  <c r="D5750" i="1"/>
  <c r="C5751" i="1"/>
  <c r="D5751" i="1"/>
  <c r="C5752" i="1"/>
  <c r="D5752" i="1"/>
  <c r="C5753" i="1"/>
  <c r="D5753" i="1"/>
  <c r="C5754" i="1"/>
  <c r="D5754" i="1"/>
  <c r="C5755" i="1"/>
  <c r="D5755" i="1"/>
  <c r="C5756" i="1"/>
  <c r="D5756" i="1"/>
  <c r="C5757" i="1"/>
  <c r="D5757" i="1"/>
  <c r="C5758" i="1"/>
  <c r="D5758" i="1"/>
  <c r="C5759" i="1"/>
  <c r="D5759" i="1"/>
  <c r="C5760" i="1"/>
  <c r="D5760" i="1"/>
  <c r="C5761" i="1"/>
  <c r="D5761" i="1"/>
  <c r="C5762" i="1"/>
  <c r="D5762" i="1"/>
  <c r="C5763" i="1"/>
  <c r="D5763" i="1"/>
  <c r="C5764" i="1"/>
  <c r="D5764" i="1"/>
  <c r="C5765" i="1"/>
  <c r="D5765" i="1"/>
  <c r="C5766" i="1"/>
  <c r="D5766" i="1"/>
  <c r="C5767" i="1"/>
  <c r="D5767" i="1"/>
  <c r="C5768" i="1"/>
  <c r="D5768" i="1"/>
  <c r="C5769" i="1"/>
  <c r="D5769" i="1"/>
  <c r="C5770" i="1"/>
  <c r="D5770" i="1"/>
  <c r="C5771" i="1"/>
  <c r="D5771" i="1"/>
  <c r="C5772" i="1"/>
  <c r="D5772" i="1"/>
  <c r="C5773" i="1"/>
  <c r="D5773" i="1"/>
  <c r="C5774" i="1"/>
  <c r="D5774" i="1"/>
  <c r="C5775" i="1"/>
  <c r="D5775" i="1"/>
  <c r="C5776" i="1"/>
  <c r="D5776" i="1"/>
  <c r="C5777" i="1"/>
  <c r="D5777" i="1"/>
  <c r="C5778" i="1"/>
  <c r="D5778" i="1"/>
  <c r="C5779" i="1"/>
  <c r="D5779" i="1"/>
  <c r="C5780" i="1"/>
  <c r="D5780" i="1"/>
  <c r="C5781" i="1"/>
  <c r="D5781" i="1"/>
  <c r="C5782" i="1"/>
  <c r="D5782" i="1"/>
  <c r="C5783" i="1"/>
  <c r="D5783" i="1"/>
  <c r="C5784" i="1"/>
  <c r="D5784" i="1"/>
  <c r="C5785" i="1"/>
  <c r="D5785" i="1"/>
  <c r="C5786" i="1"/>
  <c r="D5786" i="1"/>
  <c r="C5787" i="1"/>
  <c r="D5787" i="1"/>
  <c r="C5788" i="1"/>
  <c r="D5788" i="1"/>
  <c r="C5789" i="1"/>
  <c r="D5789" i="1"/>
  <c r="C5790" i="1"/>
  <c r="D5790" i="1"/>
  <c r="C5791" i="1"/>
  <c r="D5791" i="1"/>
  <c r="C5792" i="1"/>
  <c r="D5792" i="1"/>
  <c r="C5793" i="1"/>
  <c r="D5793" i="1"/>
  <c r="C5794" i="1"/>
  <c r="D5794" i="1"/>
  <c r="C5795" i="1"/>
  <c r="D5795" i="1"/>
  <c r="C5796" i="1"/>
  <c r="D5796" i="1"/>
  <c r="C5797" i="1"/>
  <c r="D5797" i="1"/>
  <c r="C5798" i="1"/>
  <c r="D5798" i="1"/>
  <c r="C5799" i="1"/>
  <c r="D5799" i="1"/>
  <c r="C5800" i="1"/>
  <c r="D5800" i="1"/>
  <c r="C5801" i="1"/>
  <c r="D5801" i="1"/>
  <c r="C5802" i="1"/>
  <c r="D5802" i="1"/>
  <c r="C5803" i="1"/>
  <c r="D5803" i="1"/>
  <c r="C5804" i="1"/>
  <c r="D5804" i="1"/>
  <c r="C5805" i="1"/>
  <c r="D5805" i="1"/>
  <c r="C5806" i="1"/>
  <c r="D5806" i="1"/>
  <c r="C5807" i="1"/>
  <c r="D5807" i="1"/>
  <c r="C5808" i="1"/>
  <c r="D5808" i="1"/>
  <c r="C5809" i="1"/>
  <c r="D5809" i="1"/>
  <c r="C5810" i="1"/>
  <c r="D5810" i="1"/>
  <c r="C5811" i="1"/>
  <c r="D5811" i="1"/>
  <c r="C5812" i="1"/>
  <c r="D5812" i="1"/>
  <c r="C5813" i="1"/>
  <c r="D5813" i="1"/>
  <c r="C5814" i="1"/>
  <c r="D5814" i="1"/>
  <c r="C5815" i="1"/>
  <c r="D5815" i="1"/>
  <c r="C5816" i="1"/>
  <c r="D5816" i="1"/>
  <c r="C5817" i="1"/>
  <c r="D5817" i="1"/>
  <c r="C5818" i="1"/>
  <c r="D5818" i="1"/>
  <c r="C5819" i="1"/>
  <c r="D5819" i="1"/>
  <c r="C5820" i="1"/>
  <c r="D5820" i="1"/>
  <c r="C5821" i="1"/>
  <c r="D5821" i="1"/>
  <c r="C5822" i="1"/>
  <c r="D5822" i="1"/>
  <c r="C5823" i="1"/>
  <c r="D5823" i="1"/>
  <c r="C5824" i="1"/>
  <c r="D5824" i="1"/>
  <c r="C5825" i="1"/>
  <c r="D5825" i="1"/>
  <c r="C5826" i="1"/>
  <c r="D5826" i="1"/>
  <c r="C5827" i="1"/>
  <c r="D5827" i="1"/>
  <c r="C5828" i="1"/>
  <c r="D5828" i="1"/>
  <c r="C5829" i="1"/>
  <c r="D5829" i="1"/>
  <c r="C5830" i="1"/>
  <c r="D5830" i="1"/>
  <c r="C5831" i="1"/>
  <c r="D5831" i="1"/>
  <c r="C5832" i="1"/>
  <c r="D5832" i="1"/>
  <c r="C5833" i="1"/>
  <c r="D5833" i="1"/>
  <c r="C5834" i="1"/>
  <c r="D5834" i="1"/>
  <c r="C5835" i="1"/>
  <c r="D5835" i="1"/>
  <c r="C5836" i="1"/>
  <c r="D5836" i="1"/>
  <c r="C5837" i="1"/>
  <c r="D5837" i="1"/>
  <c r="C5838" i="1"/>
  <c r="D5838" i="1"/>
  <c r="C5839" i="1"/>
  <c r="D5839" i="1"/>
  <c r="C5840" i="1"/>
  <c r="D5840" i="1"/>
  <c r="C5841" i="1"/>
  <c r="D5841" i="1"/>
  <c r="C5842" i="1"/>
  <c r="D5842" i="1"/>
  <c r="C5843" i="1"/>
  <c r="D5843" i="1"/>
  <c r="C5844" i="1"/>
  <c r="D5844" i="1"/>
  <c r="C5845" i="1"/>
  <c r="D5845" i="1"/>
  <c r="C5846" i="1"/>
  <c r="D5846" i="1"/>
  <c r="C5847" i="1"/>
  <c r="D5847" i="1"/>
  <c r="C5848" i="1"/>
  <c r="D5848" i="1"/>
  <c r="C5849" i="1"/>
  <c r="D5849" i="1"/>
  <c r="C5850" i="1"/>
  <c r="D5850" i="1"/>
  <c r="C5851" i="1"/>
  <c r="D5851" i="1"/>
  <c r="C5852" i="1"/>
  <c r="D5852" i="1"/>
  <c r="C5853" i="1"/>
  <c r="D5853" i="1"/>
  <c r="C5854" i="1"/>
  <c r="D5854" i="1"/>
  <c r="C5855" i="1"/>
  <c r="D5855" i="1"/>
  <c r="C5856" i="1"/>
  <c r="D5856" i="1"/>
  <c r="C5857" i="1"/>
  <c r="D5857" i="1"/>
  <c r="C5858" i="1"/>
  <c r="D5858" i="1"/>
  <c r="C5859" i="1"/>
  <c r="D5859" i="1"/>
  <c r="C5860" i="1"/>
  <c r="D5860" i="1"/>
  <c r="C5861" i="1"/>
  <c r="D5861" i="1"/>
  <c r="C5862" i="1"/>
  <c r="D5862" i="1"/>
  <c r="C5863" i="1"/>
  <c r="D5863" i="1"/>
  <c r="C5864" i="1"/>
  <c r="D5864" i="1"/>
  <c r="C5865" i="1"/>
  <c r="D5865" i="1"/>
  <c r="C5866" i="1"/>
  <c r="D5866" i="1"/>
  <c r="C5867" i="1"/>
  <c r="D5867" i="1"/>
  <c r="C5868" i="1"/>
  <c r="D5868" i="1"/>
  <c r="C5869" i="1"/>
  <c r="D5869" i="1"/>
  <c r="C5870" i="1"/>
  <c r="D5870" i="1"/>
  <c r="C5871" i="1"/>
  <c r="D5871" i="1"/>
  <c r="C5872" i="1"/>
  <c r="D5872" i="1"/>
  <c r="C5873" i="1"/>
  <c r="D5873" i="1"/>
  <c r="C5874" i="1"/>
  <c r="D5874" i="1"/>
  <c r="C5875" i="1"/>
  <c r="D5875" i="1"/>
  <c r="C5876" i="1"/>
  <c r="D5876" i="1"/>
  <c r="C5877" i="1"/>
  <c r="D5877" i="1"/>
  <c r="C5878" i="1"/>
  <c r="D5878" i="1"/>
  <c r="C5879" i="1"/>
  <c r="D5879" i="1"/>
  <c r="C5880" i="1"/>
  <c r="D5880" i="1"/>
  <c r="C5881" i="1"/>
  <c r="D5881" i="1"/>
  <c r="C5882" i="1"/>
  <c r="D5882" i="1"/>
  <c r="C5883" i="1"/>
  <c r="D5883" i="1"/>
  <c r="C5884" i="1"/>
  <c r="D5884" i="1"/>
  <c r="C5885" i="1"/>
  <c r="D5885" i="1"/>
  <c r="C5886" i="1"/>
  <c r="D5886" i="1"/>
  <c r="C5887" i="1"/>
  <c r="D5887" i="1"/>
  <c r="C5888" i="1"/>
  <c r="D5888" i="1"/>
  <c r="C5889" i="1"/>
  <c r="D5889" i="1"/>
  <c r="C5890" i="1"/>
  <c r="D5890" i="1"/>
  <c r="C5891" i="1"/>
  <c r="D5891" i="1"/>
  <c r="C5892" i="1"/>
  <c r="D5892" i="1"/>
  <c r="C5893" i="1"/>
  <c r="D5893" i="1"/>
  <c r="C5894" i="1"/>
  <c r="D5894" i="1"/>
  <c r="C5895" i="1"/>
  <c r="D5895" i="1"/>
  <c r="C5896" i="1"/>
  <c r="D5896" i="1"/>
  <c r="C5897" i="1"/>
  <c r="D5897" i="1"/>
  <c r="C5898" i="1"/>
  <c r="D5898" i="1"/>
  <c r="C5899" i="1"/>
  <c r="D5899" i="1"/>
  <c r="C5900" i="1"/>
  <c r="D5900" i="1"/>
  <c r="C5901" i="1"/>
  <c r="D5901" i="1"/>
  <c r="C5902" i="1"/>
  <c r="D5902" i="1"/>
  <c r="C5903" i="1"/>
  <c r="D5903" i="1"/>
  <c r="C5904" i="1"/>
  <c r="D5904" i="1"/>
  <c r="C5905" i="1"/>
  <c r="D5905" i="1"/>
  <c r="C5906" i="1"/>
  <c r="D5906" i="1"/>
  <c r="C5907" i="1"/>
  <c r="D5907" i="1"/>
  <c r="C5908" i="1"/>
  <c r="D5908" i="1"/>
  <c r="C5909" i="1"/>
  <c r="D5909" i="1"/>
  <c r="C5910" i="1"/>
  <c r="D5910" i="1"/>
  <c r="C5911" i="1"/>
  <c r="D5911" i="1"/>
  <c r="C5912" i="1"/>
  <c r="D5912" i="1"/>
  <c r="C5913" i="1"/>
  <c r="D5913" i="1"/>
  <c r="C5914" i="1"/>
  <c r="D5914" i="1"/>
  <c r="C5915" i="1"/>
  <c r="D5915" i="1"/>
  <c r="C5916" i="1"/>
  <c r="D5916" i="1"/>
  <c r="C5917" i="1"/>
  <c r="D5917" i="1"/>
  <c r="C5918" i="1"/>
  <c r="D5918" i="1"/>
  <c r="C5919" i="1"/>
  <c r="D5919" i="1"/>
  <c r="C5920" i="1"/>
  <c r="D5920" i="1"/>
  <c r="C5921" i="1"/>
  <c r="D5921" i="1"/>
  <c r="C5922" i="1"/>
  <c r="D5922" i="1"/>
  <c r="C5923" i="1"/>
  <c r="D5923" i="1"/>
  <c r="C5924" i="1"/>
  <c r="D5924" i="1"/>
  <c r="C5925" i="1"/>
  <c r="D5925" i="1"/>
  <c r="C5926" i="1"/>
  <c r="D5926" i="1"/>
  <c r="C5927" i="1"/>
  <c r="D5927" i="1"/>
  <c r="C5928" i="1"/>
  <c r="D5928" i="1"/>
  <c r="C5929" i="1"/>
  <c r="D5929" i="1"/>
  <c r="C5930" i="1"/>
  <c r="D5930" i="1"/>
  <c r="C5931" i="1"/>
  <c r="D5931" i="1"/>
  <c r="C5932" i="1"/>
  <c r="D5932" i="1"/>
  <c r="C5933" i="1"/>
  <c r="D5933" i="1"/>
  <c r="C5934" i="1"/>
  <c r="D5934" i="1"/>
  <c r="C5935" i="1"/>
  <c r="D5935" i="1"/>
  <c r="C5936" i="1"/>
  <c r="D5936" i="1"/>
  <c r="C5937" i="1"/>
  <c r="D5937" i="1"/>
  <c r="C5938" i="1"/>
  <c r="D5938" i="1"/>
  <c r="C5939" i="1"/>
  <c r="D5939" i="1"/>
  <c r="C5940" i="1"/>
  <c r="D5940" i="1"/>
  <c r="C5941" i="1"/>
  <c r="D5941" i="1"/>
  <c r="C5942" i="1"/>
  <c r="D5942" i="1"/>
  <c r="C5943" i="1"/>
  <c r="D5943" i="1"/>
  <c r="C5944" i="1"/>
  <c r="D5944" i="1"/>
  <c r="C5945" i="1"/>
  <c r="D5945" i="1"/>
  <c r="C5946" i="1"/>
  <c r="D5946" i="1"/>
  <c r="C5947" i="1"/>
  <c r="D5947" i="1"/>
  <c r="C5948" i="1"/>
  <c r="D5948" i="1"/>
  <c r="C5949" i="1"/>
  <c r="D5949" i="1"/>
  <c r="C5950" i="1"/>
  <c r="D5950" i="1"/>
  <c r="C5951" i="1"/>
  <c r="D5951" i="1"/>
  <c r="C5952" i="1"/>
  <c r="D5952" i="1"/>
  <c r="C5953" i="1"/>
  <c r="D5953" i="1"/>
  <c r="C5954" i="1"/>
  <c r="D5954" i="1"/>
  <c r="C5955" i="1"/>
  <c r="D5955" i="1"/>
  <c r="C5956" i="1"/>
  <c r="D5956" i="1"/>
  <c r="C5957" i="1"/>
  <c r="D5957" i="1"/>
  <c r="C5958" i="1"/>
  <c r="D5958" i="1"/>
  <c r="C5959" i="1"/>
  <c r="D5959" i="1"/>
  <c r="C5960" i="1"/>
  <c r="D5960" i="1"/>
  <c r="C5961" i="1"/>
  <c r="D5961" i="1"/>
  <c r="C5962" i="1"/>
  <c r="D5962" i="1"/>
  <c r="C5963" i="1"/>
  <c r="D5963" i="1"/>
  <c r="C5964" i="1"/>
  <c r="D5964" i="1"/>
  <c r="C5965" i="1"/>
  <c r="D5965" i="1"/>
  <c r="C5966" i="1"/>
  <c r="D5966" i="1"/>
  <c r="C5967" i="1"/>
  <c r="D5967" i="1"/>
  <c r="C5968" i="1"/>
  <c r="D5968" i="1"/>
  <c r="C5969" i="1"/>
  <c r="D5969" i="1"/>
  <c r="C5970" i="1"/>
  <c r="D5970" i="1"/>
  <c r="C5971" i="1"/>
  <c r="D5971" i="1"/>
  <c r="C5972" i="1"/>
  <c r="D5972" i="1"/>
  <c r="C5973" i="1"/>
  <c r="D5973" i="1"/>
  <c r="C5974" i="1"/>
  <c r="D5974" i="1"/>
  <c r="C5975" i="1"/>
  <c r="D5975" i="1"/>
  <c r="C5976" i="1"/>
  <c r="D5976" i="1"/>
  <c r="C5977" i="1"/>
  <c r="D5977" i="1"/>
  <c r="C5978" i="1"/>
  <c r="D5978" i="1"/>
  <c r="C5979" i="1"/>
  <c r="D5979" i="1"/>
  <c r="C5980" i="1"/>
  <c r="D5980" i="1"/>
  <c r="C5981" i="1"/>
  <c r="D5981" i="1"/>
  <c r="C5982" i="1"/>
  <c r="D5982" i="1"/>
  <c r="C5983" i="1"/>
  <c r="D5983" i="1"/>
  <c r="C5984" i="1"/>
  <c r="D5984" i="1"/>
  <c r="C5985" i="1"/>
  <c r="D5985" i="1"/>
  <c r="C5986" i="1"/>
  <c r="D5986" i="1"/>
  <c r="C5987" i="1"/>
  <c r="D5987" i="1"/>
  <c r="C5988" i="1"/>
  <c r="D5988" i="1"/>
  <c r="C5989" i="1"/>
  <c r="D5989" i="1"/>
  <c r="C5990" i="1"/>
  <c r="D5990" i="1"/>
  <c r="C5991" i="1"/>
  <c r="D5991" i="1"/>
  <c r="C5992" i="1"/>
  <c r="D5992" i="1"/>
  <c r="C5993" i="1"/>
  <c r="D5993" i="1"/>
  <c r="C5994" i="1"/>
  <c r="D5994" i="1"/>
  <c r="C5995" i="1"/>
  <c r="D5995" i="1"/>
  <c r="C5996" i="1"/>
  <c r="D5996" i="1"/>
  <c r="C5997" i="1"/>
  <c r="D5997" i="1"/>
  <c r="C5998" i="1"/>
  <c r="D5998" i="1"/>
  <c r="C5999" i="1"/>
  <c r="D5999" i="1"/>
  <c r="C6000" i="1"/>
  <c r="D6000" i="1"/>
  <c r="C6001" i="1"/>
  <c r="D6001" i="1"/>
  <c r="C6002" i="1"/>
  <c r="D6002" i="1"/>
  <c r="C6003" i="1"/>
  <c r="D6003" i="1"/>
  <c r="C6004" i="1"/>
  <c r="D6004" i="1"/>
  <c r="C6005" i="1"/>
  <c r="D6005" i="1"/>
  <c r="C6006" i="1"/>
  <c r="D6006" i="1"/>
  <c r="C6007" i="1"/>
  <c r="D6007" i="1"/>
  <c r="C6008" i="1"/>
  <c r="D6008" i="1"/>
  <c r="C6009" i="1"/>
  <c r="D6009" i="1"/>
  <c r="C6010" i="1"/>
  <c r="D6010" i="1"/>
  <c r="C6011" i="1"/>
  <c r="D6011" i="1"/>
  <c r="C6012" i="1"/>
  <c r="D6012" i="1"/>
  <c r="C6013" i="1"/>
  <c r="D6013" i="1"/>
  <c r="C6014" i="1"/>
  <c r="D6014" i="1"/>
  <c r="C6015" i="1"/>
  <c r="D6015" i="1"/>
  <c r="C6016" i="1"/>
  <c r="D6016" i="1"/>
  <c r="C6017" i="1"/>
  <c r="D6017" i="1"/>
  <c r="C6018" i="1"/>
  <c r="D6018" i="1"/>
  <c r="C6019" i="1"/>
  <c r="D6019" i="1"/>
  <c r="C6020" i="1"/>
  <c r="D6020" i="1"/>
  <c r="C6021" i="1"/>
  <c r="D6021" i="1"/>
  <c r="C6022" i="1"/>
  <c r="D6022" i="1"/>
  <c r="C6023" i="1"/>
  <c r="D6023" i="1"/>
  <c r="C6024" i="1"/>
  <c r="D6024" i="1"/>
  <c r="C6025" i="1"/>
  <c r="D6025" i="1"/>
  <c r="C6026" i="1"/>
  <c r="D6026" i="1"/>
  <c r="C6027" i="1"/>
  <c r="D6027" i="1"/>
  <c r="C6028" i="1"/>
  <c r="D6028" i="1"/>
  <c r="C6029" i="1"/>
  <c r="D6029" i="1"/>
  <c r="C6030" i="1"/>
  <c r="D6030" i="1"/>
  <c r="C6031" i="1"/>
  <c r="D6031" i="1"/>
  <c r="C6032" i="1"/>
  <c r="D6032" i="1"/>
  <c r="C6033" i="1"/>
  <c r="D6033" i="1"/>
  <c r="C6034" i="1"/>
  <c r="D6034" i="1"/>
  <c r="C6035" i="1"/>
  <c r="D6035" i="1"/>
  <c r="C6036" i="1"/>
  <c r="D6036" i="1"/>
  <c r="C6037" i="1"/>
  <c r="D6037" i="1"/>
  <c r="C6038" i="1"/>
  <c r="D6038" i="1"/>
  <c r="C6039" i="1"/>
  <c r="D6039" i="1"/>
  <c r="C6040" i="1"/>
  <c r="D6040" i="1"/>
  <c r="C6041" i="1"/>
  <c r="D6041" i="1"/>
  <c r="C6042" i="1"/>
  <c r="D6042" i="1"/>
  <c r="C6043" i="1"/>
  <c r="D6043" i="1"/>
  <c r="C6044" i="1"/>
  <c r="D6044" i="1"/>
  <c r="C6045" i="1"/>
  <c r="D6045" i="1"/>
  <c r="C6046" i="1"/>
  <c r="D6046" i="1"/>
  <c r="C6047" i="1"/>
  <c r="D6047" i="1"/>
  <c r="C6048" i="1"/>
  <c r="D6048" i="1"/>
  <c r="C6049" i="1"/>
  <c r="D6049" i="1"/>
  <c r="C6050" i="1"/>
  <c r="D6050" i="1"/>
  <c r="C6051" i="1"/>
  <c r="D6051" i="1"/>
  <c r="C6052" i="1"/>
  <c r="D6052" i="1"/>
  <c r="C6053" i="1"/>
  <c r="D6053" i="1"/>
  <c r="C6054" i="1"/>
  <c r="D6054" i="1"/>
  <c r="C6055" i="1"/>
  <c r="D6055" i="1"/>
  <c r="C6056" i="1"/>
  <c r="D6056" i="1"/>
  <c r="C6057" i="1"/>
  <c r="D6057" i="1"/>
  <c r="C6058" i="1"/>
  <c r="D6058" i="1"/>
  <c r="C6059" i="1"/>
  <c r="D6059" i="1"/>
  <c r="C6060" i="1"/>
  <c r="D6060" i="1"/>
  <c r="C6061" i="1"/>
  <c r="D6061" i="1"/>
  <c r="C6062" i="1"/>
  <c r="D6062" i="1"/>
  <c r="C6063" i="1"/>
  <c r="D6063" i="1"/>
  <c r="C6064" i="1"/>
  <c r="D6064" i="1"/>
  <c r="C6065" i="1"/>
  <c r="D6065" i="1"/>
  <c r="C6066" i="1"/>
  <c r="D6066" i="1"/>
  <c r="C6067" i="1"/>
  <c r="D6067" i="1"/>
  <c r="C6068" i="1"/>
  <c r="D6068" i="1"/>
  <c r="C6069" i="1"/>
  <c r="D6069" i="1"/>
  <c r="C6070" i="1"/>
  <c r="D6070" i="1"/>
  <c r="C6071" i="1"/>
  <c r="D6071" i="1"/>
  <c r="C6072" i="1"/>
  <c r="D6072" i="1"/>
  <c r="C6073" i="1"/>
  <c r="D6073" i="1"/>
  <c r="C6074" i="1"/>
  <c r="D6074" i="1"/>
  <c r="C6075" i="1"/>
  <c r="D6075" i="1"/>
  <c r="C6076" i="1"/>
  <c r="D6076" i="1"/>
  <c r="C6077" i="1"/>
  <c r="D6077" i="1"/>
  <c r="C6078" i="1"/>
  <c r="D6078" i="1"/>
  <c r="C6079" i="1"/>
  <c r="D6079" i="1"/>
  <c r="C6080" i="1"/>
  <c r="D6080" i="1"/>
  <c r="C6081" i="1"/>
  <c r="D6081" i="1"/>
  <c r="C6082" i="1"/>
  <c r="D6082" i="1"/>
  <c r="C6083" i="1"/>
  <c r="D6083" i="1"/>
  <c r="C6084" i="1"/>
  <c r="D6084" i="1"/>
  <c r="C6085" i="1"/>
  <c r="D6085" i="1"/>
  <c r="C6086" i="1"/>
  <c r="D6086" i="1"/>
  <c r="C6087" i="1"/>
  <c r="D6087" i="1"/>
  <c r="C6088" i="1"/>
  <c r="D6088" i="1"/>
  <c r="C6089" i="1"/>
  <c r="D6089" i="1"/>
  <c r="C6090" i="1"/>
  <c r="D6090" i="1"/>
  <c r="C6091" i="1"/>
  <c r="D6091" i="1"/>
  <c r="C6092" i="1"/>
  <c r="D6092" i="1"/>
  <c r="C6093" i="1"/>
  <c r="D6093" i="1"/>
  <c r="C6094" i="1"/>
  <c r="D6094" i="1"/>
  <c r="C6095" i="1"/>
  <c r="D6095" i="1"/>
  <c r="C6096" i="1"/>
  <c r="D6096" i="1"/>
  <c r="C6097" i="1"/>
  <c r="D6097" i="1"/>
  <c r="C6098" i="1"/>
  <c r="D6098" i="1"/>
  <c r="C6099" i="1"/>
  <c r="D6099" i="1"/>
  <c r="C6100" i="1"/>
  <c r="D6100" i="1"/>
  <c r="C6101" i="1"/>
  <c r="D6101" i="1"/>
  <c r="C6102" i="1"/>
  <c r="D6102" i="1"/>
  <c r="C6103" i="1"/>
  <c r="D6103" i="1"/>
  <c r="C6104" i="1"/>
  <c r="D6104" i="1"/>
  <c r="C6105" i="1"/>
  <c r="D6105" i="1"/>
  <c r="C6106" i="1"/>
  <c r="D6106" i="1"/>
  <c r="C6107" i="1"/>
  <c r="D6107" i="1"/>
  <c r="C6108" i="1"/>
  <c r="D6108" i="1"/>
  <c r="C6109" i="1"/>
  <c r="D6109" i="1"/>
  <c r="C6110" i="1"/>
  <c r="D6110" i="1"/>
  <c r="C6111" i="1"/>
  <c r="D6111" i="1"/>
  <c r="C6112" i="1"/>
  <c r="D6112" i="1"/>
  <c r="C6113" i="1"/>
  <c r="D6113" i="1"/>
  <c r="C6114" i="1"/>
  <c r="D6114" i="1"/>
  <c r="C6115" i="1"/>
  <c r="D6115" i="1"/>
  <c r="C6116" i="1"/>
  <c r="D6116" i="1"/>
  <c r="C6117" i="1"/>
  <c r="D6117" i="1"/>
  <c r="C6118" i="1"/>
  <c r="D6118" i="1"/>
  <c r="C6119" i="1"/>
  <c r="D6119" i="1"/>
  <c r="C6120" i="1"/>
  <c r="D6120" i="1"/>
  <c r="C6121" i="1"/>
  <c r="D6121" i="1"/>
  <c r="C6122" i="1"/>
  <c r="D6122" i="1"/>
  <c r="C6123" i="1"/>
  <c r="D6123" i="1"/>
  <c r="C6124" i="1"/>
  <c r="D6124" i="1"/>
  <c r="C6125" i="1"/>
  <c r="D6125" i="1"/>
  <c r="C6126" i="1"/>
  <c r="D6126" i="1"/>
  <c r="C6127" i="1"/>
  <c r="D6127" i="1"/>
  <c r="C6128" i="1"/>
  <c r="D6128" i="1"/>
  <c r="C6129" i="1"/>
  <c r="D6129" i="1"/>
  <c r="C6130" i="1"/>
  <c r="D6130" i="1"/>
  <c r="C6131" i="1"/>
  <c r="D6131" i="1"/>
  <c r="C6132" i="1"/>
  <c r="D6132" i="1"/>
  <c r="C6133" i="1"/>
  <c r="D6133" i="1"/>
  <c r="C6134" i="1"/>
  <c r="D6134" i="1"/>
  <c r="C6135" i="1"/>
  <c r="D6135" i="1"/>
  <c r="C6136" i="1"/>
  <c r="D6136" i="1"/>
  <c r="C6137" i="1"/>
  <c r="D6137" i="1"/>
  <c r="C6138" i="1"/>
  <c r="D6138" i="1"/>
  <c r="C6139" i="1"/>
  <c r="D6139" i="1"/>
  <c r="C6140" i="1"/>
  <c r="D6140" i="1"/>
  <c r="C6141" i="1"/>
  <c r="D6141" i="1"/>
  <c r="C6142" i="1"/>
  <c r="D6142" i="1"/>
  <c r="C6143" i="1"/>
  <c r="D6143" i="1"/>
  <c r="C6144" i="1"/>
  <c r="D6144" i="1"/>
  <c r="C6145" i="1"/>
  <c r="D6145" i="1"/>
  <c r="C6146" i="1"/>
  <c r="D6146" i="1"/>
  <c r="C6147" i="1"/>
  <c r="D6147" i="1"/>
  <c r="C6148" i="1"/>
  <c r="D6148" i="1"/>
  <c r="C6149" i="1"/>
  <c r="D6149" i="1"/>
  <c r="C6150" i="1"/>
  <c r="D6150" i="1"/>
  <c r="C6151" i="1"/>
  <c r="D6151" i="1"/>
  <c r="C6152" i="1"/>
  <c r="D6152" i="1"/>
  <c r="C6153" i="1"/>
  <c r="D6153" i="1"/>
  <c r="C6154" i="1"/>
  <c r="D6154" i="1"/>
  <c r="C6155" i="1"/>
  <c r="D6155" i="1"/>
  <c r="C6156" i="1"/>
  <c r="D6156" i="1"/>
  <c r="C6157" i="1"/>
  <c r="D6157" i="1"/>
  <c r="C6158" i="1"/>
  <c r="D6158" i="1"/>
  <c r="C6159" i="1"/>
  <c r="D6159" i="1"/>
  <c r="C6160" i="1"/>
  <c r="D6160" i="1"/>
  <c r="C6161" i="1"/>
  <c r="D6161" i="1"/>
  <c r="C6162" i="1"/>
  <c r="D6162" i="1"/>
  <c r="C6163" i="1"/>
  <c r="D6163" i="1"/>
  <c r="C6164" i="1"/>
  <c r="D6164" i="1"/>
  <c r="C6165" i="1"/>
  <c r="D6165" i="1"/>
  <c r="C6166" i="1"/>
  <c r="D6166" i="1"/>
  <c r="C6167" i="1"/>
  <c r="D6167" i="1"/>
  <c r="C6168" i="1"/>
  <c r="D6168" i="1"/>
  <c r="C6169" i="1"/>
  <c r="D6169" i="1"/>
  <c r="C6170" i="1"/>
  <c r="D6170" i="1"/>
  <c r="C6171" i="1"/>
  <c r="D6171" i="1"/>
  <c r="C6172" i="1"/>
  <c r="D6172" i="1"/>
  <c r="C6173" i="1"/>
  <c r="D6173" i="1"/>
  <c r="C6174" i="1"/>
  <c r="D6174" i="1"/>
  <c r="C6175" i="1"/>
  <c r="D6175" i="1"/>
  <c r="C6176" i="1"/>
  <c r="D6176" i="1"/>
  <c r="C6177" i="1"/>
  <c r="D6177" i="1"/>
  <c r="C6178" i="1"/>
  <c r="D6178" i="1"/>
  <c r="C6179" i="1"/>
  <c r="D6179" i="1"/>
  <c r="C6180" i="1"/>
  <c r="D6180" i="1"/>
  <c r="C6181" i="1"/>
  <c r="D6181" i="1"/>
  <c r="C6182" i="1"/>
  <c r="D6182" i="1"/>
  <c r="C6183" i="1"/>
  <c r="D6183" i="1"/>
  <c r="C6184" i="1"/>
  <c r="D6184" i="1"/>
  <c r="C6185" i="1"/>
  <c r="D6185" i="1"/>
  <c r="C6186" i="1"/>
  <c r="D6186" i="1"/>
  <c r="C6187" i="1"/>
  <c r="D6187" i="1"/>
  <c r="C6188" i="1"/>
  <c r="D6188" i="1"/>
  <c r="C6189" i="1"/>
  <c r="D6189" i="1"/>
  <c r="C6190" i="1"/>
  <c r="D6190" i="1"/>
  <c r="C6191" i="1"/>
  <c r="D6191" i="1"/>
  <c r="C6192" i="1"/>
  <c r="D6192" i="1"/>
  <c r="C6193" i="1"/>
  <c r="D6193" i="1"/>
  <c r="C6194" i="1"/>
  <c r="D6194" i="1"/>
  <c r="C6195" i="1"/>
  <c r="D6195" i="1"/>
  <c r="C6196" i="1"/>
  <c r="D6196" i="1"/>
  <c r="C6197" i="1"/>
  <c r="D6197" i="1"/>
  <c r="C6198" i="1"/>
  <c r="D6198" i="1"/>
  <c r="C6199" i="1"/>
  <c r="D6199" i="1"/>
  <c r="C6200" i="1"/>
  <c r="D6200" i="1"/>
  <c r="C6201" i="1"/>
  <c r="D6201" i="1"/>
  <c r="C6202" i="1"/>
  <c r="D6202" i="1"/>
  <c r="C6203" i="1"/>
  <c r="D6203" i="1"/>
  <c r="C6204" i="1"/>
  <c r="D6204" i="1"/>
  <c r="C6205" i="1"/>
  <c r="D6205" i="1"/>
  <c r="C6206" i="1"/>
  <c r="D6206" i="1"/>
  <c r="C6207" i="1"/>
  <c r="D6207" i="1"/>
  <c r="C6208" i="1"/>
  <c r="D6208" i="1"/>
  <c r="C6209" i="1"/>
  <c r="D6209" i="1"/>
  <c r="C6210" i="1"/>
  <c r="D6210" i="1"/>
  <c r="C6211" i="1"/>
  <c r="D6211" i="1"/>
  <c r="C6212" i="1"/>
  <c r="D6212" i="1"/>
  <c r="C6213" i="1"/>
  <c r="D6213" i="1"/>
  <c r="C6214" i="1"/>
  <c r="D6214" i="1"/>
  <c r="C6215" i="1"/>
  <c r="D6215" i="1"/>
  <c r="C6216" i="1"/>
  <c r="D6216" i="1"/>
  <c r="C6217" i="1"/>
  <c r="D6217" i="1"/>
  <c r="C6218" i="1"/>
  <c r="D6218" i="1"/>
  <c r="C6219" i="1"/>
  <c r="D6219" i="1"/>
  <c r="C6220" i="1"/>
  <c r="D6220" i="1"/>
  <c r="C6221" i="1"/>
  <c r="D6221" i="1"/>
  <c r="C6222" i="1"/>
  <c r="D6222" i="1"/>
  <c r="C6223" i="1"/>
  <c r="D6223" i="1"/>
  <c r="C6224" i="1"/>
  <c r="D6224" i="1"/>
  <c r="C6225" i="1"/>
  <c r="D6225" i="1"/>
  <c r="C6226" i="1"/>
  <c r="D6226" i="1"/>
  <c r="C6227" i="1"/>
  <c r="D6227" i="1"/>
  <c r="C6228" i="1"/>
  <c r="D6228" i="1"/>
  <c r="C6229" i="1"/>
  <c r="D6229" i="1"/>
  <c r="C6230" i="1"/>
  <c r="D6230" i="1"/>
  <c r="C6231" i="1"/>
  <c r="D6231" i="1"/>
  <c r="C6232" i="1"/>
  <c r="D6232" i="1"/>
  <c r="C6233" i="1"/>
  <c r="D6233" i="1"/>
  <c r="C6234" i="1"/>
  <c r="D6234" i="1"/>
  <c r="C6235" i="1"/>
  <c r="D6235" i="1"/>
  <c r="C6236" i="1"/>
  <c r="D6236" i="1"/>
  <c r="C6237" i="1"/>
  <c r="D6237" i="1"/>
  <c r="C6238" i="1"/>
  <c r="D6238" i="1"/>
  <c r="C6239" i="1"/>
  <c r="D6239" i="1"/>
  <c r="C6240" i="1"/>
  <c r="D6240" i="1"/>
  <c r="C6241" i="1"/>
  <c r="D6241" i="1"/>
  <c r="C6242" i="1"/>
  <c r="D6242" i="1"/>
  <c r="C6243" i="1"/>
  <c r="D6243" i="1"/>
  <c r="C6244" i="1"/>
  <c r="D6244" i="1"/>
  <c r="C6245" i="1"/>
  <c r="D6245" i="1"/>
  <c r="C6246" i="1"/>
  <c r="D6246" i="1"/>
  <c r="C6247" i="1"/>
  <c r="D6247" i="1"/>
  <c r="C6248" i="1"/>
  <c r="D6248" i="1"/>
  <c r="C6249" i="1"/>
  <c r="D6249" i="1"/>
  <c r="C6250" i="1"/>
  <c r="D6250" i="1"/>
  <c r="C6251" i="1"/>
  <c r="D6251" i="1"/>
  <c r="C6252" i="1"/>
  <c r="D6252" i="1"/>
  <c r="C6253" i="1"/>
  <c r="D6253" i="1"/>
  <c r="C6254" i="1"/>
  <c r="D6254" i="1"/>
  <c r="C6255" i="1"/>
  <c r="D6255" i="1"/>
  <c r="C6256" i="1"/>
  <c r="D6256" i="1"/>
  <c r="C6257" i="1"/>
  <c r="D6257" i="1"/>
  <c r="C6258" i="1"/>
  <c r="D6258" i="1"/>
  <c r="C6259" i="1"/>
  <c r="D6259" i="1"/>
  <c r="C6260" i="1"/>
  <c r="D6260" i="1"/>
  <c r="C6261" i="1"/>
  <c r="D6261" i="1"/>
  <c r="C6262" i="1"/>
  <c r="D6262" i="1"/>
  <c r="C6263" i="1"/>
  <c r="D6263" i="1"/>
  <c r="C6264" i="1"/>
  <c r="D6264" i="1"/>
  <c r="C6265" i="1"/>
  <c r="D6265" i="1"/>
  <c r="C6266" i="1"/>
  <c r="D6266" i="1"/>
  <c r="C6267" i="1"/>
  <c r="D6267" i="1"/>
  <c r="C6268" i="1"/>
  <c r="D6268" i="1"/>
  <c r="C6269" i="1"/>
  <c r="D6269" i="1"/>
  <c r="C6270" i="1"/>
  <c r="D6270" i="1"/>
  <c r="C6271" i="1"/>
  <c r="D6271" i="1"/>
  <c r="C6272" i="1"/>
  <c r="D6272" i="1"/>
  <c r="C6273" i="1"/>
  <c r="D6273" i="1"/>
  <c r="C6274" i="1"/>
  <c r="D6274" i="1"/>
  <c r="C6275" i="1"/>
  <c r="D6275" i="1"/>
  <c r="C6276" i="1"/>
  <c r="D6276" i="1"/>
  <c r="C6277" i="1"/>
  <c r="D6277" i="1"/>
  <c r="C6278" i="1"/>
  <c r="D6278" i="1"/>
  <c r="C6279" i="1"/>
  <c r="D6279" i="1"/>
  <c r="C6280" i="1"/>
  <c r="D6280" i="1"/>
  <c r="C6281" i="1"/>
  <c r="D6281" i="1"/>
  <c r="C6282" i="1"/>
  <c r="D6282" i="1"/>
  <c r="C6283" i="1"/>
  <c r="D6283" i="1"/>
  <c r="C6284" i="1"/>
  <c r="D6284" i="1"/>
  <c r="C6285" i="1"/>
  <c r="D6285" i="1"/>
  <c r="C6286" i="1"/>
  <c r="D6286" i="1"/>
  <c r="C6287" i="1"/>
  <c r="D6287" i="1"/>
  <c r="C6288" i="1"/>
  <c r="D6288" i="1"/>
  <c r="C6289" i="1"/>
  <c r="D6289" i="1"/>
  <c r="C6290" i="1"/>
  <c r="D6290" i="1"/>
  <c r="C6291" i="1"/>
  <c r="D6291" i="1"/>
  <c r="C6292" i="1"/>
  <c r="D6292" i="1"/>
  <c r="C6293" i="1"/>
  <c r="D6293" i="1"/>
  <c r="C6294" i="1"/>
  <c r="D6294" i="1"/>
  <c r="C6295" i="1"/>
  <c r="D6295" i="1"/>
  <c r="C6296" i="1"/>
  <c r="D6296" i="1"/>
  <c r="C6297" i="1"/>
  <c r="D6297" i="1"/>
  <c r="C6298" i="1"/>
  <c r="D6298" i="1"/>
  <c r="C6299" i="1"/>
  <c r="D6299" i="1"/>
  <c r="C6300" i="1"/>
  <c r="D6300" i="1"/>
  <c r="C6301" i="1"/>
  <c r="D6301" i="1"/>
  <c r="C6302" i="1"/>
  <c r="D6302" i="1"/>
  <c r="C6303" i="1"/>
  <c r="D6303" i="1"/>
  <c r="C6304" i="1"/>
  <c r="D6304" i="1"/>
  <c r="C6305" i="1"/>
  <c r="D6305" i="1"/>
  <c r="C6306" i="1"/>
  <c r="D6306" i="1"/>
  <c r="C6307" i="1"/>
  <c r="D6307" i="1"/>
  <c r="C6308" i="1"/>
  <c r="D6308" i="1"/>
  <c r="C6309" i="1"/>
  <c r="D6309" i="1"/>
  <c r="C6310" i="1"/>
  <c r="D6310" i="1"/>
  <c r="C6311" i="1"/>
  <c r="D6311" i="1"/>
  <c r="C6312" i="1"/>
  <c r="D6312" i="1"/>
  <c r="C6313" i="1"/>
  <c r="D6313" i="1"/>
  <c r="C6314" i="1"/>
  <c r="D6314" i="1"/>
  <c r="C6315" i="1"/>
  <c r="D6315" i="1"/>
  <c r="C6316" i="1"/>
  <c r="D6316" i="1"/>
  <c r="C6317" i="1"/>
  <c r="D6317" i="1"/>
  <c r="C6318" i="1"/>
  <c r="D6318" i="1"/>
  <c r="C6319" i="1"/>
  <c r="D6319" i="1"/>
  <c r="C6320" i="1"/>
  <c r="D6320" i="1"/>
  <c r="C6321" i="1"/>
  <c r="D6321" i="1"/>
  <c r="C6322" i="1"/>
  <c r="D6322" i="1"/>
  <c r="C6323" i="1"/>
  <c r="D6323" i="1"/>
  <c r="C6324" i="1"/>
  <c r="D6324" i="1"/>
  <c r="C6325" i="1"/>
  <c r="D6325" i="1"/>
  <c r="C6326" i="1"/>
  <c r="D6326" i="1"/>
  <c r="C6327" i="1"/>
  <c r="D6327" i="1"/>
  <c r="C6328" i="1"/>
  <c r="D6328" i="1"/>
  <c r="C6329" i="1"/>
  <c r="D6329" i="1"/>
  <c r="C6330" i="1"/>
  <c r="D6330" i="1"/>
  <c r="C6331" i="1"/>
  <c r="D6331" i="1"/>
  <c r="C6332" i="1"/>
  <c r="D6332" i="1"/>
  <c r="C6333" i="1"/>
  <c r="D6333" i="1"/>
  <c r="C6334" i="1"/>
  <c r="D6334" i="1"/>
  <c r="C6335" i="1"/>
  <c r="D6335" i="1"/>
  <c r="C6336" i="1"/>
  <c r="D6336" i="1"/>
  <c r="C6337" i="1"/>
  <c r="D6337" i="1"/>
  <c r="C6338" i="1"/>
  <c r="D6338" i="1"/>
  <c r="C6339" i="1"/>
  <c r="D6339" i="1"/>
  <c r="C6340" i="1"/>
  <c r="D6340" i="1"/>
  <c r="C6341" i="1"/>
  <c r="D6341" i="1"/>
  <c r="C6342" i="1"/>
  <c r="D6342" i="1"/>
  <c r="C6343" i="1"/>
  <c r="D6343" i="1"/>
  <c r="C6344" i="1"/>
  <c r="D6344" i="1"/>
  <c r="C6345" i="1"/>
  <c r="D6345" i="1"/>
  <c r="C6346" i="1"/>
  <c r="D6346" i="1"/>
  <c r="C6347" i="1"/>
  <c r="D6347" i="1"/>
  <c r="C6348" i="1"/>
  <c r="D6348" i="1"/>
  <c r="C6349" i="1"/>
  <c r="D6349" i="1"/>
  <c r="C6350" i="1"/>
  <c r="D6350" i="1"/>
  <c r="C6351" i="1"/>
  <c r="D6351" i="1"/>
  <c r="C6352" i="1"/>
  <c r="D6352" i="1"/>
  <c r="C6353" i="1"/>
  <c r="D6353" i="1"/>
  <c r="C6354" i="1"/>
  <c r="D6354" i="1"/>
  <c r="C6355" i="1"/>
  <c r="D6355" i="1"/>
  <c r="C6356" i="1"/>
  <c r="D6356" i="1"/>
  <c r="C6357" i="1"/>
  <c r="D6357" i="1"/>
  <c r="C6358" i="1"/>
  <c r="D6358" i="1"/>
  <c r="C6359" i="1"/>
  <c r="D6359" i="1"/>
  <c r="C6360" i="1"/>
  <c r="D6360" i="1"/>
  <c r="C6361" i="1"/>
  <c r="D6361" i="1"/>
  <c r="C6362" i="1"/>
  <c r="D6362" i="1"/>
  <c r="C6363" i="1"/>
  <c r="D6363" i="1"/>
  <c r="C6364" i="1"/>
  <c r="D6364" i="1"/>
  <c r="C6365" i="1"/>
  <c r="D6365" i="1"/>
  <c r="C6366" i="1"/>
  <c r="D6366" i="1"/>
  <c r="C6367" i="1"/>
  <c r="D6367" i="1"/>
  <c r="C6368" i="1"/>
  <c r="D6368" i="1"/>
  <c r="C6369" i="1"/>
  <c r="D6369" i="1"/>
  <c r="C6370" i="1"/>
  <c r="D6370" i="1"/>
  <c r="C6371" i="1"/>
  <c r="D6371" i="1"/>
  <c r="C6372" i="1"/>
  <c r="D6372" i="1"/>
  <c r="C6373" i="1"/>
  <c r="D6373" i="1"/>
  <c r="C6374" i="1"/>
  <c r="D6374" i="1"/>
  <c r="C6375" i="1"/>
  <c r="D6375" i="1"/>
  <c r="C6376" i="1"/>
  <c r="D6376" i="1"/>
  <c r="C6377" i="1"/>
  <c r="D6377" i="1"/>
  <c r="C6378" i="1"/>
  <c r="D6378" i="1"/>
  <c r="C6379" i="1"/>
  <c r="D6379" i="1"/>
  <c r="C6380" i="1"/>
  <c r="D6380" i="1"/>
  <c r="C6381" i="1"/>
  <c r="D6381" i="1"/>
  <c r="C6382" i="1"/>
  <c r="D6382" i="1"/>
  <c r="C6383" i="1"/>
  <c r="D6383" i="1"/>
  <c r="C6384" i="1"/>
  <c r="D6384" i="1"/>
  <c r="C6385" i="1"/>
  <c r="D6385" i="1"/>
  <c r="C6386" i="1"/>
  <c r="D6386" i="1"/>
  <c r="C6387" i="1"/>
  <c r="D6387" i="1"/>
  <c r="C6388" i="1"/>
  <c r="D6388" i="1"/>
  <c r="C6389" i="1"/>
  <c r="D6389" i="1"/>
  <c r="C6390" i="1"/>
  <c r="D6390" i="1"/>
  <c r="C6391" i="1"/>
  <c r="D6391" i="1"/>
  <c r="C6392" i="1"/>
  <c r="D6392" i="1"/>
  <c r="C6393" i="1"/>
  <c r="D6393" i="1"/>
  <c r="C6394" i="1"/>
  <c r="D6394" i="1"/>
  <c r="C6395" i="1"/>
  <c r="D6395" i="1"/>
  <c r="C6396" i="1"/>
  <c r="D6396" i="1"/>
  <c r="C6397" i="1"/>
  <c r="D6397" i="1"/>
  <c r="C6398" i="1"/>
  <c r="D6398" i="1"/>
  <c r="C6399" i="1"/>
  <c r="D6399" i="1"/>
  <c r="C6400" i="1"/>
  <c r="D6400" i="1"/>
  <c r="C6401" i="1"/>
  <c r="D6401" i="1"/>
  <c r="C6402" i="1"/>
  <c r="D6402" i="1"/>
  <c r="C6403" i="1"/>
  <c r="D6403" i="1"/>
  <c r="C6404" i="1"/>
  <c r="D6404" i="1"/>
  <c r="C6405" i="1"/>
  <c r="D6405" i="1"/>
  <c r="C6406" i="1"/>
  <c r="D6406" i="1"/>
  <c r="C6407" i="1"/>
  <c r="D6407" i="1"/>
  <c r="C6408" i="1"/>
  <c r="D6408" i="1"/>
  <c r="C6409" i="1"/>
  <c r="D6409" i="1"/>
  <c r="C6410" i="1"/>
  <c r="D6410" i="1"/>
  <c r="C6411" i="1"/>
  <c r="D6411" i="1"/>
  <c r="C6412" i="1"/>
  <c r="D6412" i="1"/>
  <c r="C6413" i="1"/>
  <c r="D6413" i="1"/>
  <c r="C6414" i="1"/>
  <c r="D6414" i="1"/>
  <c r="C6415" i="1"/>
  <c r="D6415" i="1"/>
  <c r="C6416" i="1"/>
  <c r="D6416" i="1"/>
  <c r="C6417" i="1"/>
  <c r="D6417" i="1"/>
  <c r="C6418" i="1"/>
  <c r="D6418" i="1"/>
  <c r="C6419" i="1"/>
  <c r="D6419" i="1"/>
  <c r="C6420" i="1"/>
  <c r="D6420" i="1"/>
  <c r="C6421" i="1"/>
  <c r="D6421" i="1"/>
  <c r="C6422" i="1"/>
  <c r="D6422" i="1"/>
  <c r="C6423" i="1"/>
  <c r="D6423" i="1"/>
  <c r="C6424" i="1"/>
  <c r="D6424" i="1"/>
  <c r="C6425" i="1"/>
  <c r="D6425" i="1"/>
  <c r="C6426" i="1"/>
  <c r="D6426" i="1"/>
  <c r="C6427" i="1"/>
  <c r="D6427" i="1"/>
  <c r="C6428" i="1"/>
  <c r="D6428" i="1"/>
  <c r="C6429" i="1"/>
  <c r="D6429" i="1"/>
  <c r="C6430" i="1"/>
  <c r="D6430" i="1"/>
  <c r="C6431" i="1"/>
  <c r="D6431" i="1"/>
  <c r="C6432" i="1"/>
  <c r="D6432" i="1"/>
  <c r="C6433" i="1"/>
  <c r="D6433" i="1"/>
  <c r="C6434" i="1"/>
  <c r="D6434" i="1"/>
  <c r="C6435" i="1"/>
  <c r="D6435" i="1"/>
  <c r="C6436" i="1"/>
  <c r="D6436" i="1"/>
  <c r="C6437" i="1"/>
  <c r="D6437" i="1"/>
  <c r="C6438" i="1"/>
  <c r="D6438" i="1"/>
  <c r="C6439" i="1"/>
  <c r="D6439" i="1"/>
  <c r="C6440" i="1"/>
  <c r="D6440" i="1"/>
  <c r="C6441" i="1"/>
  <c r="D6441" i="1"/>
  <c r="C6442" i="1"/>
  <c r="D6442" i="1"/>
  <c r="C6443" i="1"/>
  <c r="D6443" i="1"/>
  <c r="C6444" i="1"/>
  <c r="D6444" i="1"/>
  <c r="C6445" i="1"/>
  <c r="D6445" i="1"/>
  <c r="C6446" i="1"/>
  <c r="D6446" i="1"/>
  <c r="C6447" i="1"/>
  <c r="D6447" i="1"/>
  <c r="C6448" i="1"/>
  <c r="D6448" i="1"/>
  <c r="C6449" i="1"/>
  <c r="D6449" i="1"/>
  <c r="C6450" i="1"/>
  <c r="D6450" i="1"/>
  <c r="C6451" i="1"/>
  <c r="D6451" i="1"/>
  <c r="C6452" i="1"/>
  <c r="D6452" i="1"/>
  <c r="C6453" i="1"/>
  <c r="D6453" i="1"/>
  <c r="C6454" i="1"/>
  <c r="D6454" i="1"/>
  <c r="C6455" i="1"/>
  <c r="D6455" i="1"/>
  <c r="C6456" i="1"/>
  <c r="D6456" i="1"/>
  <c r="C6457" i="1"/>
  <c r="D6457" i="1"/>
  <c r="C6458" i="1"/>
  <c r="D6458" i="1"/>
  <c r="C6459" i="1"/>
  <c r="D6459" i="1"/>
  <c r="C6460" i="1"/>
  <c r="D6460" i="1"/>
  <c r="C6461" i="1"/>
  <c r="D6461" i="1"/>
  <c r="C6462" i="1"/>
  <c r="D6462" i="1"/>
  <c r="C6463" i="1"/>
  <c r="D6463" i="1"/>
  <c r="C6464" i="1"/>
  <c r="D6464" i="1"/>
  <c r="C6465" i="1"/>
  <c r="D6465" i="1"/>
  <c r="C6466" i="1"/>
  <c r="D6466" i="1"/>
  <c r="C6467" i="1"/>
  <c r="D6467" i="1"/>
  <c r="C6468" i="1"/>
  <c r="D6468" i="1"/>
  <c r="C6469" i="1"/>
  <c r="D6469" i="1"/>
  <c r="C6470" i="1"/>
  <c r="D6470" i="1"/>
  <c r="C6471" i="1"/>
  <c r="D6471" i="1"/>
  <c r="C6472" i="1"/>
  <c r="D6472" i="1"/>
  <c r="C6473" i="1"/>
  <c r="D6473" i="1"/>
  <c r="C6474" i="1"/>
  <c r="D6474" i="1"/>
  <c r="C6475" i="1"/>
  <c r="D6475" i="1"/>
  <c r="C6476" i="1"/>
  <c r="D6476" i="1"/>
  <c r="C6477" i="1"/>
  <c r="D6477" i="1"/>
  <c r="C6478" i="1"/>
  <c r="D6478" i="1"/>
  <c r="C6479" i="1"/>
  <c r="D6479" i="1"/>
  <c r="C6480" i="1"/>
  <c r="D6480" i="1"/>
  <c r="C6481" i="1"/>
  <c r="D6481" i="1"/>
  <c r="C6482" i="1"/>
  <c r="D6482" i="1"/>
  <c r="C6483" i="1"/>
  <c r="D6483" i="1"/>
  <c r="C6484" i="1"/>
  <c r="D6484" i="1"/>
  <c r="C6485" i="1"/>
  <c r="D6485" i="1"/>
  <c r="C6486" i="1"/>
  <c r="D6486" i="1"/>
  <c r="C6487" i="1"/>
  <c r="D6487" i="1"/>
  <c r="C6488" i="1"/>
  <c r="D6488" i="1"/>
  <c r="C6489" i="1"/>
  <c r="D6489" i="1"/>
  <c r="C6490" i="1"/>
  <c r="D6490" i="1"/>
  <c r="C6491" i="1"/>
  <c r="D6491" i="1"/>
  <c r="C6492" i="1"/>
  <c r="D6492" i="1"/>
  <c r="C6493" i="1"/>
  <c r="D6493" i="1"/>
  <c r="C6494" i="1"/>
  <c r="D6494" i="1"/>
  <c r="C6495" i="1"/>
  <c r="D6495" i="1"/>
  <c r="C6496" i="1"/>
  <c r="D6496" i="1"/>
  <c r="C6497" i="1"/>
  <c r="D6497" i="1"/>
  <c r="C6498" i="1"/>
  <c r="D6498" i="1"/>
  <c r="C6499" i="1"/>
  <c r="D6499" i="1"/>
  <c r="C6500" i="1"/>
  <c r="D6500" i="1"/>
  <c r="C6501" i="1"/>
  <c r="D6501" i="1"/>
  <c r="C6502" i="1"/>
  <c r="D6502" i="1"/>
  <c r="C6503" i="1"/>
  <c r="D6503" i="1"/>
  <c r="C6504" i="1"/>
  <c r="D6504" i="1"/>
  <c r="C6505" i="1"/>
  <c r="D6505" i="1"/>
  <c r="C6506" i="1"/>
  <c r="D6506" i="1"/>
  <c r="C6507" i="1"/>
  <c r="D6507" i="1"/>
  <c r="C6508" i="1"/>
  <c r="D6508" i="1"/>
  <c r="C6509" i="1"/>
  <c r="D6509" i="1"/>
  <c r="C6510" i="1"/>
  <c r="D6510" i="1"/>
  <c r="C6511" i="1"/>
  <c r="D6511" i="1"/>
  <c r="C6512" i="1"/>
  <c r="D6512" i="1"/>
  <c r="C6513" i="1"/>
  <c r="D6513" i="1"/>
  <c r="C6514" i="1"/>
  <c r="D6514" i="1"/>
  <c r="C6515" i="1"/>
  <c r="D6515" i="1"/>
  <c r="C6516" i="1"/>
  <c r="D6516" i="1"/>
  <c r="C6517" i="1"/>
  <c r="D6517" i="1"/>
  <c r="C6518" i="1"/>
  <c r="D6518" i="1"/>
  <c r="C6519" i="1"/>
  <c r="D6519" i="1"/>
  <c r="C6520" i="1"/>
  <c r="D6520" i="1"/>
  <c r="C6521" i="1"/>
  <c r="D6521" i="1"/>
  <c r="C6522" i="1"/>
  <c r="D6522" i="1"/>
  <c r="C6523" i="1"/>
  <c r="D6523" i="1"/>
  <c r="C6524" i="1"/>
  <c r="D6524" i="1"/>
  <c r="C6525" i="1"/>
  <c r="D6525" i="1"/>
  <c r="C6526" i="1"/>
  <c r="D6526" i="1"/>
  <c r="C6527" i="1"/>
  <c r="D6527" i="1"/>
  <c r="C6528" i="1"/>
  <c r="D6528" i="1"/>
  <c r="C6529" i="1"/>
  <c r="D6529" i="1"/>
  <c r="C6530" i="1"/>
  <c r="D6530" i="1"/>
  <c r="C6531" i="1"/>
  <c r="D6531" i="1"/>
  <c r="C6532" i="1"/>
  <c r="D6532" i="1"/>
  <c r="C6533" i="1"/>
  <c r="D6533" i="1"/>
  <c r="C6534" i="1"/>
  <c r="D6534" i="1"/>
  <c r="C6535" i="1"/>
  <c r="D6535" i="1"/>
  <c r="C6536" i="1"/>
  <c r="D6536" i="1"/>
  <c r="C6537" i="1"/>
  <c r="D6537" i="1"/>
  <c r="C6538" i="1"/>
  <c r="D6538" i="1"/>
  <c r="C6539" i="1"/>
  <c r="D6539" i="1"/>
  <c r="C6540" i="1"/>
  <c r="D6540" i="1"/>
  <c r="C6541" i="1"/>
  <c r="D6541" i="1"/>
  <c r="C6542" i="1"/>
  <c r="D6542" i="1"/>
  <c r="C6543" i="1"/>
  <c r="D6543" i="1"/>
  <c r="C6544" i="1"/>
  <c r="D6544" i="1"/>
  <c r="C6545" i="1"/>
  <c r="D6545" i="1"/>
  <c r="C6546" i="1"/>
  <c r="D6546" i="1"/>
  <c r="C6547" i="1"/>
  <c r="D6547" i="1"/>
  <c r="C6548" i="1"/>
  <c r="D6548" i="1"/>
  <c r="C6549" i="1"/>
  <c r="D6549" i="1"/>
  <c r="C6550" i="1"/>
  <c r="D6550" i="1"/>
  <c r="C6551" i="1"/>
  <c r="D6551" i="1"/>
  <c r="C6552" i="1"/>
  <c r="D6552" i="1"/>
  <c r="C6553" i="1"/>
  <c r="D6553" i="1"/>
  <c r="C6554" i="1"/>
  <c r="D6554" i="1"/>
  <c r="C6555" i="1"/>
  <c r="D6555" i="1"/>
  <c r="C6556" i="1"/>
  <c r="D6556" i="1"/>
  <c r="C6557" i="1"/>
  <c r="D6557" i="1"/>
  <c r="C6558" i="1"/>
  <c r="D6558" i="1"/>
  <c r="C6559" i="1"/>
  <c r="D6559" i="1"/>
  <c r="C6560" i="1"/>
  <c r="D6560" i="1"/>
  <c r="C6561" i="1"/>
  <c r="D6561" i="1"/>
  <c r="C6562" i="1"/>
  <c r="D6562" i="1"/>
  <c r="C6563" i="1"/>
  <c r="D6563" i="1"/>
  <c r="C6564" i="1"/>
  <c r="D6564" i="1"/>
  <c r="C6565" i="1"/>
  <c r="D6565" i="1"/>
  <c r="C6566" i="1"/>
  <c r="D6566" i="1"/>
  <c r="C6567" i="1"/>
  <c r="D6567" i="1"/>
  <c r="C6568" i="1"/>
  <c r="D6568" i="1"/>
  <c r="C6569" i="1"/>
  <c r="D6569" i="1"/>
  <c r="C6570" i="1"/>
  <c r="D6570" i="1"/>
  <c r="C6571" i="1"/>
  <c r="D6571" i="1"/>
  <c r="C6572" i="1"/>
  <c r="D6572" i="1"/>
  <c r="C6573" i="1"/>
  <c r="D6573" i="1"/>
  <c r="C6574" i="1"/>
  <c r="D6574" i="1"/>
  <c r="C6575" i="1"/>
  <c r="D6575" i="1"/>
  <c r="C6576" i="1"/>
  <c r="D6576" i="1"/>
  <c r="C6577" i="1"/>
  <c r="D6577" i="1"/>
  <c r="C6578" i="1"/>
  <c r="D6578" i="1"/>
  <c r="C6579" i="1"/>
  <c r="D6579" i="1"/>
  <c r="C6580" i="1"/>
  <c r="D6580" i="1"/>
  <c r="C6581" i="1"/>
  <c r="D6581" i="1"/>
  <c r="C6582" i="1"/>
  <c r="D6582" i="1"/>
  <c r="C6583" i="1"/>
  <c r="D6583" i="1"/>
  <c r="C6584" i="1"/>
  <c r="D6584" i="1"/>
  <c r="C6585" i="1"/>
  <c r="D6585" i="1"/>
  <c r="C6586" i="1"/>
  <c r="D6586" i="1"/>
  <c r="C6587" i="1"/>
  <c r="D6587" i="1"/>
  <c r="C6588" i="1"/>
  <c r="D6588" i="1"/>
  <c r="C6589" i="1"/>
  <c r="D6589" i="1"/>
  <c r="C6590" i="1"/>
  <c r="D6590" i="1"/>
  <c r="C6591" i="1"/>
  <c r="D6591" i="1"/>
  <c r="C6592" i="1"/>
  <c r="D6592" i="1"/>
  <c r="C6593" i="1"/>
  <c r="D6593" i="1"/>
  <c r="C6594" i="1"/>
  <c r="D6594" i="1"/>
  <c r="C6595" i="1"/>
  <c r="D6595" i="1"/>
  <c r="C6596" i="1"/>
  <c r="D6596" i="1"/>
  <c r="C6597" i="1"/>
  <c r="D6597" i="1"/>
  <c r="C6598" i="1"/>
  <c r="D6598" i="1"/>
  <c r="C6599" i="1"/>
  <c r="D6599" i="1"/>
  <c r="C6600" i="1"/>
  <c r="D6600" i="1"/>
  <c r="C6601" i="1"/>
  <c r="D6601" i="1"/>
  <c r="C6602" i="1"/>
  <c r="D6602" i="1"/>
  <c r="C6603" i="1"/>
  <c r="D6603" i="1"/>
  <c r="C6604" i="1"/>
  <c r="D6604" i="1"/>
  <c r="C6605" i="1"/>
  <c r="D6605" i="1"/>
  <c r="C6606" i="1"/>
  <c r="D6606" i="1"/>
  <c r="C6607" i="1"/>
  <c r="D6607" i="1"/>
  <c r="C6608" i="1"/>
  <c r="D6608" i="1"/>
  <c r="C6609" i="1"/>
  <c r="D6609" i="1"/>
  <c r="C6610" i="1"/>
  <c r="D6610" i="1"/>
  <c r="C6611" i="1"/>
  <c r="D6611" i="1"/>
  <c r="C6612" i="1"/>
  <c r="D6612" i="1"/>
  <c r="C6613" i="1"/>
  <c r="D6613" i="1"/>
  <c r="C6614" i="1"/>
  <c r="D6614" i="1"/>
  <c r="C6615" i="1"/>
  <c r="D6615" i="1"/>
  <c r="C6616" i="1"/>
  <c r="D6616" i="1"/>
  <c r="C6617" i="1"/>
  <c r="D6617" i="1"/>
  <c r="C6618" i="1"/>
  <c r="D6618" i="1"/>
  <c r="C6619" i="1"/>
  <c r="D6619" i="1"/>
  <c r="C6620" i="1"/>
  <c r="D6620" i="1"/>
  <c r="C6621" i="1"/>
  <c r="D6621" i="1"/>
  <c r="C6622" i="1"/>
  <c r="D6622" i="1"/>
  <c r="C6623" i="1"/>
  <c r="D6623" i="1"/>
  <c r="C6624" i="1"/>
  <c r="D6624" i="1"/>
  <c r="C6625" i="1"/>
  <c r="D6625" i="1"/>
  <c r="C6626" i="1"/>
  <c r="D6626" i="1"/>
  <c r="C6627" i="1"/>
  <c r="D6627" i="1"/>
  <c r="C6628" i="1"/>
  <c r="D6628" i="1"/>
  <c r="C6629" i="1"/>
  <c r="D6629" i="1"/>
  <c r="C6630" i="1"/>
  <c r="D6630" i="1"/>
  <c r="C6631" i="1"/>
  <c r="D6631" i="1"/>
  <c r="C6632" i="1"/>
  <c r="D6632" i="1"/>
  <c r="C6633" i="1"/>
  <c r="D6633" i="1"/>
  <c r="C6634" i="1"/>
  <c r="D6634" i="1"/>
  <c r="C6635" i="1"/>
  <c r="D6635" i="1"/>
  <c r="C6636" i="1"/>
  <c r="D6636" i="1"/>
  <c r="C6637" i="1"/>
  <c r="D6637" i="1"/>
  <c r="C6638" i="1"/>
  <c r="D6638" i="1"/>
  <c r="C6639" i="1"/>
  <c r="D6639" i="1"/>
  <c r="C6640" i="1"/>
  <c r="D6640" i="1"/>
  <c r="C6641" i="1"/>
  <c r="D6641" i="1"/>
  <c r="C6642" i="1"/>
  <c r="D6642" i="1"/>
  <c r="C6643" i="1"/>
  <c r="D6643" i="1"/>
  <c r="C6644" i="1"/>
  <c r="D6644" i="1"/>
  <c r="C6645" i="1"/>
  <c r="D6645" i="1"/>
  <c r="C6646" i="1"/>
  <c r="D6646" i="1"/>
  <c r="C6647" i="1"/>
  <c r="D6647" i="1"/>
  <c r="C6648" i="1"/>
  <c r="D6648" i="1"/>
  <c r="C6649" i="1"/>
  <c r="D6649" i="1"/>
  <c r="C6650" i="1"/>
  <c r="D6650" i="1"/>
  <c r="C6651" i="1"/>
  <c r="D6651" i="1"/>
  <c r="C6652" i="1"/>
  <c r="D6652" i="1"/>
  <c r="C6653" i="1"/>
  <c r="D6653" i="1"/>
  <c r="C6654" i="1"/>
  <c r="D6654" i="1"/>
  <c r="C6655" i="1"/>
  <c r="D6655" i="1"/>
  <c r="C6656" i="1"/>
  <c r="D6656" i="1"/>
  <c r="C6657" i="1"/>
  <c r="D6657" i="1"/>
  <c r="C6658" i="1"/>
  <c r="D6658" i="1"/>
  <c r="C6659" i="1"/>
  <c r="D6659" i="1"/>
  <c r="C6660" i="1"/>
  <c r="D6660" i="1"/>
  <c r="C6661" i="1"/>
  <c r="D6661" i="1"/>
  <c r="C6662" i="1"/>
  <c r="D6662" i="1"/>
  <c r="C6663" i="1"/>
  <c r="D6663" i="1"/>
  <c r="C6664" i="1"/>
  <c r="D6664" i="1"/>
  <c r="C6665" i="1"/>
  <c r="D6665" i="1"/>
  <c r="C6666" i="1"/>
  <c r="D6666" i="1"/>
  <c r="C6667" i="1"/>
  <c r="D6667" i="1"/>
  <c r="C6668" i="1"/>
  <c r="D6668" i="1"/>
  <c r="C6669" i="1"/>
  <c r="D6669" i="1"/>
  <c r="C6670" i="1"/>
  <c r="D6670" i="1"/>
  <c r="C6671" i="1"/>
  <c r="D6671" i="1"/>
  <c r="C6672" i="1"/>
  <c r="D6672" i="1"/>
  <c r="C6673" i="1"/>
  <c r="D6673" i="1"/>
  <c r="C6674" i="1"/>
  <c r="D6674" i="1"/>
  <c r="C6675" i="1"/>
  <c r="D6675" i="1"/>
  <c r="C6676" i="1"/>
  <c r="D6676" i="1"/>
  <c r="C6677" i="1"/>
  <c r="D6677" i="1"/>
  <c r="C6678" i="1"/>
  <c r="D6678" i="1"/>
  <c r="C6679" i="1"/>
  <c r="D6679" i="1"/>
  <c r="C6680" i="1"/>
  <c r="D6680" i="1"/>
  <c r="C6681" i="1"/>
  <c r="D6681" i="1"/>
  <c r="C6682" i="1"/>
  <c r="D6682" i="1"/>
  <c r="C6683" i="1"/>
  <c r="D6683" i="1"/>
  <c r="C6684" i="1"/>
  <c r="D6684" i="1"/>
  <c r="C6685" i="1"/>
  <c r="D6685" i="1"/>
  <c r="C6686" i="1"/>
  <c r="D6686" i="1"/>
  <c r="C6687" i="1"/>
  <c r="D6687" i="1"/>
  <c r="C6688" i="1"/>
  <c r="D6688" i="1"/>
  <c r="C6689" i="1"/>
  <c r="D6689" i="1"/>
  <c r="C6690" i="1"/>
  <c r="D6690" i="1"/>
  <c r="C6691" i="1"/>
  <c r="D6691" i="1"/>
  <c r="C6692" i="1"/>
  <c r="D6692" i="1"/>
  <c r="C6693" i="1"/>
  <c r="D6693" i="1"/>
  <c r="C6694" i="1"/>
  <c r="D6694" i="1"/>
  <c r="C6695" i="1"/>
  <c r="D6695" i="1"/>
  <c r="C6696" i="1"/>
  <c r="D6696" i="1"/>
  <c r="C6697" i="1"/>
  <c r="D6697" i="1"/>
  <c r="C6698" i="1"/>
  <c r="D6698" i="1"/>
  <c r="C6699" i="1"/>
  <c r="D6699" i="1"/>
  <c r="C6700" i="1"/>
  <c r="D6700" i="1"/>
  <c r="C6701" i="1"/>
  <c r="D6701" i="1"/>
  <c r="C6702" i="1"/>
  <c r="D6702" i="1"/>
  <c r="C6703" i="1"/>
  <c r="D6703" i="1"/>
  <c r="C6704" i="1"/>
  <c r="D6704" i="1"/>
  <c r="C6705" i="1"/>
  <c r="D6705" i="1"/>
  <c r="C6706" i="1"/>
  <c r="D6706" i="1"/>
  <c r="C6707" i="1"/>
  <c r="D6707" i="1"/>
  <c r="C6708" i="1"/>
  <c r="D6708" i="1"/>
  <c r="C6709" i="1"/>
  <c r="D6709" i="1"/>
  <c r="C6710" i="1"/>
  <c r="D6710" i="1"/>
  <c r="C6711" i="1"/>
  <c r="D6711" i="1"/>
  <c r="C6712" i="1"/>
  <c r="D6712" i="1"/>
  <c r="C6713" i="1"/>
  <c r="D6713" i="1"/>
  <c r="C6714" i="1"/>
  <c r="D6714" i="1"/>
  <c r="C6715" i="1"/>
  <c r="D6715" i="1"/>
  <c r="C6716" i="1"/>
  <c r="D6716" i="1"/>
  <c r="C6717" i="1"/>
  <c r="D6717" i="1"/>
  <c r="C6718" i="1"/>
  <c r="D6718" i="1"/>
  <c r="C6719" i="1"/>
  <c r="D6719" i="1"/>
  <c r="C6720" i="1"/>
  <c r="D6720" i="1"/>
  <c r="C6721" i="1"/>
  <c r="D6721" i="1"/>
  <c r="C6722" i="1"/>
  <c r="D6722" i="1"/>
  <c r="C6723" i="1"/>
  <c r="D6723" i="1"/>
  <c r="C6724" i="1"/>
  <c r="D6724" i="1"/>
  <c r="C6725" i="1"/>
  <c r="D6725" i="1"/>
  <c r="C6726" i="1"/>
  <c r="D6726" i="1"/>
  <c r="C6727" i="1"/>
  <c r="D6727" i="1"/>
  <c r="C6728" i="1"/>
  <c r="D6728" i="1"/>
  <c r="C6729" i="1"/>
  <c r="D6729" i="1"/>
  <c r="C6730" i="1"/>
  <c r="D6730" i="1"/>
  <c r="C6731" i="1"/>
  <c r="D6731" i="1"/>
  <c r="C6732" i="1"/>
  <c r="D6732" i="1"/>
  <c r="C6733" i="1"/>
  <c r="D6733" i="1"/>
  <c r="C6734" i="1"/>
  <c r="D6734" i="1"/>
  <c r="C6735" i="1"/>
  <c r="D6735" i="1"/>
  <c r="C6736" i="1"/>
  <c r="D6736" i="1"/>
  <c r="C6737" i="1"/>
  <c r="D6737" i="1"/>
  <c r="C6738" i="1"/>
  <c r="D6738" i="1"/>
  <c r="C6739" i="1"/>
  <c r="D6739" i="1"/>
  <c r="C6740" i="1"/>
  <c r="D6740" i="1"/>
  <c r="C6741" i="1"/>
  <c r="D6741" i="1"/>
  <c r="C6742" i="1"/>
  <c r="D6742" i="1"/>
  <c r="C6743" i="1"/>
  <c r="D6743" i="1"/>
  <c r="C6744" i="1"/>
  <c r="D6744" i="1"/>
  <c r="C6745" i="1"/>
  <c r="D6745" i="1"/>
  <c r="C6746" i="1"/>
  <c r="D6746" i="1"/>
  <c r="C6747" i="1"/>
  <c r="D6747" i="1"/>
  <c r="C6748" i="1"/>
  <c r="D6748" i="1"/>
  <c r="C6749" i="1"/>
  <c r="D6749" i="1"/>
  <c r="C6750" i="1"/>
  <c r="D6750" i="1"/>
  <c r="C6751" i="1"/>
  <c r="D6751" i="1"/>
  <c r="C6752" i="1"/>
  <c r="D6752" i="1"/>
  <c r="C6753" i="1"/>
  <c r="D6753" i="1"/>
  <c r="C6754" i="1"/>
  <c r="D6754" i="1"/>
  <c r="C6755" i="1"/>
  <c r="D6755" i="1"/>
  <c r="C6756" i="1"/>
  <c r="D6756" i="1"/>
  <c r="C6757" i="1"/>
  <c r="D6757" i="1"/>
  <c r="C6758" i="1"/>
  <c r="D6758" i="1"/>
  <c r="C6759" i="1"/>
  <c r="D6759" i="1"/>
  <c r="C6760" i="1"/>
  <c r="D6760" i="1"/>
  <c r="C6761" i="1"/>
  <c r="D6761" i="1"/>
  <c r="C6762" i="1"/>
  <c r="D6762" i="1"/>
  <c r="C6763" i="1"/>
  <c r="D6763" i="1"/>
  <c r="C6764" i="1"/>
  <c r="D6764" i="1"/>
  <c r="C6765" i="1"/>
  <c r="D6765" i="1"/>
  <c r="C6766" i="1"/>
  <c r="D6766" i="1"/>
  <c r="C6767" i="1"/>
  <c r="D6767" i="1"/>
  <c r="C6768" i="1"/>
  <c r="D6768" i="1"/>
  <c r="C6769" i="1"/>
  <c r="D6769" i="1"/>
  <c r="C6770" i="1"/>
  <c r="D6770" i="1"/>
  <c r="C6771" i="1"/>
  <c r="D6771" i="1"/>
  <c r="C6772" i="1"/>
  <c r="D6772" i="1"/>
  <c r="C6773" i="1"/>
  <c r="D6773" i="1"/>
  <c r="C6774" i="1"/>
  <c r="D6774" i="1"/>
  <c r="C6775" i="1"/>
  <c r="D6775" i="1"/>
  <c r="C6776" i="1"/>
  <c r="D6776" i="1"/>
  <c r="C6777" i="1"/>
  <c r="D6777" i="1"/>
  <c r="C6778" i="1"/>
  <c r="D6778" i="1"/>
  <c r="C6779" i="1"/>
  <c r="D6779" i="1"/>
  <c r="C6780" i="1"/>
  <c r="D6780" i="1"/>
  <c r="C6781" i="1"/>
  <c r="D6781" i="1"/>
  <c r="C6782" i="1"/>
  <c r="D6782" i="1"/>
  <c r="C6783" i="1"/>
  <c r="D6783" i="1"/>
  <c r="C6784" i="1"/>
  <c r="D6784" i="1"/>
  <c r="C6785" i="1"/>
  <c r="D6785" i="1"/>
  <c r="C6786" i="1"/>
  <c r="D6786" i="1"/>
  <c r="C6787" i="1"/>
  <c r="D6787" i="1"/>
  <c r="C6788" i="1"/>
  <c r="D6788" i="1"/>
  <c r="C6789" i="1"/>
  <c r="D6789" i="1"/>
  <c r="C6790" i="1"/>
  <c r="D6790" i="1"/>
  <c r="C6791" i="1"/>
  <c r="D6791" i="1"/>
  <c r="C6792" i="1"/>
  <c r="D6792" i="1"/>
  <c r="C6793" i="1"/>
  <c r="D6793" i="1"/>
  <c r="C6794" i="1"/>
  <c r="D6794" i="1"/>
  <c r="C6795" i="1"/>
  <c r="D6795" i="1"/>
  <c r="C6796" i="1"/>
  <c r="D6796" i="1"/>
  <c r="C6797" i="1"/>
  <c r="D6797" i="1"/>
  <c r="C6798" i="1"/>
  <c r="D6798" i="1"/>
  <c r="C6799" i="1"/>
  <c r="D6799" i="1"/>
  <c r="C6800" i="1"/>
  <c r="D6800" i="1"/>
  <c r="C6801" i="1"/>
  <c r="D6801" i="1"/>
  <c r="C6802" i="1"/>
  <c r="D6802" i="1"/>
  <c r="C6803" i="1"/>
  <c r="D6803" i="1"/>
  <c r="C6804" i="1"/>
  <c r="D6804" i="1"/>
  <c r="C6805" i="1"/>
  <c r="D6805" i="1"/>
  <c r="C6806" i="1"/>
  <c r="D6806" i="1"/>
  <c r="C6807" i="1"/>
  <c r="D6807" i="1"/>
  <c r="C6808" i="1"/>
  <c r="D6808" i="1"/>
  <c r="C6809" i="1"/>
  <c r="D6809" i="1"/>
  <c r="C6810" i="1"/>
  <c r="D6810" i="1"/>
  <c r="C6811" i="1"/>
  <c r="D6811" i="1"/>
  <c r="C6812" i="1"/>
  <c r="D6812" i="1"/>
  <c r="C6813" i="1"/>
  <c r="D6813" i="1"/>
  <c r="C6814" i="1"/>
  <c r="D6814" i="1"/>
  <c r="C6815" i="1"/>
  <c r="D6815" i="1"/>
  <c r="C6816" i="1"/>
  <c r="D6816" i="1"/>
  <c r="C6817" i="1"/>
  <c r="D6817" i="1"/>
  <c r="C6818" i="1"/>
  <c r="D6818" i="1"/>
  <c r="C6819" i="1"/>
  <c r="D6819" i="1"/>
  <c r="C6820" i="1"/>
  <c r="D6820" i="1"/>
  <c r="C6821" i="1"/>
  <c r="D6821" i="1"/>
  <c r="C6822" i="1"/>
  <c r="D6822" i="1"/>
  <c r="C6823" i="1"/>
  <c r="D6823" i="1"/>
  <c r="C6824" i="1"/>
  <c r="D6824" i="1"/>
  <c r="C6825" i="1"/>
  <c r="D6825" i="1"/>
  <c r="C6826" i="1"/>
  <c r="D6826" i="1"/>
  <c r="C6827" i="1"/>
  <c r="D6827" i="1"/>
  <c r="C6828" i="1"/>
  <c r="D6828" i="1"/>
  <c r="C6829" i="1"/>
  <c r="D6829" i="1"/>
  <c r="C6830" i="1"/>
  <c r="D6830" i="1"/>
  <c r="C6831" i="1"/>
  <c r="D6831" i="1"/>
  <c r="C6832" i="1"/>
  <c r="D6832" i="1"/>
  <c r="C6833" i="1"/>
  <c r="D6833" i="1"/>
  <c r="C6834" i="1"/>
  <c r="D6834" i="1"/>
  <c r="C6835" i="1"/>
  <c r="D6835" i="1"/>
  <c r="C6836" i="1"/>
  <c r="D6836" i="1"/>
  <c r="C6837" i="1"/>
  <c r="D6837" i="1"/>
  <c r="C6838" i="1"/>
  <c r="D6838" i="1"/>
  <c r="C6839" i="1"/>
  <c r="D6839" i="1"/>
  <c r="C6840" i="1"/>
  <c r="D6840" i="1"/>
  <c r="C6841" i="1"/>
  <c r="D6841" i="1"/>
  <c r="C6842" i="1"/>
  <c r="D6842" i="1"/>
  <c r="C6843" i="1"/>
  <c r="D6843" i="1"/>
  <c r="C6844" i="1"/>
  <c r="D6844" i="1"/>
  <c r="C6845" i="1"/>
  <c r="D6845" i="1"/>
  <c r="C6846" i="1"/>
  <c r="D6846" i="1"/>
  <c r="C6847" i="1"/>
  <c r="D6847" i="1"/>
  <c r="C6848" i="1"/>
  <c r="D6848" i="1"/>
  <c r="C6849" i="1"/>
  <c r="D6849" i="1"/>
  <c r="C6850" i="1"/>
  <c r="D6850" i="1"/>
  <c r="C6851" i="1"/>
  <c r="D6851" i="1"/>
  <c r="C6852" i="1"/>
  <c r="D6852" i="1"/>
  <c r="C6853" i="1"/>
  <c r="D6853" i="1"/>
  <c r="C6854" i="1"/>
  <c r="D6854" i="1"/>
  <c r="C6855" i="1"/>
  <c r="D6855" i="1"/>
  <c r="C6856" i="1"/>
  <c r="D6856" i="1"/>
  <c r="C6857" i="1"/>
  <c r="D6857" i="1"/>
  <c r="C6858" i="1"/>
  <c r="D6858" i="1"/>
  <c r="C6859" i="1"/>
  <c r="D6859" i="1"/>
  <c r="C6860" i="1"/>
  <c r="D6860" i="1"/>
  <c r="C6861" i="1"/>
  <c r="D6861" i="1"/>
  <c r="C6862" i="1"/>
  <c r="D6862" i="1"/>
  <c r="C6863" i="1"/>
  <c r="D6863" i="1"/>
  <c r="C6864" i="1"/>
  <c r="D6864" i="1"/>
  <c r="C6865" i="1"/>
  <c r="D6865" i="1"/>
  <c r="C6866" i="1"/>
  <c r="D6866" i="1"/>
  <c r="C6867" i="1"/>
  <c r="D6867" i="1"/>
  <c r="C6868" i="1"/>
  <c r="D6868" i="1"/>
  <c r="C6869" i="1"/>
  <c r="D6869" i="1"/>
  <c r="C6870" i="1"/>
  <c r="D6870" i="1"/>
  <c r="C6871" i="1"/>
  <c r="D6871" i="1"/>
  <c r="C6872" i="1"/>
  <c r="D6872" i="1"/>
  <c r="C6873" i="1"/>
  <c r="D6873" i="1"/>
  <c r="C6874" i="1"/>
  <c r="D6874" i="1"/>
  <c r="C6875" i="1"/>
  <c r="D6875" i="1"/>
  <c r="C6876" i="1"/>
  <c r="D6876" i="1"/>
  <c r="C6877" i="1"/>
  <c r="D6877" i="1"/>
  <c r="C6878" i="1"/>
  <c r="D6878" i="1"/>
  <c r="C6879" i="1"/>
  <c r="D6879" i="1"/>
  <c r="C6880" i="1"/>
  <c r="D6880" i="1"/>
  <c r="C6881" i="1"/>
  <c r="D6881" i="1"/>
  <c r="C6882" i="1"/>
  <c r="D6882" i="1"/>
  <c r="C6883" i="1"/>
  <c r="D6883" i="1"/>
  <c r="C6884" i="1"/>
  <c r="D6884" i="1"/>
  <c r="C6885" i="1"/>
  <c r="D6885" i="1"/>
  <c r="C6886" i="1"/>
  <c r="D6886" i="1"/>
  <c r="C6887" i="1"/>
  <c r="D6887" i="1"/>
  <c r="C6888" i="1"/>
  <c r="D6888" i="1"/>
  <c r="C6889" i="1"/>
  <c r="D6889" i="1"/>
  <c r="C6890" i="1"/>
  <c r="D6890" i="1"/>
  <c r="C6891" i="1"/>
  <c r="D6891" i="1"/>
  <c r="C6892" i="1"/>
  <c r="D6892" i="1"/>
  <c r="C6893" i="1"/>
  <c r="D6893" i="1"/>
  <c r="C6894" i="1"/>
  <c r="D6894" i="1"/>
  <c r="C6895" i="1"/>
  <c r="D6895" i="1"/>
  <c r="C6896" i="1"/>
  <c r="D6896" i="1"/>
  <c r="C6897" i="1"/>
  <c r="D6897" i="1"/>
  <c r="C6898" i="1"/>
  <c r="D6898" i="1"/>
  <c r="C6899" i="1"/>
  <c r="D6899" i="1"/>
  <c r="C6900" i="1"/>
  <c r="D6900" i="1"/>
  <c r="C6901" i="1"/>
  <c r="D6901" i="1"/>
  <c r="C6902" i="1"/>
  <c r="D6902" i="1"/>
  <c r="C6903" i="1"/>
  <c r="D6903" i="1"/>
  <c r="C6904" i="1"/>
  <c r="D6904" i="1"/>
  <c r="C6905" i="1"/>
  <c r="D6905" i="1"/>
  <c r="C6906" i="1"/>
  <c r="D6906" i="1"/>
  <c r="C6907" i="1"/>
  <c r="D6907" i="1"/>
  <c r="C6908" i="1"/>
  <c r="D6908" i="1"/>
  <c r="C6909" i="1"/>
  <c r="D6909" i="1"/>
  <c r="C6910" i="1"/>
  <c r="D6910" i="1"/>
  <c r="C6911" i="1"/>
  <c r="D6911" i="1"/>
  <c r="C6912" i="1"/>
  <c r="D6912" i="1"/>
  <c r="C6913" i="1"/>
  <c r="D6913" i="1"/>
  <c r="C6914" i="1"/>
  <c r="D6914" i="1"/>
  <c r="C6915" i="1"/>
  <c r="D6915" i="1"/>
  <c r="C6916" i="1"/>
  <c r="D6916" i="1"/>
  <c r="C6917" i="1"/>
  <c r="D6917" i="1"/>
  <c r="C6918" i="1"/>
  <c r="D6918" i="1"/>
  <c r="C6919" i="1"/>
  <c r="D6919" i="1"/>
  <c r="C6920" i="1"/>
  <c r="D6920" i="1"/>
  <c r="C6921" i="1"/>
  <c r="D6921" i="1"/>
  <c r="C6922" i="1"/>
  <c r="D6922" i="1"/>
  <c r="C6923" i="1"/>
  <c r="D6923" i="1"/>
  <c r="C6924" i="1"/>
  <c r="D6924" i="1"/>
  <c r="C6925" i="1"/>
  <c r="D6925" i="1"/>
  <c r="C6926" i="1"/>
  <c r="D6926" i="1"/>
  <c r="C6927" i="1"/>
  <c r="D6927" i="1"/>
  <c r="C6928" i="1"/>
  <c r="D6928" i="1"/>
  <c r="C6929" i="1"/>
  <c r="D6929" i="1"/>
  <c r="C6930" i="1"/>
  <c r="D6930" i="1"/>
  <c r="C6931" i="1"/>
  <c r="D6931" i="1"/>
  <c r="C6932" i="1"/>
  <c r="D6932" i="1"/>
  <c r="C6933" i="1"/>
  <c r="D6933" i="1"/>
  <c r="C6934" i="1"/>
  <c r="D6934" i="1"/>
  <c r="C6935" i="1"/>
  <c r="D6935" i="1"/>
  <c r="C6936" i="1"/>
  <c r="D6936" i="1"/>
  <c r="C6937" i="1"/>
  <c r="D6937" i="1"/>
  <c r="C6938" i="1"/>
  <c r="D6938" i="1"/>
  <c r="C6939" i="1"/>
  <c r="D6939" i="1"/>
  <c r="C6940" i="1"/>
  <c r="D6940" i="1"/>
  <c r="C6941" i="1"/>
  <c r="D6941" i="1"/>
  <c r="C6942" i="1"/>
  <c r="D6942" i="1"/>
  <c r="C6943" i="1"/>
  <c r="D6943" i="1"/>
  <c r="C6944" i="1"/>
  <c r="D6944" i="1"/>
  <c r="C6945" i="1"/>
  <c r="D6945" i="1"/>
  <c r="C6946" i="1"/>
  <c r="D6946" i="1"/>
  <c r="C6947" i="1"/>
  <c r="D6947" i="1"/>
  <c r="C6948" i="1"/>
  <c r="D6948" i="1"/>
  <c r="C6949" i="1"/>
  <c r="D6949" i="1"/>
  <c r="C6950" i="1"/>
  <c r="D6950" i="1"/>
  <c r="C6951" i="1"/>
  <c r="D6951" i="1"/>
  <c r="C6952" i="1"/>
  <c r="D6952" i="1"/>
  <c r="C6953" i="1"/>
  <c r="D6953" i="1"/>
  <c r="C6954" i="1"/>
  <c r="D6954" i="1"/>
  <c r="C6955" i="1"/>
  <c r="D6955" i="1"/>
  <c r="C6956" i="1"/>
  <c r="D6956" i="1"/>
  <c r="C6957" i="1"/>
  <c r="D6957" i="1"/>
  <c r="C6958" i="1"/>
  <c r="D6958" i="1"/>
  <c r="C6959" i="1"/>
  <c r="D6959" i="1"/>
  <c r="C6960" i="1"/>
  <c r="D6960" i="1"/>
  <c r="C6961" i="1"/>
  <c r="D6961" i="1"/>
  <c r="C6962" i="1"/>
  <c r="D6962" i="1"/>
  <c r="C6963" i="1"/>
  <c r="D6963" i="1"/>
  <c r="C6964" i="1"/>
  <c r="D6964" i="1"/>
  <c r="C6965" i="1"/>
  <c r="D6965" i="1"/>
  <c r="C6966" i="1"/>
  <c r="D6966" i="1"/>
  <c r="C6967" i="1"/>
  <c r="D6967" i="1"/>
  <c r="C6968" i="1"/>
  <c r="D6968" i="1"/>
  <c r="C6969" i="1"/>
  <c r="D6969" i="1"/>
  <c r="C6970" i="1"/>
  <c r="D6970" i="1"/>
  <c r="C6971" i="1"/>
  <c r="D6971" i="1"/>
  <c r="C6972" i="1"/>
  <c r="D6972" i="1"/>
  <c r="C6973" i="1"/>
  <c r="D6973" i="1"/>
  <c r="C6974" i="1"/>
  <c r="D6974" i="1"/>
  <c r="C6975" i="1"/>
  <c r="D6975" i="1"/>
  <c r="C6976" i="1"/>
  <c r="D6976" i="1"/>
  <c r="C6977" i="1"/>
  <c r="D6977" i="1"/>
  <c r="C6978" i="1"/>
  <c r="D6978" i="1"/>
  <c r="C6979" i="1"/>
  <c r="D6979" i="1"/>
  <c r="C6980" i="1"/>
  <c r="D6980" i="1"/>
  <c r="C6981" i="1"/>
  <c r="D6981" i="1"/>
  <c r="C6982" i="1"/>
  <c r="D6982" i="1"/>
  <c r="C6983" i="1"/>
  <c r="D6983" i="1"/>
  <c r="C6984" i="1"/>
  <c r="D6984" i="1"/>
  <c r="C6985" i="1"/>
  <c r="D6985" i="1"/>
  <c r="C6986" i="1"/>
  <c r="D6986" i="1"/>
  <c r="C6987" i="1"/>
  <c r="D6987" i="1"/>
  <c r="C6988" i="1"/>
  <c r="D6988" i="1"/>
  <c r="C6989" i="1"/>
  <c r="D6989" i="1"/>
  <c r="C6990" i="1"/>
  <c r="D6990" i="1"/>
  <c r="C6991" i="1"/>
  <c r="D6991" i="1"/>
  <c r="C6992" i="1"/>
  <c r="D6992" i="1"/>
  <c r="C6993" i="1"/>
  <c r="D6993" i="1"/>
  <c r="C6994" i="1"/>
  <c r="D6994" i="1"/>
  <c r="C6995" i="1"/>
  <c r="D6995" i="1"/>
  <c r="C6996" i="1"/>
  <c r="D6996" i="1"/>
  <c r="C6997" i="1"/>
  <c r="D6997" i="1"/>
  <c r="C6998" i="1"/>
  <c r="D6998" i="1"/>
  <c r="C6999" i="1"/>
  <c r="D6999" i="1"/>
  <c r="C7000" i="1"/>
  <c r="D7000" i="1"/>
  <c r="C7001" i="1"/>
  <c r="D7001" i="1"/>
  <c r="C7002" i="1"/>
  <c r="D7002" i="1"/>
  <c r="C7003" i="1"/>
  <c r="D7003" i="1"/>
  <c r="C7004" i="1"/>
  <c r="D7004" i="1"/>
  <c r="C7005" i="1"/>
  <c r="D7005" i="1"/>
  <c r="C7006" i="1"/>
  <c r="D7006" i="1"/>
  <c r="C7007" i="1"/>
  <c r="D7007" i="1"/>
  <c r="C7008" i="1"/>
  <c r="D7008" i="1"/>
  <c r="C7009" i="1"/>
  <c r="D7009" i="1"/>
  <c r="C7010" i="1"/>
  <c r="D7010" i="1"/>
  <c r="C7011" i="1"/>
  <c r="D7011" i="1"/>
  <c r="C7012" i="1"/>
  <c r="D7012" i="1"/>
  <c r="C7013" i="1"/>
  <c r="D7013" i="1"/>
  <c r="C7014" i="1"/>
  <c r="D7014" i="1"/>
  <c r="C7015" i="1"/>
  <c r="D7015" i="1"/>
  <c r="C7016" i="1"/>
  <c r="D7016" i="1"/>
  <c r="C7017" i="1"/>
  <c r="D7017" i="1"/>
  <c r="C7018" i="1"/>
  <c r="D7018" i="1"/>
  <c r="C7019" i="1"/>
  <c r="D7019" i="1"/>
  <c r="C7020" i="1"/>
  <c r="D7020" i="1"/>
  <c r="C7021" i="1"/>
  <c r="D7021" i="1"/>
  <c r="C7022" i="1"/>
  <c r="D7022" i="1"/>
  <c r="C7023" i="1"/>
  <c r="D7023" i="1"/>
  <c r="C7024" i="1"/>
  <c r="D7024" i="1"/>
  <c r="C7025" i="1"/>
  <c r="D7025" i="1"/>
  <c r="C7026" i="1"/>
  <c r="D7026" i="1"/>
  <c r="C7027" i="1"/>
  <c r="D7027" i="1"/>
  <c r="C7028" i="1"/>
  <c r="D7028" i="1"/>
  <c r="C7029" i="1"/>
  <c r="D7029" i="1"/>
  <c r="C7030" i="1"/>
  <c r="D7030" i="1"/>
  <c r="C7031" i="1"/>
  <c r="D7031" i="1"/>
  <c r="C7032" i="1"/>
  <c r="D7032" i="1"/>
  <c r="C7033" i="1"/>
  <c r="D7033" i="1"/>
  <c r="C7034" i="1"/>
  <c r="D7034" i="1"/>
  <c r="C7035" i="1"/>
  <c r="D7035" i="1"/>
  <c r="C7036" i="1"/>
  <c r="D7036" i="1"/>
  <c r="C7037" i="1"/>
  <c r="D7037" i="1"/>
  <c r="C7038" i="1"/>
  <c r="D7038" i="1"/>
  <c r="C7039" i="1"/>
  <c r="D7039" i="1"/>
  <c r="C7040" i="1"/>
  <c r="D7040" i="1"/>
  <c r="C7041" i="1"/>
  <c r="D7041" i="1"/>
  <c r="C7042" i="1"/>
  <c r="D7042" i="1"/>
  <c r="C7043" i="1"/>
  <c r="D7043" i="1"/>
  <c r="C7044" i="1"/>
  <c r="D7044" i="1"/>
  <c r="C7045" i="1"/>
  <c r="D7045" i="1"/>
  <c r="C7046" i="1"/>
  <c r="D7046" i="1"/>
  <c r="C7047" i="1"/>
  <c r="D7047" i="1"/>
  <c r="C7048" i="1"/>
  <c r="D7048" i="1"/>
  <c r="C7049" i="1"/>
  <c r="D7049" i="1"/>
  <c r="C7050" i="1"/>
  <c r="D7050" i="1"/>
  <c r="C7051" i="1"/>
  <c r="D7051" i="1"/>
  <c r="C7052" i="1"/>
  <c r="D7052" i="1"/>
  <c r="C7053" i="1"/>
  <c r="D7053" i="1"/>
  <c r="C7054" i="1"/>
  <c r="D7054" i="1"/>
  <c r="C7055" i="1"/>
  <c r="D7055" i="1"/>
  <c r="C7056" i="1"/>
  <c r="D7056" i="1"/>
  <c r="C7057" i="1"/>
  <c r="D7057" i="1"/>
  <c r="C7058" i="1"/>
  <c r="D7058" i="1"/>
  <c r="C7059" i="1"/>
  <c r="D7059" i="1"/>
  <c r="C7060" i="1"/>
  <c r="D7060" i="1"/>
  <c r="C7061" i="1"/>
  <c r="D7061" i="1"/>
  <c r="C7062" i="1"/>
  <c r="D7062" i="1"/>
  <c r="C7063" i="1"/>
  <c r="D7063" i="1"/>
  <c r="C7064" i="1"/>
  <c r="D7064" i="1"/>
  <c r="C7065" i="1"/>
  <c r="D7065" i="1"/>
  <c r="C7066" i="1"/>
  <c r="D7066" i="1"/>
  <c r="C7067" i="1"/>
  <c r="D7067" i="1"/>
  <c r="C7068" i="1"/>
  <c r="D7068" i="1"/>
  <c r="C7069" i="1"/>
  <c r="D7069" i="1"/>
  <c r="C7070" i="1"/>
  <c r="D7070" i="1"/>
  <c r="C7071" i="1"/>
  <c r="D7071" i="1"/>
  <c r="C7072" i="1"/>
  <c r="D7072" i="1"/>
  <c r="C7073" i="1"/>
  <c r="D7073" i="1"/>
  <c r="C7074" i="1"/>
  <c r="D7074" i="1"/>
  <c r="C7075" i="1"/>
  <c r="D7075" i="1"/>
  <c r="C7076" i="1"/>
  <c r="D7076" i="1"/>
  <c r="C7077" i="1"/>
  <c r="D7077" i="1"/>
  <c r="C7078" i="1"/>
  <c r="D7078" i="1"/>
  <c r="C7079" i="1"/>
  <c r="D7079" i="1"/>
  <c r="C7080" i="1"/>
  <c r="D7080" i="1"/>
  <c r="C7081" i="1"/>
  <c r="D7081" i="1"/>
  <c r="C7082" i="1"/>
  <c r="D7082" i="1"/>
  <c r="C7083" i="1"/>
  <c r="D7083" i="1"/>
  <c r="C7084" i="1"/>
  <c r="D7084" i="1"/>
  <c r="C7085" i="1"/>
  <c r="D7085" i="1"/>
  <c r="C7086" i="1"/>
  <c r="D7086" i="1"/>
  <c r="C7087" i="1"/>
  <c r="D7087" i="1"/>
  <c r="C7088" i="1"/>
  <c r="D7088" i="1"/>
  <c r="C7089" i="1"/>
  <c r="D7089" i="1"/>
  <c r="C7090" i="1"/>
  <c r="D7090" i="1"/>
  <c r="C7091" i="1"/>
  <c r="D7091" i="1"/>
  <c r="C7092" i="1"/>
  <c r="D7092" i="1"/>
  <c r="C7093" i="1"/>
  <c r="D7093" i="1"/>
  <c r="C7094" i="1"/>
  <c r="D7094" i="1"/>
  <c r="C7095" i="1"/>
  <c r="D7095" i="1"/>
  <c r="C7096" i="1"/>
  <c r="D7096" i="1"/>
  <c r="C7097" i="1"/>
  <c r="D7097" i="1"/>
  <c r="C7098" i="1"/>
  <c r="D7098" i="1"/>
  <c r="C7099" i="1"/>
  <c r="D7099" i="1"/>
  <c r="C7100" i="1"/>
  <c r="D7100" i="1"/>
  <c r="C7101" i="1"/>
  <c r="D7101" i="1"/>
  <c r="C7102" i="1"/>
  <c r="D7102" i="1"/>
  <c r="C7103" i="1"/>
  <c r="D7103" i="1"/>
  <c r="C7104" i="1"/>
  <c r="D7104" i="1"/>
  <c r="C7105" i="1"/>
  <c r="D7105" i="1"/>
  <c r="C7106" i="1"/>
  <c r="D7106" i="1"/>
  <c r="C7107" i="1"/>
  <c r="D7107" i="1"/>
  <c r="C7108" i="1"/>
  <c r="D7108" i="1"/>
  <c r="C7109" i="1"/>
  <c r="D7109" i="1"/>
  <c r="C7110" i="1"/>
  <c r="D7110" i="1"/>
  <c r="C7111" i="1"/>
  <c r="D7111" i="1"/>
  <c r="C7112" i="1"/>
  <c r="D7112" i="1"/>
  <c r="C7113" i="1"/>
  <c r="D7113" i="1"/>
  <c r="C7114" i="1"/>
  <c r="D7114" i="1"/>
  <c r="C7115" i="1"/>
  <c r="D7115" i="1"/>
  <c r="C7116" i="1"/>
  <c r="D7116" i="1"/>
  <c r="C7117" i="1"/>
  <c r="D7117" i="1"/>
  <c r="C7118" i="1"/>
  <c r="D7118" i="1"/>
  <c r="C7119" i="1"/>
  <c r="D7119" i="1"/>
  <c r="C7120" i="1"/>
  <c r="D7120" i="1"/>
  <c r="C7121" i="1"/>
  <c r="D7121" i="1"/>
  <c r="C7122" i="1"/>
  <c r="D7122" i="1"/>
  <c r="C7123" i="1"/>
  <c r="D7123" i="1"/>
  <c r="C7124" i="1"/>
  <c r="D7124" i="1"/>
  <c r="C7125" i="1"/>
  <c r="D7125" i="1"/>
  <c r="C7126" i="1"/>
  <c r="D7126" i="1"/>
  <c r="C7127" i="1"/>
  <c r="D7127" i="1"/>
  <c r="C7128" i="1"/>
  <c r="D7128" i="1"/>
  <c r="C7129" i="1"/>
  <c r="D7129" i="1"/>
  <c r="C7130" i="1"/>
  <c r="D7130" i="1"/>
  <c r="C7131" i="1"/>
  <c r="D7131" i="1"/>
  <c r="C7132" i="1"/>
  <c r="D7132" i="1"/>
  <c r="C7133" i="1"/>
  <c r="D7133" i="1"/>
  <c r="C7134" i="1"/>
  <c r="D7134" i="1"/>
  <c r="C7135" i="1"/>
  <c r="D7135" i="1"/>
  <c r="C7136" i="1"/>
  <c r="D7136" i="1"/>
  <c r="C7137" i="1"/>
  <c r="D7137" i="1"/>
  <c r="C7138" i="1"/>
  <c r="D7138" i="1"/>
  <c r="C7139" i="1"/>
  <c r="D7139" i="1"/>
  <c r="C7140" i="1"/>
  <c r="D7140" i="1"/>
  <c r="C7141" i="1"/>
  <c r="D7141" i="1"/>
  <c r="C7142" i="1"/>
  <c r="D7142" i="1"/>
  <c r="C7143" i="1"/>
  <c r="D7143" i="1"/>
  <c r="C7144" i="1"/>
  <c r="D7144" i="1"/>
  <c r="C7145" i="1"/>
  <c r="D7145" i="1"/>
  <c r="C7146" i="1"/>
  <c r="D7146" i="1"/>
  <c r="C7147" i="1"/>
  <c r="D7147" i="1"/>
  <c r="C7148" i="1"/>
  <c r="D7148" i="1"/>
  <c r="C7149" i="1"/>
  <c r="D7149" i="1"/>
  <c r="C7150" i="1"/>
  <c r="D7150" i="1"/>
  <c r="C7151" i="1"/>
  <c r="D7151" i="1"/>
  <c r="C7152" i="1"/>
  <c r="D7152" i="1"/>
  <c r="C7153" i="1"/>
  <c r="D7153" i="1"/>
  <c r="C7154" i="1"/>
  <c r="D7154" i="1"/>
  <c r="C7155" i="1"/>
  <c r="D7155" i="1"/>
  <c r="C7156" i="1"/>
  <c r="D7156" i="1"/>
  <c r="C7157" i="1"/>
  <c r="D7157" i="1"/>
  <c r="C7158" i="1"/>
  <c r="D7158" i="1"/>
  <c r="C7159" i="1"/>
  <c r="D7159" i="1"/>
  <c r="C7160" i="1"/>
  <c r="D7160" i="1"/>
  <c r="C7161" i="1"/>
  <c r="D7161" i="1"/>
  <c r="C7162" i="1"/>
  <c r="D7162" i="1"/>
  <c r="C7163" i="1"/>
  <c r="D7163" i="1"/>
  <c r="C7164" i="1"/>
  <c r="D7164" i="1"/>
  <c r="C7165" i="1"/>
  <c r="D7165" i="1"/>
  <c r="C7166" i="1"/>
  <c r="D7166" i="1"/>
  <c r="C7167" i="1"/>
  <c r="D7167" i="1"/>
  <c r="C7168" i="1"/>
  <c r="D7168" i="1"/>
  <c r="C7169" i="1"/>
  <c r="D7169" i="1"/>
  <c r="C7170" i="1"/>
  <c r="D7170" i="1"/>
  <c r="C7171" i="1"/>
  <c r="D7171" i="1"/>
  <c r="C7172" i="1"/>
  <c r="D7172" i="1"/>
  <c r="C7173" i="1"/>
  <c r="D7173" i="1"/>
  <c r="C7174" i="1"/>
  <c r="D7174" i="1"/>
  <c r="C7175" i="1"/>
  <c r="D7175" i="1"/>
  <c r="C7176" i="1"/>
  <c r="D7176" i="1"/>
  <c r="C7177" i="1"/>
  <c r="D7177" i="1"/>
  <c r="C7178" i="1"/>
  <c r="D7178" i="1"/>
  <c r="C7179" i="1"/>
  <c r="D7179" i="1"/>
  <c r="C7180" i="1"/>
  <c r="D7180" i="1"/>
  <c r="C7181" i="1"/>
  <c r="D7181" i="1"/>
  <c r="C7182" i="1"/>
  <c r="D7182" i="1"/>
  <c r="C7183" i="1"/>
  <c r="D7183" i="1"/>
  <c r="C7184" i="1"/>
  <c r="D7184" i="1"/>
  <c r="C7185" i="1"/>
  <c r="D7185" i="1"/>
  <c r="C7186" i="1"/>
  <c r="D7186" i="1"/>
  <c r="C7187" i="1"/>
  <c r="D7187" i="1"/>
  <c r="C7188" i="1"/>
  <c r="D7188" i="1"/>
  <c r="C7189" i="1"/>
  <c r="D7189" i="1"/>
  <c r="C7190" i="1"/>
  <c r="D7190" i="1"/>
  <c r="C7191" i="1"/>
  <c r="D7191" i="1"/>
  <c r="C7192" i="1"/>
  <c r="D7192" i="1"/>
  <c r="C7193" i="1"/>
  <c r="D7193" i="1"/>
  <c r="C7194" i="1"/>
  <c r="D7194" i="1"/>
  <c r="C7195" i="1"/>
  <c r="D7195" i="1"/>
  <c r="C7196" i="1"/>
  <c r="D7196" i="1"/>
  <c r="C7197" i="1"/>
  <c r="D7197" i="1"/>
  <c r="C7198" i="1"/>
  <c r="D7198" i="1"/>
  <c r="C7199" i="1"/>
  <c r="D7199" i="1"/>
  <c r="C7200" i="1"/>
  <c r="D7200" i="1"/>
  <c r="C7201" i="1"/>
  <c r="D7201" i="1"/>
  <c r="C7202" i="1"/>
  <c r="D7202" i="1"/>
  <c r="C7203" i="1"/>
  <c r="D7203" i="1"/>
  <c r="C7204" i="1"/>
  <c r="D7204" i="1"/>
  <c r="C7205" i="1"/>
  <c r="D7205" i="1"/>
  <c r="C7206" i="1"/>
  <c r="D7206" i="1"/>
  <c r="C7207" i="1"/>
  <c r="D7207" i="1"/>
  <c r="C7208" i="1"/>
  <c r="D7208" i="1"/>
  <c r="C7209" i="1"/>
  <c r="D7209" i="1"/>
  <c r="C7210" i="1"/>
  <c r="D7210" i="1"/>
  <c r="C7211" i="1"/>
  <c r="D7211" i="1"/>
  <c r="C7212" i="1"/>
  <c r="D7212" i="1"/>
  <c r="C7213" i="1"/>
  <c r="D7213" i="1"/>
  <c r="C7214" i="1"/>
  <c r="D7214" i="1"/>
  <c r="C7215" i="1"/>
  <c r="D7215" i="1"/>
  <c r="C7216" i="1"/>
  <c r="D7216" i="1"/>
  <c r="C7217" i="1"/>
  <c r="D7217" i="1"/>
  <c r="C7218" i="1"/>
  <c r="D7218" i="1"/>
  <c r="C7219" i="1"/>
  <c r="D7219" i="1"/>
  <c r="C7220" i="1"/>
  <c r="D7220" i="1"/>
  <c r="C7221" i="1"/>
  <c r="D7221" i="1"/>
  <c r="C7222" i="1"/>
  <c r="D7222" i="1"/>
  <c r="C7223" i="1"/>
  <c r="D7223" i="1"/>
  <c r="C7224" i="1"/>
  <c r="D7224" i="1"/>
  <c r="C7225" i="1"/>
  <c r="D7225" i="1"/>
  <c r="C7226" i="1"/>
  <c r="D7226" i="1"/>
  <c r="C7227" i="1"/>
  <c r="D7227" i="1"/>
  <c r="C7228" i="1"/>
  <c r="D7228" i="1"/>
  <c r="C7229" i="1"/>
  <c r="D7229" i="1"/>
  <c r="C7230" i="1"/>
  <c r="D7230" i="1"/>
  <c r="C7231" i="1"/>
  <c r="D7231" i="1"/>
  <c r="C7232" i="1"/>
  <c r="D7232" i="1"/>
  <c r="C7233" i="1"/>
  <c r="D7233" i="1"/>
  <c r="C7234" i="1"/>
  <c r="D7234" i="1"/>
  <c r="C7235" i="1"/>
  <c r="D7235" i="1"/>
  <c r="C7236" i="1"/>
  <c r="D7236" i="1"/>
  <c r="C7237" i="1"/>
  <c r="D7237" i="1"/>
  <c r="C7238" i="1"/>
  <c r="D7238" i="1"/>
  <c r="C7239" i="1"/>
  <c r="D7239" i="1"/>
  <c r="C7240" i="1"/>
  <c r="D7240" i="1"/>
  <c r="C7241" i="1"/>
  <c r="D7241" i="1"/>
  <c r="C7242" i="1"/>
  <c r="D7242" i="1"/>
  <c r="C7243" i="1"/>
  <c r="D7243" i="1"/>
  <c r="C7244" i="1"/>
  <c r="D7244" i="1"/>
  <c r="C7245" i="1"/>
  <c r="D7245" i="1"/>
  <c r="C7246" i="1"/>
  <c r="D7246" i="1"/>
  <c r="C7247" i="1"/>
  <c r="D7247" i="1"/>
  <c r="C7248" i="1"/>
  <c r="D7248" i="1"/>
  <c r="C7249" i="1"/>
  <c r="D7249" i="1"/>
  <c r="C7250" i="1"/>
  <c r="D7250" i="1"/>
  <c r="C7251" i="1"/>
  <c r="D7251" i="1"/>
  <c r="C7252" i="1"/>
  <c r="D7252" i="1"/>
  <c r="C7253" i="1"/>
  <c r="D7253" i="1"/>
  <c r="C7254" i="1"/>
  <c r="D7254" i="1"/>
  <c r="C7255" i="1"/>
  <c r="D7255" i="1"/>
  <c r="C7256" i="1"/>
  <c r="D7256" i="1"/>
  <c r="C7257" i="1"/>
  <c r="D7257" i="1"/>
  <c r="C7258" i="1"/>
  <c r="D7258" i="1"/>
  <c r="C7259" i="1"/>
  <c r="D7259" i="1"/>
  <c r="C7260" i="1"/>
  <c r="D7260" i="1"/>
  <c r="C7261" i="1"/>
  <c r="D7261" i="1"/>
  <c r="C7262" i="1"/>
  <c r="D7262" i="1"/>
  <c r="C7263" i="1"/>
  <c r="D7263" i="1"/>
  <c r="C7264" i="1"/>
  <c r="D7264" i="1"/>
  <c r="C7265" i="1"/>
  <c r="D7265" i="1"/>
  <c r="C7266" i="1"/>
  <c r="D7266" i="1"/>
  <c r="C7267" i="1"/>
  <c r="D7267" i="1"/>
  <c r="C7268" i="1"/>
  <c r="D7268" i="1"/>
  <c r="C7269" i="1"/>
  <c r="D7269" i="1"/>
  <c r="C7270" i="1"/>
  <c r="D7270" i="1"/>
  <c r="C7271" i="1"/>
  <c r="D7271" i="1"/>
  <c r="C7272" i="1"/>
  <c r="D7272" i="1"/>
  <c r="C7273" i="1"/>
  <c r="D7273" i="1"/>
  <c r="C7274" i="1"/>
  <c r="D7274" i="1"/>
  <c r="C7275" i="1"/>
  <c r="D7275" i="1"/>
  <c r="C7276" i="1"/>
  <c r="D7276" i="1"/>
  <c r="C7277" i="1"/>
  <c r="D7277" i="1"/>
  <c r="C7278" i="1"/>
  <c r="D7278" i="1"/>
  <c r="C7279" i="1"/>
  <c r="D7279" i="1"/>
  <c r="C7280" i="1"/>
  <c r="D7280" i="1"/>
  <c r="C7281" i="1"/>
  <c r="D7281" i="1"/>
  <c r="C7282" i="1"/>
  <c r="D7282" i="1"/>
  <c r="C7283" i="1"/>
  <c r="D7283" i="1"/>
  <c r="C7284" i="1"/>
  <c r="D7284" i="1"/>
  <c r="C7285" i="1"/>
  <c r="D7285" i="1"/>
  <c r="C7286" i="1"/>
  <c r="D7286" i="1"/>
  <c r="C7287" i="1"/>
  <c r="D7287" i="1"/>
  <c r="C7288" i="1"/>
  <c r="D7288" i="1"/>
  <c r="C7289" i="1"/>
  <c r="D7289" i="1"/>
  <c r="C7290" i="1"/>
  <c r="D7290" i="1"/>
  <c r="C7291" i="1"/>
  <c r="D7291" i="1"/>
  <c r="C7292" i="1"/>
  <c r="D7292" i="1"/>
  <c r="C7293" i="1"/>
  <c r="D7293" i="1"/>
  <c r="C7294" i="1"/>
  <c r="D7294" i="1"/>
  <c r="C7295" i="1"/>
  <c r="D7295" i="1"/>
  <c r="C7296" i="1"/>
  <c r="D7296" i="1"/>
  <c r="C7297" i="1"/>
  <c r="D7297" i="1"/>
  <c r="C7298" i="1"/>
  <c r="D7298" i="1"/>
  <c r="C7299" i="1"/>
  <c r="D7299" i="1"/>
  <c r="C7300" i="1"/>
  <c r="D7300" i="1"/>
  <c r="C7301" i="1"/>
  <c r="D7301" i="1"/>
  <c r="C7302" i="1"/>
  <c r="D7302" i="1"/>
  <c r="C7303" i="1"/>
  <c r="D7303" i="1"/>
  <c r="C7304" i="1"/>
  <c r="D7304" i="1"/>
  <c r="C7305" i="1"/>
  <c r="D7305" i="1"/>
  <c r="C7306" i="1"/>
  <c r="D7306" i="1"/>
  <c r="C7307" i="1"/>
  <c r="D7307" i="1"/>
  <c r="C7308" i="1"/>
  <c r="D7308" i="1"/>
  <c r="C7309" i="1"/>
  <c r="D7309" i="1"/>
  <c r="C7310" i="1"/>
  <c r="D7310" i="1"/>
  <c r="C7311" i="1"/>
  <c r="D7311" i="1"/>
  <c r="C7312" i="1"/>
  <c r="D7312" i="1"/>
  <c r="C7313" i="1"/>
  <c r="D7313" i="1"/>
  <c r="C7314" i="1"/>
  <c r="D7314" i="1"/>
  <c r="C7315" i="1"/>
  <c r="D7315" i="1"/>
  <c r="C7316" i="1"/>
  <c r="D7316" i="1"/>
  <c r="C7317" i="1"/>
  <c r="D7317" i="1"/>
  <c r="C7318" i="1"/>
  <c r="D7318" i="1"/>
  <c r="C7319" i="1"/>
  <c r="D7319" i="1"/>
  <c r="C7320" i="1"/>
  <c r="D7320" i="1"/>
  <c r="C7321" i="1"/>
  <c r="D7321" i="1"/>
  <c r="C7322" i="1"/>
  <c r="D7322" i="1"/>
  <c r="C7323" i="1"/>
  <c r="D7323" i="1"/>
  <c r="C7324" i="1"/>
  <c r="D7324" i="1"/>
  <c r="C7325" i="1"/>
  <c r="D7325" i="1"/>
  <c r="C7326" i="1"/>
  <c r="D7326" i="1"/>
  <c r="C7327" i="1"/>
  <c r="D7327" i="1"/>
  <c r="C7328" i="1"/>
  <c r="D7328" i="1"/>
  <c r="C7329" i="1"/>
  <c r="D7329" i="1"/>
  <c r="C7330" i="1"/>
  <c r="D7330" i="1"/>
  <c r="C7331" i="1"/>
  <c r="D7331" i="1"/>
  <c r="C7332" i="1"/>
  <c r="D7332" i="1"/>
  <c r="C7333" i="1"/>
  <c r="D7333" i="1"/>
  <c r="C7334" i="1"/>
  <c r="D7334" i="1"/>
  <c r="C7335" i="1"/>
  <c r="D7335" i="1"/>
  <c r="C7336" i="1"/>
  <c r="D7336" i="1"/>
  <c r="C7337" i="1"/>
  <c r="D7337" i="1"/>
  <c r="C7338" i="1"/>
  <c r="D7338" i="1"/>
  <c r="C7339" i="1"/>
  <c r="D7339" i="1"/>
  <c r="C7340" i="1"/>
  <c r="D7340" i="1"/>
  <c r="C7341" i="1"/>
  <c r="D7341" i="1"/>
  <c r="C7342" i="1"/>
  <c r="D7342" i="1"/>
  <c r="C7343" i="1"/>
  <c r="D7343" i="1"/>
  <c r="C7344" i="1"/>
  <c r="D7344" i="1"/>
  <c r="C7345" i="1"/>
  <c r="D7345" i="1"/>
  <c r="C7346" i="1"/>
  <c r="D7346" i="1"/>
  <c r="C7347" i="1"/>
  <c r="D7347" i="1"/>
  <c r="C7348" i="1"/>
  <c r="D7348" i="1"/>
  <c r="C7349" i="1"/>
  <c r="D7349" i="1"/>
  <c r="C7350" i="1"/>
  <c r="D7350" i="1"/>
  <c r="C7351" i="1"/>
  <c r="D7351" i="1"/>
  <c r="C7352" i="1"/>
  <c r="D7352" i="1"/>
  <c r="C7353" i="1"/>
  <c r="D7353" i="1"/>
  <c r="C7354" i="1"/>
  <c r="D7354" i="1"/>
  <c r="C7355" i="1"/>
  <c r="D7355" i="1"/>
  <c r="C7356" i="1"/>
  <c r="D7356" i="1"/>
  <c r="C7357" i="1"/>
  <c r="D7357" i="1"/>
  <c r="C7358" i="1"/>
  <c r="D7358" i="1"/>
  <c r="C7359" i="1"/>
  <c r="D7359" i="1"/>
  <c r="C7360" i="1"/>
  <c r="D7360" i="1"/>
  <c r="C7361" i="1"/>
  <c r="D7361" i="1"/>
  <c r="C7362" i="1"/>
  <c r="D7362" i="1"/>
  <c r="C7363" i="1"/>
  <c r="D7363" i="1"/>
  <c r="C7364" i="1"/>
  <c r="D7364" i="1"/>
  <c r="C7365" i="1"/>
  <c r="D7365" i="1"/>
  <c r="C7366" i="1"/>
  <c r="D7366" i="1"/>
  <c r="C7367" i="1"/>
  <c r="D7367" i="1"/>
  <c r="C7368" i="1"/>
  <c r="D7368" i="1"/>
  <c r="C7369" i="1"/>
  <c r="D7369" i="1"/>
  <c r="C7370" i="1"/>
  <c r="D7370" i="1"/>
  <c r="C7371" i="1"/>
  <c r="D7371" i="1"/>
  <c r="C7372" i="1"/>
  <c r="D7372" i="1"/>
  <c r="C7373" i="1"/>
  <c r="D7373" i="1"/>
  <c r="C7374" i="1"/>
  <c r="D7374" i="1"/>
  <c r="C7375" i="1"/>
  <c r="D7375" i="1"/>
  <c r="C7376" i="1"/>
  <c r="D7376" i="1"/>
  <c r="C7377" i="1"/>
  <c r="D7377" i="1"/>
  <c r="C7378" i="1"/>
  <c r="D7378" i="1"/>
  <c r="C7379" i="1"/>
  <c r="D7379" i="1"/>
  <c r="C7380" i="1"/>
  <c r="D7380" i="1"/>
  <c r="C7381" i="1"/>
  <c r="D7381" i="1"/>
  <c r="C7382" i="1"/>
  <c r="D7382" i="1"/>
  <c r="C7383" i="1"/>
  <c r="D7383" i="1"/>
  <c r="C7384" i="1"/>
  <c r="D7384" i="1"/>
  <c r="C7385" i="1"/>
  <c r="D7385" i="1"/>
  <c r="C7386" i="1"/>
  <c r="D7386" i="1"/>
  <c r="C7387" i="1"/>
  <c r="D7387" i="1"/>
  <c r="C7388" i="1"/>
  <c r="D7388" i="1"/>
  <c r="C7389" i="1"/>
  <c r="D7389" i="1"/>
  <c r="C7390" i="1"/>
  <c r="D7390" i="1"/>
  <c r="C7391" i="1"/>
  <c r="D7391" i="1"/>
  <c r="C7392" i="1"/>
  <c r="D7392" i="1"/>
  <c r="C7393" i="1"/>
  <c r="D7393" i="1"/>
  <c r="C7394" i="1"/>
  <c r="D7394" i="1"/>
  <c r="C7395" i="1"/>
  <c r="D7395" i="1"/>
  <c r="C7396" i="1"/>
  <c r="D7396" i="1"/>
  <c r="C7397" i="1"/>
  <c r="D7397" i="1"/>
  <c r="C7398" i="1"/>
  <c r="D7398" i="1"/>
  <c r="C7399" i="1"/>
  <c r="D7399" i="1"/>
  <c r="C7400" i="1"/>
  <c r="D7400" i="1"/>
  <c r="C7401" i="1"/>
  <c r="D7401" i="1"/>
  <c r="C7402" i="1"/>
  <c r="D7402" i="1"/>
  <c r="C7403" i="1"/>
  <c r="D7403" i="1"/>
  <c r="C7404" i="1"/>
  <c r="D7404" i="1"/>
  <c r="C7405" i="1"/>
  <c r="D7405" i="1"/>
  <c r="C7406" i="1"/>
  <c r="D7406" i="1"/>
  <c r="C7407" i="1"/>
  <c r="D7407" i="1"/>
  <c r="C7408" i="1"/>
  <c r="D7408" i="1"/>
  <c r="C7409" i="1"/>
  <c r="D7409" i="1"/>
  <c r="C7410" i="1"/>
  <c r="D7410" i="1"/>
  <c r="C7411" i="1"/>
  <c r="D7411" i="1"/>
  <c r="C7412" i="1"/>
  <c r="D7412" i="1"/>
  <c r="C7413" i="1"/>
  <c r="D7413" i="1"/>
  <c r="C7414" i="1"/>
  <c r="D7414" i="1"/>
  <c r="C7415" i="1"/>
  <c r="D7415" i="1"/>
  <c r="C7416" i="1"/>
  <c r="D7416" i="1"/>
  <c r="C7417" i="1"/>
  <c r="D7417" i="1"/>
  <c r="C7418" i="1"/>
  <c r="D7418" i="1"/>
  <c r="C7419" i="1"/>
  <c r="D7419" i="1"/>
  <c r="C7420" i="1"/>
  <c r="D7420" i="1"/>
  <c r="C7421" i="1"/>
  <c r="D7421" i="1"/>
  <c r="C7422" i="1"/>
  <c r="D7422" i="1"/>
  <c r="C7423" i="1"/>
  <c r="D7423" i="1"/>
  <c r="C7424" i="1"/>
  <c r="D7424" i="1"/>
  <c r="C7425" i="1"/>
  <c r="D7425" i="1"/>
  <c r="C7426" i="1"/>
  <c r="D7426" i="1"/>
  <c r="C7427" i="1"/>
  <c r="D7427" i="1"/>
  <c r="C7428" i="1"/>
  <c r="D7428" i="1"/>
  <c r="C7429" i="1"/>
  <c r="D7429" i="1"/>
  <c r="C7430" i="1"/>
  <c r="D7430" i="1"/>
  <c r="C7431" i="1"/>
  <c r="D7431" i="1"/>
  <c r="C7432" i="1"/>
  <c r="D7432" i="1"/>
  <c r="C7433" i="1"/>
  <c r="D7433" i="1"/>
  <c r="C7434" i="1"/>
  <c r="D7434" i="1"/>
  <c r="C7435" i="1"/>
  <c r="D7435" i="1"/>
  <c r="C7436" i="1"/>
  <c r="D7436" i="1"/>
  <c r="C7437" i="1"/>
  <c r="D7437" i="1"/>
  <c r="C7438" i="1"/>
  <c r="D7438" i="1"/>
  <c r="C7439" i="1"/>
  <c r="D7439" i="1"/>
  <c r="C7440" i="1"/>
  <c r="D7440" i="1"/>
  <c r="C7441" i="1"/>
  <c r="D7441" i="1"/>
  <c r="C7442" i="1"/>
  <c r="D7442" i="1"/>
  <c r="C7443" i="1"/>
  <c r="D7443" i="1"/>
  <c r="C7444" i="1"/>
  <c r="D7444" i="1"/>
  <c r="C7445" i="1"/>
  <c r="D7445" i="1"/>
  <c r="C7446" i="1"/>
  <c r="D7446" i="1"/>
  <c r="C7447" i="1"/>
  <c r="D7447" i="1"/>
  <c r="C7448" i="1"/>
  <c r="D7448" i="1"/>
  <c r="C7449" i="1"/>
  <c r="D7449" i="1"/>
  <c r="C7450" i="1"/>
  <c r="D7450" i="1"/>
  <c r="C7451" i="1"/>
  <c r="D7451" i="1"/>
  <c r="C7452" i="1"/>
  <c r="D7452" i="1"/>
  <c r="C7453" i="1"/>
  <c r="D7453" i="1"/>
  <c r="C7454" i="1"/>
  <c r="D7454" i="1"/>
  <c r="C7455" i="1"/>
  <c r="D7455" i="1"/>
  <c r="C7456" i="1"/>
  <c r="D7456" i="1"/>
  <c r="C7457" i="1"/>
  <c r="D7457" i="1"/>
  <c r="C7458" i="1"/>
  <c r="D7458" i="1"/>
  <c r="C7459" i="1"/>
  <c r="D7459" i="1"/>
  <c r="C7460" i="1"/>
  <c r="D7460" i="1"/>
  <c r="C7461" i="1"/>
  <c r="D7461" i="1"/>
  <c r="C7462" i="1"/>
  <c r="D7462" i="1"/>
  <c r="C7463" i="1"/>
  <c r="D7463" i="1"/>
  <c r="C7464" i="1"/>
  <c r="D7464" i="1"/>
  <c r="C7465" i="1"/>
  <c r="D7465" i="1"/>
  <c r="C7466" i="1"/>
  <c r="D7466" i="1"/>
  <c r="C7467" i="1"/>
  <c r="D7467" i="1"/>
  <c r="C7468" i="1"/>
  <c r="D7468" i="1"/>
  <c r="C7469" i="1"/>
  <c r="D7469" i="1"/>
  <c r="C7470" i="1"/>
  <c r="D7470" i="1"/>
  <c r="C7471" i="1"/>
  <c r="D7471" i="1"/>
  <c r="C7472" i="1"/>
  <c r="D7472" i="1"/>
  <c r="C7473" i="1"/>
  <c r="D7473" i="1"/>
  <c r="C7474" i="1"/>
  <c r="D7474" i="1"/>
  <c r="C7475" i="1"/>
  <c r="D7475" i="1"/>
  <c r="C7476" i="1"/>
  <c r="D7476" i="1"/>
  <c r="C7477" i="1"/>
  <c r="D7477" i="1"/>
  <c r="C7478" i="1"/>
  <c r="D7478" i="1"/>
  <c r="C7479" i="1"/>
  <c r="D7479" i="1"/>
  <c r="C7480" i="1"/>
  <c r="D7480" i="1"/>
  <c r="C7481" i="1"/>
  <c r="D7481" i="1"/>
  <c r="C7482" i="1"/>
  <c r="D7482" i="1"/>
  <c r="C7483" i="1"/>
  <c r="D7483" i="1"/>
  <c r="C7484" i="1"/>
  <c r="D7484" i="1"/>
  <c r="C7485" i="1"/>
  <c r="D7485" i="1"/>
  <c r="C7486" i="1"/>
  <c r="D7486" i="1"/>
  <c r="C7487" i="1"/>
  <c r="D7487" i="1"/>
  <c r="C7488" i="1"/>
  <c r="D7488" i="1"/>
  <c r="C7489" i="1"/>
  <c r="D7489" i="1"/>
  <c r="C7490" i="1"/>
  <c r="D7490" i="1"/>
  <c r="C7491" i="1"/>
  <c r="D7491" i="1"/>
  <c r="C7492" i="1"/>
  <c r="D7492" i="1"/>
  <c r="C7493" i="1"/>
  <c r="D7493" i="1"/>
  <c r="C7494" i="1"/>
  <c r="D7494" i="1"/>
  <c r="C7495" i="1"/>
  <c r="D7495" i="1"/>
  <c r="C7496" i="1"/>
  <c r="D7496" i="1"/>
  <c r="C7497" i="1"/>
  <c r="D7497" i="1"/>
  <c r="C7498" i="1"/>
  <c r="D7498" i="1"/>
  <c r="C7499" i="1"/>
  <c r="D7499" i="1"/>
  <c r="C7500" i="1"/>
  <c r="D7500" i="1"/>
  <c r="C7501" i="1"/>
  <c r="D7501" i="1"/>
  <c r="C7502" i="1"/>
  <c r="D7502" i="1"/>
  <c r="C7503" i="1"/>
  <c r="D7503" i="1"/>
  <c r="C7504" i="1"/>
  <c r="D7504" i="1"/>
  <c r="C7505" i="1"/>
  <c r="D7505" i="1"/>
  <c r="C7506" i="1"/>
  <c r="D7506" i="1"/>
  <c r="C7507" i="1"/>
  <c r="D7507" i="1"/>
  <c r="C7508" i="1"/>
  <c r="D7508" i="1"/>
  <c r="C7509" i="1"/>
  <c r="D7509" i="1"/>
  <c r="C7510" i="1"/>
  <c r="D7510" i="1"/>
  <c r="C7511" i="1"/>
  <c r="D7511" i="1"/>
  <c r="C7512" i="1"/>
  <c r="D7512" i="1"/>
  <c r="C7513" i="1"/>
  <c r="D7513" i="1"/>
  <c r="C7514" i="1"/>
  <c r="D7514" i="1"/>
  <c r="C7515" i="1"/>
  <c r="D7515" i="1"/>
  <c r="C7516" i="1"/>
  <c r="D7516" i="1"/>
  <c r="C7517" i="1"/>
  <c r="D7517" i="1"/>
  <c r="C7518" i="1"/>
  <c r="D7518" i="1"/>
  <c r="C7519" i="1"/>
  <c r="D7519" i="1"/>
  <c r="C7520" i="1"/>
  <c r="D7520" i="1"/>
  <c r="C7521" i="1"/>
  <c r="D7521" i="1"/>
  <c r="C7522" i="1"/>
  <c r="D7522" i="1"/>
  <c r="C7523" i="1"/>
  <c r="D7523" i="1"/>
  <c r="C7524" i="1"/>
  <c r="D7524" i="1"/>
  <c r="C7525" i="1"/>
  <c r="D7525" i="1"/>
  <c r="C7526" i="1"/>
  <c r="D7526" i="1"/>
  <c r="C7527" i="1"/>
  <c r="D7527" i="1"/>
  <c r="C7528" i="1"/>
  <c r="D7528" i="1"/>
  <c r="C7529" i="1"/>
  <c r="D7529" i="1"/>
  <c r="C7530" i="1"/>
  <c r="D7530" i="1"/>
  <c r="C7531" i="1"/>
  <c r="D7531" i="1"/>
  <c r="C7532" i="1"/>
  <c r="D7532" i="1"/>
  <c r="C7533" i="1"/>
  <c r="D7533" i="1"/>
  <c r="C7534" i="1"/>
  <c r="D7534" i="1"/>
  <c r="C7535" i="1"/>
  <c r="D7535" i="1"/>
  <c r="C7536" i="1"/>
  <c r="D7536" i="1"/>
  <c r="C7537" i="1"/>
  <c r="D7537" i="1"/>
  <c r="C7538" i="1"/>
  <c r="D7538" i="1"/>
  <c r="C7539" i="1"/>
  <c r="D7539" i="1"/>
  <c r="C7540" i="1"/>
  <c r="D7540" i="1"/>
  <c r="C7541" i="1"/>
  <c r="D7541" i="1"/>
  <c r="C7542" i="1"/>
  <c r="D7542" i="1"/>
  <c r="C7543" i="1"/>
  <c r="D7543" i="1"/>
  <c r="C7544" i="1"/>
  <c r="D7544" i="1"/>
  <c r="C7545" i="1"/>
  <c r="D7545" i="1"/>
  <c r="C7546" i="1"/>
  <c r="D7546" i="1"/>
  <c r="C7547" i="1"/>
  <c r="D7547" i="1"/>
  <c r="C7548" i="1"/>
  <c r="D7548" i="1"/>
  <c r="C7549" i="1"/>
  <c r="D7549" i="1"/>
  <c r="C7550" i="1"/>
  <c r="D7550" i="1"/>
  <c r="C7551" i="1"/>
  <c r="D7551" i="1"/>
  <c r="C7552" i="1"/>
  <c r="D7552" i="1"/>
  <c r="C7553" i="1"/>
  <c r="D7553" i="1"/>
  <c r="C7554" i="1"/>
  <c r="D7554" i="1"/>
  <c r="C7555" i="1"/>
  <c r="D7555" i="1"/>
  <c r="C7556" i="1"/>
  <c r="D7556" i="1"/>
  <c r="C7557" i="1"/>
  <c r="D7557" i="1"/>
  <c r="C7558" i="1"/>
  <c r="D7558" i="1"/>
  <c r="C7559" i="1"/>
  <c r="D7559" i="1"/>
  <c r="C7560" i="1"/>
  <c r="D7560" i="1"/>
  <c r="C7561" i="1"/>
  <c r="D7561" i="1"/>
  <c r="C7562" i="1"/>
  <c r="D7562" i="1"/>
  <c r="C7563" i="1"/>
  <c r="D7563" i="1"/>
  <c r="C7564" i="1"/>
  <c r="D7564" i="1"/>
  <c r="C7565" i="1"/>
  <c r="D7565" i="1"/>
  <c r="C7566" i="1"/>
  <c r="D7566" i="1"/>
  <c r="C7567" i="1"/>
  <c r="D7567" i="1"/>
  <c r="C7568" i="1"/>
  <c r="D7568" i="1"/>
  <c r="C7569" i="1"/>
  <c r="D7569" i="1"/>
  <c r="C7570" i="1"/>
  <c r="D7570" i="1"/>
  <c r="C7571" i="1"/>
  <c r="D7571" i="1"/>
  <c r="C7572" i="1"/>
  <c r="D7572" i="1"/>
  <c r="C7573" i="1"/>
  <c r="D7573" i="1"/>
  <c r="C7574" i="1"/>
  <c r="D7574" i="1"/>
  <c r="C7575" i="1"/>
  <c r="D7575" i="1"/>
  <c r="C7576" i="1"/>
  <c r="D7576" i="1"/>
  <c r="C7577" i="1"/>
  <c r="D7577" i="1"/>
  <c r="C7578" i="1"/>
  <c r="D7578" i="1"/>
  <c r="C7579" i="1"/>
  <c r="D7579" i="1"/>
  <c r="C7580" i="1"/>
  <c r="D7580" i="1"/>
  <c r="C7581" i="1"/>
  <c r="D7581" i="1"/>
  <c r="C7582" i="1"/>
  <c r="D7582" i="1"/>
  <c r="C7583" i="1"/>
  <c r="D7583" i="1"/>
  <c r="C7584" i="1"/>
  <c r="D7584" i="1"/>
  <c r="C7585" i="1"/>
  <c r="D7585" i="1"/>
  <c r="C7586" i="1"/>
  <c r="D7586" i="1"/>
  <c r="C7587" i="1"/>
  <c r="D7587" i="1"/>
  <c r="C7588" i="1"/>
  <c r="D7588" i="1"/>
  <c r="C7589" i="1"/>
  <c r="D7589" i="1"/>
  <c r="C7590" i="1"/>
  <c r="D7590" i="1"/>
  <c r="C7591" i="1"/>
  <c r="D7591" i="1"/>
  <c r="C7592" i="1"/>
  <c r="D7592" i="1"/>
  <c r="C7593" i="1"/>
  <c r="D7593" i="1"/>
  <c r="C7594" i="1"/>
  <c r="D7594" i="1"/>
  <c r="C7595" i="1"/>
  <c r="D7595" i="1"/>
  <c r="C7596" i="1"/>
  <c r="D7596" i="1"/>
  <c r="C7597" i="1"/>
  <c r="D7597" i="1"/>
  <c r="C7598" i="1"/>
  <c r="D7598" i="1"/>
  <c r="C7599" i="1"/>
  <c r="D7599" i="1"/>
  <c r="C7600" i="1"/>
  <c r="D7600" i="1"/>
  <c r="C7601" i="1"/>
  <c r="D7601" i="1"/>
  <c r="C7602" i="1"/>
  <c r="D7602" i="1"/>
  <c r="C7603" i="1"/>
  <c r="D7603" i="1"/>
  <c r="C7604" i="1"/>
  <c r="D7604" i="1"/>
  <c r="C7605" i="1"/>
  <c r="D7605" i="1"/>
  <c r="C7606" i="1"/>
  <c r="D7606" i="1"/>
  <c r="C7607" i="1"/>
  <c r="D7607" i="1"/>
  <c r="C7608" i="1"/>
  <c r="D7608" i="1"/>
  <c r="C7609" i="1"/>
  <c r="D7609" i="1"/>
  <c r="C7610" i="1"/>
  <c r="D7610" i="1"/>
  <c r="C7611" i="1"/>
  <c r="D7611" i="1"/>
  <c r="C7612" i="1"/>
  <c r="D7612" i="1"/>
  <c r="C7613" i="1"/>
  <c r="D7613" i="1"/>
  <c r="C7614" i="1"/>
  <c r="D7614" i="1"/>
  <c r="C7615" i="1"/>
  <c r="D7615" i="1"/>
  <c r="C7616" i="1"/>
  <c r="D7616" i="1"/>
  <c r="C7617" i="1"/>
  <c r="D7617" i="1"/>
  <c r="C7618" i="1"/>
  <c r="D7618" i="1"/>
  <c r="C7619" i="1"/>
  <c r="D7619" i="1"/>
  <c r="C7620" i="1"/>
  <c r="D7620" i="1"/>
  <c r="C7621" i="1"/>
  <c r="D7621" i="1"/>
  <c r="C7622" i="1"/>
  <c r="D7622" i="1"/>
  <c r="C7623" i="1"/>
  <c r="D7623" i="1"/>
  <c r="C7624" i="1"/>
  <c r="D7624" i="1"/>
  <c r="C7625" i="1"/>
  <c r="D7625" i="1"/>
  <c r="C7626" i="1"/>
  <c r="D7626" i="1"/>
  <c r="C7627" i="1"/>
  <c r="D7627" i="1"/>
  <c r="C7628" i="1"/>
  <c r="D7628" i="1"/>
  <c r="C7629" i="1"/>
  <c r="D7629" i="1"/>
  <c r="C7630" i="1"/>
  <c r="D7630" i="1"/>
  <c r="C7631" i="1"/>
  <c r="D7631" i="1"/>
  <c r="C7632" i="1"/>
  <c r="D7632" i="1"/>
  <c r="C7633" i="1"/>
  <c r="D7633" i="1"/>
  <c r="C7634" i="1"/>
  <c r="D7634" i="1"/>
  <c r="C7635" i="1"/>
  <c r="D7635" i="1"/>
  <c r="C7636" i="1"/>
  <c r="D7636" i="1"/>
  <c r="C7637" i="1"/>
  <c r="D7637" i="1"/>
  <c r="C7638" i="1"/>
  <c r="D7638" i="1"/>
  <c r="C7639" i="1"/>
  <c r="D7639" i="1"/>
  <c r="C7640" i="1"/>
  <c r="D7640" i="1"/>
  <c r="C7641" i="1"/>
  <c r="D7641" i="1"/>
  <c r="C7642" i="1"/>
  <c r="D7642" i="1"/>
  <c r="C7643" i="1"/>
  <c r="D7643" i="1"/>
  <c r="C7644" i="1"/>
  <c r="D7644" i="1"/>
  <c r="C7645" i="1"/>
  <c r="D7645" i="1"/>
  <c r="C7646" i="1"/>
  <c r="D7646" i="1"/>
  <c r="C7647" i="1"/>
  <c r="D7647" i="1"/>
  <c r="C7648" i="1"/>
  <c r="D7648" i="1"/>
  <c r="C7649" i="1"/>
  <c r="D7649" i="1"/>
  <c r="C7650" i="1"/>
  <c r="D7650" i="1"/>
  <c r="C7651" i="1"/>
  <c r="D7651" i="1"/>
  <c r="C7652" i="1"/>
  <c r="D7652" i="1"/>
  <c r="C7653" i="1"/>
  <c r="D7653" i="1"/>
  <c r="C7654" i="1"/>
  <c r="D7654" i="1"/>
  <c r="C7655" i="1"/>
  <c r="D7655" i="1"/>
  <c r="C7656" i="1"/>
  <c r="D7656" i="1"/>
  <c r="C7657" i="1"/>
  <c r="D7657" i="1"/>
  <c r="C7658" i="1"/>
  <c r="D7658" i="1"/>
  <c r="C7659" i="1"/>
  <c r="D7659" i="1"/>
  <c r="C7660" i="1"/>
  <c r="D7660" i="1"/>
  <c r="C7661" i="1"/>
  <c r="D7661" i="1"/>
  <c r="C7662" i="1"/>
  <c r="D7662" i="1"/>
  <c r="C7663" i="1"/>
  <c r="D7663" i="1"/>
  <c r="C7664" i="1"/>
  <c r="D7664" i="1"/>
  <c r="C7665" i="1"/>
  <c r="D7665" i="1"/>
  <c r="C7666" i="1"/>
  <c r="D7666" i="1"/>
  <c r="C7667" i="1"/>
  <c r="D7667" i="1"/>
  <c r="C7668" i="1"/>
  <c r="D7668" i="1"/>
  <c r="C7669" i="1"/>
  <c r="D7669" i="1"/>
  <c r="C7670" i="1"/>
  <c r="D7670" i="1"/>
  <c r="C7671" i="1"/>
  <c r="D7671" i="1"/>
  <c r="C7672" i="1"/>
  <c r="D7672" i="1"/>
  <c r="C7673" i="1"/>
  <c r="D7673" i="1"/>
  <c r="C7674" i="1"/>
  <c r="D7674" i="1"/>
  <c r="C7675" i="1"/>
  <c r="D7675" i="1"/>
  <c r="C7676" i="1"/>
  <c r="D7676" i="1"/>
  <c r="C7677" i="1"/>
  <c r="D7677" i="1"/>
  <c r="C7678" i="1"/>
  <c r="D7678" i="1"/>
  <c r="C7679" i="1"/>
  <c r="D7679" i="1"/>
  <c r="C7680" i="1"/>
  <c r="D7680" i="1"/>
  <c r="C7681" i="1"/>
  <c r="D7681" i="1"/>
  <c r="C7682" i="1"/>
  <c r="D7682" i="1"/>
  <c r="C7683" i="1"/>
  <c r="D7683" i="1"/>
  <c r="C7684" i="1"/>
  <c r="D7684" i="1"/>
  <c r="C7685" i="1"/>
  <c r="D7685" i="1"/>
  <c r="C7686" i="1"/>
  <c r="D7686" i="1"/>
  <c r="C7687" i="1"/>
  <c r="D7687" i="1"/>
  <c r="C7688" i="1"/>
  <c r="D7688" i="1"/>
  <c r="C7689" i="1"/>
  <c r="D7689" i="1"/>
  <c r="C7690" i="1"/>
  <c r="D7690" i="1"/>
  <c r="C7691" i="1"/>
  <c r="D7691" i="1"/>
  <c r="C7692" i="1"/>
  <c r="D7692" i="1"/>
  <c r="C7693" i="1"/>
  <c r="D7693" i="1"/>
  <c r="C7694" i="1"/>
  <c r="D7694" i="1"/>
  <c r="C7695" i="1"/>
  <c r="D7695" i="1"/>
  <c r="C7696" i="1"/>
  <c r="D7696" i="1"/>
  <c r="C7697" i="1"/>
  <c r="D7697" i="1"/>
  <c r="C7698" i="1"/>
  <c r="D7698" i="1"/>
  <c r="C7699" i="1"/>
  <c r="D7699" i="1"/>
  <c r="C7700" i="1"/>
  <c r="D7700" i="1"/>
  <c r="C7701" i="1"/>
  <c r="D7701" i="1"/>
  <c r="C7702" i="1"/>
  <c r="D7702" i="1"/>
  <c r="C7703" i="1"/>
  <c r="D7703" i="1"/>
  <c r="C7704" i="1"/>
  <c r="D7704" i="1"/>
  <c r="C7705" i="1"/>
  <c r="D7705" i="1"/>
  <c r="C7706" i="1"/>
  <c r="D7706" i="1"/>
  <c r="C7707" i="1"/>
  <c r="D7707" i="1"/>
  <c r="C7708" i="1"/>
  <c r="D7708" i="1"/>
  <c r="C7709" i="1"/>
  <c r="D7709" i="1"/>
  <c r="C7710" i="1"/>
  <c r="D7710" i="1"/>
  <c r="C7711" i="1"/>
  <c r="D7711" i="1"/>
  <c r="C7712" i="1"/>
  <c r="D7712" i="1"/>
  <c r="C7713" i="1"/>
  <c r="D7713" i="1"/>
  <c r="C7714" i="1"/>
  <c r="D7714" i="1"/>
  <c r="C7715" i="1"/>
  <c r="D7715" i="1"/>
  <c r="C7716" i="1"/>
  <c r="D7716" i="1"/>
  <c r="C7717" i="1"/>
  <c r="D7717" i="1"/>
  <c r="C7718" i="1"/>
  <c r="D7718" i="1"/>
  <c r="C7719" i="1"/>
  <c r="D7719" i="1"/>
  <c r="C7720" i="1"/>
  <c r="D7720" i="1"/>
  <c r="C7721" i="1"/>
  <c r="D7721" i="1"/>
  <c r="C7722" i="1"/>
  <c r="D7722" i="1"/>
  <c r="C7723" i="1"/>
  <c r="D7723" i="1"/>
  <c r="C7724" i="1"/>
  <c r="D7724" i="1"/>
  <c r="C7725" i="1"/>
  <c r="D7725" i="1"/>
  <c r="C7726" i="1"/>
  <c r="D7726" i="1"/>
  <c r="C7727" i="1"/>
  <c r="D7727" i="1"/>
  <c r="C7728" i="1"/>
  <c r="D7728" i="1"/>
  <c r="C7729" i="1"/>
  <c r="D7729" i="1"/>
  <c r="C7730" i="1"/>
  <c r="D7730" i="1"/>
  <c r="C7731" i="1"/>
  <c r="D7731" i="1"/>
  <c r="C7732" i="1"/>
  <c r="D7732" i="1"/>
  <c r="C7733" i="1"/>
  <c r="D7733" i="1"/>
  <c r="C7734" i="1"/>
  <c r="D7734" i="1"/>
  <c r="C7735" i="1"/>
  <c r="D7735" i="1"/>
  <c r="C7736" i="1"/>
  <c r="D7736" i="1"/>
  <c r="C7737" i="1"/>
  <c r="D7737" i="1"/>
  <c r="C7738" i="1"/>
  <c r="D7738" i="1"/>
  <c r="C7739" i="1"/>
  <c r="D7739" i="1"/>
  <c r="C7740" i="1"/>
  <c r="D7740" i="1"/>
  <c r="C7741" i="1"/>
  <c r="D7741" i="1"/>
  <c r="C7742" i="1"/>
  <c r="D7742" i="1"/>
  <c r="C7743" i="1"/>
  <c r="D7743" i="1"/>
  <c r="C7744" i="1"/>
  <c r="D7744" i="1"/>
  <c r="C7745" i="1"/>
  <c r="D7745" i="1"/>
  <c r="C7746" i="1"/>
  <c r="D7746" i="1"/>
  <c r="C7747" i="1"/>
  <c r="D7747" i="1"/>
  <c r="C7748" i="1"/>
  <c r="D7748" i="1"/>
  <c r="C7749" i="1"/>
  <c r="D7749" i="1"/>
  <c r="C7750" i="1"/>
  <c r="D7750" i="1"/>
  <c r="C7751" i="1"/>
  <c r="D7751" i="1"/>
  <c r="C7752" i="1"/>
  <c r="D7752" i="1"/>
  <c r="C7753" i="1"/>
  <c r="D7753" i="1"/>
  <c r="C7754" i="1"/>
  <c r="D7754" i="1"/>
  <c r="C7755" i="1"/>
  <c r="D7755" i="1"/>
  <c r="C7756" i="1"/>
  <c r="D7756" i="1"/>
  <c r="C7757" i="1"/>
  <c r="D7757" i="1"/>
  <c r="C7758" i="1"/>
  <c r="D7758" i="1"/>
  <c r="C7759" i="1"/>
  <c r="D7759" i="1"/>
  <c r="C7760" i="1"/>
  <c r="D7760" i="1"/>
  <c r="C7761" i="1"/>
  <c r="D7761" i="1"/>
  <c r="C7762" i="1"/>
  <c r="D7762" i="1"/>
  <c r="C7763" i="1"/>
  <c r="D7763" i="1"/>
  <c r="C7764" i="1"/>
  <c r="D7764" i="1"/>
  <c r="C7765" i="1"/>
  <c r="D7765" i="1"/>
  <c r="C7766" i="1"/>
  <c r="D7766" i="1"/>
  <c r="C7767" i="1"/>
  <c r="D7767" i="1"/>
  <c r="C7768" i="1"/>
  <c r="D7768" i="1"/>
  <c r="C7769" i="1"/>
  <c r="D7769" i="1"/>
  <c r="C7770" i="1"/>
  <c r="D7770" i="1"/>
  <c r="C7771" i="1"/>
  <c r="D7771" i="1"/>
  <c r="C7772" i="1"/>
  <c r="D7772" i="1"/>
  <c r="C7773" i="1"/>
  <c r="D7773" i="1"/>
  <c r="C7774" i="1"/>
  <c r="D7774" i="1"/>
  <c r="C7775" i="1"/>
  <c r="D7775" i="1"/>
  <c r="C7776" i="1"/>
  <c r="D7776" i="1"/>
  <c r="C7777" i="1"/>
  <c r="D7777" i="1"/>
  <c r="C7778" i="1"/>
  <c r="D7778" i="1"/>
  <c r="C7779" i="1"/>
  <c r="D7779" i="1"/>
  <c r="C7780" i="1"/>
  <c r="D7780" i="1"/>
  <c r="C7781" i="1"/>
  <c r="D7781" i="1"/>
  <c r="C7782" i="1"/>
  <c r="D7782" i="1"/>
  <c r="C7783" i="1"/>
  <c r="D7783" i="1"/>
  <c r="C7784" i="1"/>
  <c r="D7784" i="1"/>
  <c r="C7785" i="1"/>
  <c r="D7785" i="1"/>
  <c r="C7786" i="1"/>
  <c r="D7786" i="1"/>
  <c r="C7787" i="1"/>
  <c r="D7787" i="1"/>
  <c r="C7788" i="1"/>
  <c r="D7788" i="1"/>
  <c r="C7789" i="1"/>
  <c r="D7789" i="1"/>
  <c r="C7790" i="1"/>
  <c r="D7790" i="1"/>
  <c r="C7791" i="1"/>
  <c r="D7791" i="1"/>
  <c r="C7792" i="1"/>
  <c r="D7792" i="1"/>
  <c r="C7793" i="1"/>
  <c r="D7793" i="1"/>
  <c r="C7794" i="1"/>
  <c r="D7794" i="1"/>
  <c r="C7795" i="1"/>
  <c r="D7795" i="1"/>
  <c r="C7796" i="1"/>
  <c r="D7796" i="1"/>
  <c r="C7797" i="1"/>
  <c r="D7797" i="1"/>
  <c r="C7798" i="1"/>
  <c r="D7798" i="1"/>
  <c r="C7799" i="1"/>
  <c r="D7799" i="1"/>
  <c r="C7800" i="1"/>
  <c r="D7800" i="1"/>
  <c r="C7801" i="1"/>
  <c r="D7801" i="1"/>
  <c r="C7802" i="1"/>
  <c r="D7802" i="1"/>
  <c r="C7803" i="1"/>
  <c r="D7803" i="1"/>
  <c r="C7804" i="1"/>
  <c r="D7804" i="1"/>
  <c r="C7805" i="1"/>
  <c r="D7805" i="1"/>
  <c r="C7806" i="1"/>
  <c r="D7806" i="1"/>
  <c r="C7807" i="1"/>
  <c r="D7807" i="1"/>
  <c r="C7808" i="1"/>
  <c r="D7808" i="1"/>
  <c r="C7809" i="1"/>
  <c r="D7809" i="1"/>
  <c r="C7810" i="1"/>
  <c r="D7810" i="1"/>
  <c r="C7811" i="1"/>
  <c r="D7811" i="1"/>
  <c r="C7812" i="1"/>
  <c r="D7812" i="1"/>
  <c r="C7813" i="1"/>
  <c r="D7813" i="1"/>
  <c r="C7814" i="1"/>
  <c r="D7814" i="1"/>
  <c r="C7815" i="1"/>
  <c r="D7815" i="1"/>
  <c r="C7816" i="1"/>
  <c r="D7816" i="1"/>
  <c r="C7817" i="1"/>
  <c r="D7817" i="1"/>
  <c r="C7818" i="1"/>
  <c r="D7818" i="1"/>
  <c r="C7819" i="1"/>
  <c r="D7819" i="1"/>
  <c r="C7820" i="1"/>
  <c r="D7820" i="1"/>
  <c r="C7821" i="1"/>
  <c r="D7821" i="1"/>
  <c r="C7822" i="1"/>
  <c r="D7822" i="1"/>
  <c r="C7823" i="1"/>
  <c r="D7823" i="1"/>
  <c r="C7824" i="1"/>
  <c r="D7824" i="1"/>
  <c r="C7825" i="1"/>
  <c r="D7825" i="1"/>
  <c r="C7826" i="1"/>
  <c r="D7826" i="1"/>
  <c r="C7827" i="1"/>
  <c r="D7827" i="1"/>
  <c r="C7828" i="1"/>
  <c r="D7828" i="1"/>
  <c r="C7829" i="1"/>
  <c r="D7829" i="1"/>
  <c r="C7830" i="1"/>
  <c r="D7830" i="1"/>
  <c r="C7831" i="1"/>
  <c r="D7831" i="1"/>
  <c r="C7832" i="1"/>
  <c r="D7832" i="1"/>
  <c r="C7833" i="1"/>
  <c r="D7833" i="1"/>
  <c r="C7834" i="1"/>
  <c r="D7834" i="1"/>
  <c r="C7835" i="1"/>
  <c r="D7835" i="1"/>
  <c r="C7836" i="1"/>
  <c r="D7836" i="1"/>
  <c r="C7837" i="1"/>
  <c r="D7837" i="1"/>
  <c r="C7838" i="1"/>
  <c r="D7838" i="1"/>
  <c r="C7839" i="1"/>
  <c r="D7839" i="1"/>
  <c r="C7840" i="1"/>
  <c r="D7840" i="1"/>
  <c r="C7841" i="1"/>
  <c r="D7841" i="1"/>
  <c r="C7842" i="1"/>
  <c r="D7842" i="1"/>
  <c r="C7843" i="1"/>
  <c r="D7843" i="1"/>
  <c r="C7844" i="1"/>
  <c r="D7844" i="1"/>
  <c r="C7845" i="1"/>
  <c r="D7845" i="1"/>
  <c r="C7846" i="1"/>
  <c r="D7846" i="1"/>
  <c r="C7847" i="1"/>
  <c r="D7847" i="1"/>
  <c r="C7848" i="1"/>
  <c r="D7848" i="1"/>
  <c r="C7849" i="1"/>
  <c r="D7849" i="1"/>
  <c r="C7850" i="1"/>
  <c r="D7850" i="1"/>
  <c r="C7851" i="1"/>
  <c r="D7851" i="1"/>
  <c r="C7852" i="1"/>
  <c r="D7852" i="1"/>
  <c r="C7853" i="1"/>
  <c r="D7853" i="1"/>
  <c r="C7854" i="1"/>
  <c r="D7854" i="1"/>
  <c r="C7855" i="1"/>
  <c r="D7855" i="1"/>
  <c r="C7856" i="1"/>
  <c r="D7856" i="1"/>
  <c r="C7857" i="1"/>
  <c r="D7857" i="1"/>
  <c r="C7858" i="1"/>
  <c r="D7858" i="1"/>
  <c r="C7859" i="1"/>
  <c r="D7859" i="1"/>
  <c r="C7860" i="1"/>
  <c r="D7860" i="1"/>
  <c r="C7861" i="1"/>
  <c r="D7861" i="1"/>
  <c r="C7862" i="1"/>
  <c r="D7862" i="1"/>
  <c r="C7863" i="1"/>
  <c r="D7863" i="1"/>
  <c r="C7864" i="1"/>
  <c r="D7864" i="1"/>
  <c r="C7865" i="1"/>
  <c r="D7865" i="1"/>
  <c r="C7866" i="1"/>
  <c r="D7866" i="1"/>
  <c r="C7867" i="1"/>
  <c r="D7867" i="1"/>
  <c r="C7868" i="1"/>
  <c r="D7868" i="1"/>
  <c r="C7869" i="1"/>
  <c r="D7869" i="1"/>
  <c r="C7870" i="1"/>
  <c r="D7870" i="1"/>
  <c r="C7871" i="1"/>
  <c r="D7871" i="1"/>
  <c r="C7872" i="1"/>
  <c r="D7872" i="1"/>
  <c r="C7873" i="1"/>
  <c r="D7873" i="1"/>
  <c r="C7874" i="1"/>
  <c r="D7874" i="1"/>
  <c r="C7875" i="1"/>
  <c r="D7875" i="1"/>
  <c r="C7876" i="1"/>
  <c r="D7876" i="1"/>
  <c r="C7877" i="1"/>
  <c r="D7877" i="1"/>
  <c r="C7878" i="1"/>
  <c r="D7878" i="1"/>
  <c r="C7879" i="1"/>
  <c r="D7879" i="1"/>
  <c r="C7880" i="1"/>
  <c r="D7880" i="1"/>
  <c r="C7881" i="1"/>
  <c r="D7881" i="1"/>
  <c r="C7882" i="1"/>
  <c r="D7882" i="1"/>
  <c r="C7883" i="1"/>
  <c r="D7883" i="1"/>
  <c r="C7884" i="1"/>
  <c r="D7884" i="1"/>
  <c r="C7885" i="1"/>
  <c r="D7885" i="1"/>
  <c r="C7886" i="1"/>
  <c r="D7886" i="1"/>
  <c r="C7887" i="1"/>
  <c r="D7887" i="1"/>
  <c r="C7888" i="1"/>
  <c r="D7888" i="1"/>
  <c r="C7889" i="1"/>
  <c r="D7889" i="1"/>
  <c r="C7890" i="1"/>
  <c r="D7890" i="1"/>
  <c r="C7891" i="1"/>
  <c r="D7891" i="1"/>
  <c r="C7892" i="1"/>
  <c r="D7892" i="1"/>
  <c r="C7893" i="1"/>
  <c r="D7893" i="1"/>
  <c r="C7894" i="1"/>
  <c r="D7894" i="1"/>
  <c r="C7895" i="1"/>
  <c r="D7895" i="1"/>
  <c r="C7896" i="1"/>
  <c r="D7896" i="1"/>
  <c r="C7897" i="1"/>
  <c r="D7897" i="1"/>
  <c r="C7898" i="1"/>
  <c r="D7898" i="1"/>
  <c r="C7899" i="1"/>
  <c r="D7899" i="1"/>
  <c r="C7900" i="1"/>
  <c r="D7900" i="1"/>
  <c r="C7901" i="1"/>
  <c r="D7901" i="1"/>
  <c r="C7902" i="1"/>
  <c r="D7902" i="1"/>
  <c r="C7903" i="1"/>
  <c r="D7903" i="1"/>
  <c r="C7904" i="1"/>
  <c r="D7904" i="1"/>
  <c r="C7905" i="1"/>
  <c r="D7905" i="1"/>
  <c r="C7906" i="1"/>
  <c r="D7906" i="1"/>
  <c r="C7907" i="1"/>
  <c r="D7907" i="1"/>
  <c r="C7908" i="1"/>
  <c r="D7908" i="1"/>
  <c r="C7909" i="1"/>
  <c r="D7909" i="1"/>
  <c r="C7910" i="1"/>
  <c r="D7910" i="1"/>
  <c r="C7911" i="1"/>
  <c r="D7911" i="1"/>
  <c r="C7912" i="1"/>
  <c r="D7912" i="1"/>
  <c r="C7913" i="1"/>
  <c r="D7913" i="1"/>
  <c r="C7914" i="1"/>
  <c r="D7914" i="1"/>
  <c r="C7915" i="1"/>
  <c r="D7915" i="1"/>
  <c r="C7916" i="1"/>
  <c r="D7916" i="1"/>
  <c r="C7917" i="1"/>
  <c r="D7917" i="1"/>
  <c r="C7918" i="1"/>
  <c r="D7918" i="1"/>
  <c r="C7919" i="1"/>
  <c r="D7919" i="1"/>
  <c r="C7920" i="1"/>
  <c r="D7920" i="1"/>
  <c r="C7921" i="1"/>
  <c r="D7921" i="1"/>
  <c r="C7922" i="1"/>
  <c r="D7922" i="1"/>
  <c r="C7923" i="1"/>
  <c r="D7923" i="1"/>
  <c r="C7924" i="1"/>
  <c r="D7924" i="1"/>
  <c r="C7925" i="1"/>
  <c r="D7925" i="1"/>
  <c r="C7926" i="1"/>
  <c r="D7926" i="1"/>
  <c r="C7927" i="1"/>
  <c r="D7927" i="1"/>
  <c r="C7928" i="1"/>
  <c r="D7928" i="1"/>
  <c r="C7929" i="1"/>
  <c r="D7929" i="1"/>
  <c r="C7930" i="1"/>
  <c r="D7930" i="1"/>
  <c r="C7931" i="1"/>
  <c r="D7931" i="1"/>
  <c r="C7932" i="1"/>
  <c r="D7932" i="1"/>
  <c r="C7933" i="1"/>
  <c r="D7933" i="1"/>
  <c r="C7934" i="1"/>
  <c r="D7934" i="1"/>
  <c r="C7935" i="1"/>
  <c r="D7935" i="1"/>
  <c r="C7936" i="1"/>
  <c r="D7936" i="1"/>
  <c r="C7937" i="1"/>
  <c r="D7937" i="1"/>
  <c r="C7938" i="1"/>
  <c r="D7938" i="1"/>
  <c r="C7939" i="1"/>
  <c r="D7939" i="1"/>
  <c r="C7940" i="1"/>
  <c r="D7940" i="1"/>
  <c r="C7941" i="1"/>
  <c r="D7941" i="1"/>
  <c r="C7942" i="1"/>
  <c r="D7942" i="1"/>
  <c r="C7943" i="1"/>
  <c r="D7943" i="1"/>
  <c r="C7944" i="1"/>
  <c r="D7944" i="1"/>
  <c r="C7945" i="1"/>
  <c r="D7945" i="1"/>
  <c r="C7946" i="1"/>
  <c r="D7946" i="1"/>
  <c r="C7947" i="1"/>
  <c r="D7947" i="1"/>
  <c r="C7948" i="1"/>
  <c r="D7948" i="1"/>
  <c r="C7949" i="1"/>
  <c r="D7949" i="1"/>
  <c r="C7950" i="1"/>
  <c r="D7950" i="1"/>
  <c r="C7951" i="1"/>
  <c r="D7951" i="1"/>
  <c r="C7952" i="1"/>
  <c r="D7952" i="1"/>
  <c r="C7953" i="1"/>
  <c r="D7953" i="1"/>
  <c r="C7954" i="1"/>
  <c r="D7954" i="1"/>
  <c r="C7955" i="1"/>
  <c r="D7955" i="1"/>
  <c r="C7956" i="1"/>
  <c r="D7956" i="1"/>
  <c r="C7957" i="1"/>
  <c r="D7957" i="1"/>
  <c r="C7958" i="1"/>
  <c r="D7958" i="1"/>
  <c r="C7959" i="1"/>
  <c r="D7959" i="1"/>
  <c r="C7960" i="1"/>
  <c r="D7960" i="1"/>
  <c r="C7961" i="1"/>
  <c r="D7961" i="1"/>
  <c r="C7962" i="1"/>
  <c r="D7962" i="1"/>
  <c r="C7963" i="1"/>
  <c r="D7963" i="1"/>
  <c r="C7964" i="1"/>
  <c r="D7964" i="1"/>
  <c r="C7965" i="1"/>
  <c r="D7965" i="1"/>
  <c r="C7966" i="1"/>
  <c r="D7966" i="1"/>
  <c r="C7967" i="1"/>
  <c r="D7967" i="1"/>
  <c r="C7968" i="1"/>
  <c r="D7968" i="1"/>
  <c r="C7969" i="1"/>
  <c r="D7969" i="1"/>
  <c r="C7970" i="1"/>
  <c r="D7970" i="1"/>
  <c r="C7971" i="1"/>
  <c r="D7971" i="1"/>
  <c r="C7972" i="1"/>
  <c r="D7972" i="1"/>
  <c r="C7973" i="1"/>
  <c r="D7973" i="1"/>
  <c r="C7974" i="1"/>
  <c r="D7974" i="1"/>
  <c r="C7975" i="1"/>
  <c r="D7975" i="1"/>
  <c r="C7976" i="1"/>
  <c r="D7976" i="1"/>
  <c r="C7977" i="1"/>
  <c r="D7977" i="1"/>
  <c r="C7978" i="1"/>
  <c r="D7978" i="1"/>
  <c r="C7979" i="1"/>
  <c r="D7979" i="1"/>
  <c r="C7980" i="1"/>
  <c r="D7980" i="1"/>
  <c r="C7981" i="1"/>
  <c r="D7981" i="1"/>
  <c r="C7982" i="1"/>
  <c r="D7982" i="1"/>
  <c r="C7983" i="1"/>
  <c r="D7983" i="1"/>
  <c r="C7984" i="1"/>
  <c r="D7984" i="1"/>
  <c r="C7985" i="1"/>
  <c r="D7985" i="1"/>
  <c r="C7986" i="1"/>
  <c r="D7986" i="1"/>
  <c r="C7987" i="1"/>
  <c r="D7987" i="1"/>
  <c r="C7988" i="1"/>
  <c r="D7988" i="1"/>
  <c r="C7989" i="1"/>
  <c r="D7989" i="1"/>
  <c r="C7990" i="1"/>
  <c r="D7990" i="1"/>
  <c r="C7991" i="1"/>
  <c r="D7991" i="1"/>
  <c r="C7992" i="1"/>
  <c r="D7992" i="1"/>
  <c r="C7993" i="1"/>
  <c r="D7993" i="1"/>
  <c r="C7994" i="1"/>
  <c r="D7994" i="1"/>
  <c r="C7995" i="1"/>
  <c r="D7995" i="1"/>
  <c r="C7996" i="1"/>
  <c r="D7996" i="1"/>
  <c r="C7997" i="1"/>
  <c r="D7997" i="1"/>
  <c r="C7998" i="1"/>
  <c r="D7998" i="1"/>
  <c r="C7999" i="1"/>
  <c r="D7999" i="1"/>
  <c r="C8000" i="1"/>
  <c r="D8000" i="1"/>
  <c r="C8001" i="1"/>
  <c r="D8001" i="1"/>
  <c r="C8002" i="1"/>
  <c r="D8002" i="1"/>
  <c r="C8003" i="1"/>
  <c r="D8003" i="1"/>
  <c r="C8004" i="1"/>
  <c r="D8004" i="1"/>
  <c r="C8005" i="1"/>
  <c r="D8005" i="1"/>
  <c r="C8006" i="1"/>
  <c r="D8006" i="1"/>
  <c r="C8007" i="1"/>
  <c r="D8007" i="1"/>
  <c r="C8008" i="1"/>
  <c r="D8008" i="1"/>
  <c r="C8009" i="1"/>
  <c r="D8009" i="1"/>
  <c r="C8010" i="1"/>
  <c r="D8010" i="1"/>
  <c r="C8011" i="1"/>
  <c r="D8011" i="1"/>
  <c r="C8012" i="1"/>
  <c r="D8012" i="1"/>
  <c r="C8013" i="1"/>
  <c r="D8013" i="1"/>
  <c r="C8014" i="1"/>
  <c r="D8014" i="1"/>
  <c r="C8015" i="1"/>
  <c r="D8015" i="1"/>
  <c r="C8016" i="1"/>
  <c r="D8016" i="1"/>
  <c r="C8017" i="1"/>
  <c r="D8017" i="1"/>
  <c r="C8018" i="1"/>
  <c r="D8018" i="1"/>
  <c r="C8019" i="1"/>
  <c r="D8019" i="1"/>
  <c r="C8020" i="1"/>
  <c r="D8020" i="1"/>
  <c r="C8021" i="1"/>
  <c r="D8021" i="1"/>
  <c r="C8022" i="1"/>
  <c r="D8022" i="1"/>
  <c r="C8023" i="1"/>
  <c r="D8023" i="1"/>
  <c r="C8024" i="1"/>
  <c r="D8024" i="1"/>
  <c r="C8025" i="1"/>
  <c r="D8025" i="1"/>
  <c r="C8026" i="1"/>
  <c r="D8026" i="1"/>
  <c r="C8027" i="1"/>
  <c r="D8027" i="1"/>
  <c r="C8028" i="1"/>
  <c r="D8028" i="1"/>
  <c r="C8029" i="1"/>
  <c r="D8029" i="1"/>
  <c r="C8030" i="1"/>
  <c r="D8030" i="1"/>
  <c r="C8031" i="1"/>
  <c r="D8031" i="1"/>
  <c r="C8032" i="1"/>
  <c r="D8032" i="1"/>
  <c r="C8033" i="1"/>
  <c r="D8033" i="1"/>
  <c r="C8034" i="1"/>
  <c r="D8034" i="1"/>
  <c r="C8035" i="1"/>
  <c r="D8035" i="1"/>
  <c r="C8036" i="1"/>
  <c r="D8036" i="1"/>
  <c r="C8037" i="1"/>
  <c r="D8037" i="1"/>
  <c r="C8038" i="1"/>
  <c r="D8038" i="1"/>
  <c r="C8039" i="1"/>
  <c r="D8039" i="1"/>
  <c r="C8040" i="1"/>
  <c r="D8040" i="1"/>
  <c r="C8041" i="1"/>
  <c r="D8041" i="1"/>
  <c r="C8042" i="1"/>
  <c r="D8042" i="1"/>
  <c r="C8043" i="1"/>
  <c r="D8043" i="1"/>
  <c r="C8044" i="1"/>
  <c r="D8044" i="1"/>
  <c r="C8045" i="1"/>
  <c r="D8045" i="1"/>
  <c r="C8046" i="1"/>
  <c r="D8046" i="1"/>
  <c r="C8047" i="1"/>
  <c r="D8047" i="1"/>
  <c r="C8048" i="1"/>
  <c r="D8048" i="1"/>
  <c r="C8049" i="1"/>
  <c r="D8049" i="1"/>
  <c r="C8050" i="1"/>
  <c r="D8050" i="1"/>
  <c r="C8051" i="1"/>
  <c r="D8051" i="1"/>
  <c r="C8052" i="1"/>
  <c r="D8052" i="1"/>
  <c r="C8053" i="1"/>
  <c r="D8053" i="1"/>
  <c r="C8054" i="1"/>
  <c r="D8054" i="1"/>
  <c r="C8055" i="1"/>
  <c r="D8055" i="1"/>
  <c r="C8056" i="1"/>
  <c r="D8056" i="1"/>
  <c r="C8057" i="1"/>
  <c r="D8057" i="1"/>
  <c r="C8058" i="1"/>
  <c r="D8058" i="1"/>
  <c r="C8059" i="1"/>
  <c r="D8059" i="1"/>
  <c r="C8060" i="1"/>
  <c r="D8060" i="1"/>
  <c r="C8061" i="1"/>
  <c r="D8061" i="1"/>
  <c r="C8062" i="1"/>
  <c r="D8062" i="1"/>
  <c r="C8063" i="1"/>
  <c r="D8063" i="1"/>
  <c r="C8064" i="1"/>
  <c r="D8064" i="1"/>
  <c r="C8065" i="1"/>
  <c r="D8065" i="1"/>
  <c r="C8066" i="1"/>
  <c r="D8066" i="1"/>
  <c r="C8067" i="1"/>
  <c r="D8067" i="1"/>
  <c r="C8068" i="1"/>
  <c r="D8068" i="1"/>
  <c r="C8069" i="1"/>
  <c r="D8069" i="1"/>
  <c r="C8070" i="1"/>
  <c r="D8070" i="1"/>
  <c r="C8071" i="1"/>
  <c r="D8071" i="1"/>
  <c r="C8072" i="1"/>
  <c r="D8072" i="1"/>
  <c r="C8073" i="1"/>
  <c r="D8073" i="1"/>
  <c r="C8074" i="1"/>
  <c r="D8074" i="1"/>
  <c r="C8075" i="1"/>
  <c r="D8075" i="1"/>
  <c r="C8076" i="1"/>
  <c r="D8076" i="1"/>
  <c r="C8077" i="1"/>
  <c r="D8077" i="1"/>
  <c r="C8078" i="1"/>
  <c r="D8078" i="1"/>
  <c r="C8079" i="1"/>
  <c r="D8079" i="1"/>
  <c r="C8080" i="1"/>
  <c r="D8080" i="1"/>
  <c r="C8081" i="1"/>
  <c r="D8081" i="1"/>
  <c r="C8082" i="1"/>
  <c r="D8082" i="1"/>
  <c r="C8083" i="1"/>
  <c r="D8083" i="1"/>
  <c r="C8084" i="1"/>
  <c r="D8084" i="1"/>
  <c r="C8085" i="1"/>
  <c r="D8085" i="1"/>
  <c r="C8086" i="1"/>
  <c r="D8086" i="1"/>
  <c r="C8087" i="1"/>
  <c r="D8087" i="1"/>
  <c r="C8088" i="1"/>
  <c r="D8088" i="1"/>
  <c r="C8089" i="1"/>
  <c r="D8089" i="1"/>
  <c r="C8090" i="1"/>
  <c r="D8090" i="1"/>
  <c r="C8091" i="1"/>
  <c r="D8091" i="1"/>
  <c r="C8092" i="1"/>
  <c r="D8092" i="1"/>
  <c r="C8093" i="1"/>
  <c r="D8093" i="1"/>
  <c r="C8094" i="1"/>
  <c r="D8094" i="1"/>
  <c r="C8095" i="1"/>
  <c r="D8095" i="1"/>
  <c r="C8096" i="1"/>
  <c r="D8096" i="1"/>
  <c r="C8097" i="1"/>
  <c r="D8097" i="1"/>
  <c r="C8098" i="1"/>
  <c r="D8098" i="1"/>
  <c r="C8099" i="1"/>
  <c r="D8099" i="1"/>
  <c r="C8100" i="1"/>
  <c r="D8100" i="1"/>
  <c r="C8101" i="1"/>
  <c r="D8101" i="1"/>
  <c r="C8102" i="1"/>
  <c r="D8102" i="1"/>
  <c r="C8103" i="1"/>
  <c r="D8103" i="1"/>
  <c r="C8104" i="1"/>
  <c r="D8104" i="1"/>
  <c r="C8105" i="1"/>
  <c r="D8105" i="1"/>
  <c r="C8106" i="1"/>
  <c r="D8106" i="1"/>
  <c r="C8107" i="1"/>
  <c r="D8107" i="1"/>
  <c r="C8108" i="1"/>
  <c r="D8108" i="1"/>
  <c r="C8109" i="1"/>
  <c r="D8109" i="1"/>
  <c r="C8110" i="1"/>
  <c r="D8110" i="1"/>
  <c r="C8111" i="1"/>
  <c r="D8111" i="1"/>
  <c r="C8112" i="1"/>
  <c r="D8112" i="1"/>
  <c r="C8113" i="1"/>
  <c r="D8113" i="1"/>
  <c r="C8114" i="1"/>
  <c r="D8114" i="1"/>
  <c r="C8115" i="1"/>
  <c r="D8115" i="1"/>
  <c r="C8116" i="1"/>
  <c r="D8116" i="1"/>
  <c r="C8117" i="1"/>
  <c r="D8117" i="1"/>
  <c r="C8118" i="1"/>
  <c r="D8118" i="1"/>
  <c r="C8119" i="1"/>
  <c r="D8119" i="1"/>
  <c r="C8120" i="1"/>
  <c r="D8120" i="1"/>
  <c r="C8121" i="1"/>
  <c r="D8121" i="1"/>
  <c r="C8122" i="1"/>
  <c r="D8122" i="1"/>
  <c r="C8123" i="1"/>
  <c r="D8123" i="1"/>
  <c r="C8124" i="1"/>
  <c r="D8124" i="1"/>
  <c r="C8125" i="1"/>
  <c r="D8125" i="1"/>
  <c r="C8126" i="1"/>
  <c r="D8126" i="1"/>
  <c r="C8127" i="1"/>
  <c r="D8127" i="1"/>
  <c r="C8128" i="1"/>
  <c r="D8128" i="1"/>
  <c r="C8129" i="1"/>
  <c r="D8129" i="1"/>
  <c r="C8130" i="1"/>
  <c r="D8130" i="1"/>
  <c r="C8131" i="1"/>
  <c r="D8131" i="1"/>
  <c r="C8132" i="1"/>
  <c r="D8132" i="1"/>
  <c r="C8133" i="1"/>
  <c r="D8133" i="1"/>
  <c r="C8134" i="1"/>
  <c r="D8134" i="1"/>
  <c r="C8135" i="1"/>
  <c r="D8135" i="1"/>
  <c r="C8136" i="1"/>
  <c r="D8136" i="1"/>
  <c r="C8137" i="1"/>
  <c r="D8137" i="1"/>
  <c r="C8138" i="1"/>
  <c r="D8138" i="1"/>
  <c r="C8139" i="1"/>
  <c r="D8139" i="1"/>
  <c r="C8140" i="1"/>
  <c r="D8140" i="1"/>
  <c r="C8141" i="1"/>
  <c r="D8141" i="1"/>
  <c r="C8142" i="1"/>
  <c r="D8142" i="1"/>
  <c r="C8143" i="1"/>
  <c r="D8143" i="1"/>
  <c r="C8144" i="1"/>
  <c r="D8144" i="1"/>
  <c r="C8145" i="1"/>
  <c r="D8145" i="1"/>
  <c r="C8146" i="1"/>
  <c r="D8146" i="1"/>
  <c r="C8147" i="1"/>
  <c r="D8147" i="1"/>
  <c r="C8148" i="1"/>
  <c r="D8148" i="1"/>
  <c r="C8149" i="1"/>
  <c r="D8149" i="1"/>
  <c r="C8150" i="1"/>
  <c r="D8150" i="1"/>
  <c r="C8151" i="1"/>
  <c r="D8151" i="1"/>
  <c r="C8152" i="1"/>
  <c r="D8152" i="1"/>
  <c r="C8153" i="1"/>
  <c r="D8153" i="1"/>
  <c r="C8154" i="1"/>
  <c r="D8154" i="1"/>
  <c r="C8155" i="1"/>
  <c r="D8155" i="1"/>
  <c r="C8156" i="1"/>
  <c r="D8156" i="1"/>
  <c r="C8157" i="1"/>
  <c r="D8157" i="1"/>
  <c r="C8158" i="1"/>
  <c r="D8158" i="1"/>
  <c r="C8159" i="1"/>
  <c r="D8159" i="1"/>
  <c r="C8160" i="1"/>
  <c r="D8160" i="1"/>
  <c r="C8161" i="1"/>
  <c r="D8161" i="1"/>
  <c r="C8162" i="1"/>
  <c r="D8162" i="1"/>
  <c r="C8163" i="1"/>
  <c r="D8163" i="1"/>
  <c r="C8164" i="1"/>
  <c r="D8164" i="1"/>
  <c r="C8165" i="1"/>
  <c r="D8165" i="1"/>
  <c r="C8166" i="1"/>
  <c r="D8166" i="1"/>
  <c r="C8167" i="1"/>
  <c r="D8167" i="1"/>
  <c r="C8168" i="1"/>
  <c r="D8168" i="1"/>
  <c r="C8169" i="1"/>
  <c r="D8169" i="1"/>
  <c r="C8170" i="1"/>
  <c r="D8170" i="1"/>
  <c r="C8171" i="1"/>
  <c r="D8171" i="1"/>
  <c r="C8172" i="1"/>
  <c r="D8172" i="1"/>
  <c r="C8173" i="1"/>
  <c r="D8173" i="1"/>
  <c r="C8174" i="1"/>
  <c r="D8174" i="1"/>
  <c r="C8175" i="1"/>
  <c r="D8175" i="1"/>
  <c r="C8176" i="1"/>
  <c r="D8176" i="1"/>
  <c r="C8177" i="1"/>
  <c r="D8177" i="1"/>
  <c r="C8178" i="1"/>
  <c r="D8178" i="1"/>
  <c r="C8179" i="1"/>
  <c r="D8179" i="1"/>
  <c r="C8180" i="1"/>
  <c r="D8180" i="1"/>
  <c r="C8181" i="1"/>
  <c r="D8181" i="1"/>
  <c r="C8182" i="1"/>
  <c r="D8182" i="1"/>
  <c r="C8183" i="1"/>
  <c r="D8183" i="1"/>
  <c r="C8184" i="1"/>
  <c r="D8184" i="1"/>
  <c r="C8185" i="1"/>
  <c r="D8185" i="1"/>
  <c r="C8186" i="1"/>
  <c r="D8186" i="1"/>
  <c r="C8187" i="1"/>
  <c r="D8187" i="1"/>
  <c r="C8188" i="1"/>
  <c r="D8188" i="1"/>
  <c r="C8189" i="1"/>
  <c r="D8189" i="1"/>
  <c r="C8190" i="1"/>
  <c r="D8190" i="1"/>
  <c r="C8191" i="1"/>
  <c r="D8191" i="1"/>
  <c r="C8192" i="1"/>
  <c r="D8192" i="1"/>
  <c r="C8193" i="1"/>
  <c r="D8193" i="1"/>
  <c r="C8194" i="1"/>
  <c r="D8194" i="1"/>
  <c r="C8195" i="1"/>
  <c r="D8195" i="1"/>
  <c r="C8196" i="1"/>
  <c r="D8196" i="1"/>
  <c r="C8197" i="1"/>
  <c r="D8197" i="1"/>
  <c r="C8198" i="1"/>
  <c r="D8198" i="1"/>
  <c r="C8199" i="1"/>
  <c r="D8199" i="1"/>
  <c r="C8200" i="1"/>
  <c r="D8200" i="1"/>
  <c r="C8201" i="1"/>
  <c r="D8201" i="1"/>
  <c r="C8202" i="1"/>
  <c r="D8202" i="1"/>
  <c r="C8203" i="1"/>
  <c r="D8203" i="1"/>
  <c r="C8204" i="1"/>
  <c r="D8204" i="1"/>
  <c r="C8205" i="1"/>
  <c r="D8205" i="1"/>
  <c r="C8206" i="1"/>
  <c r="D8206" i="1"/>
  <c r="C8207" i="1"/>
  <c r="D8207" i="1"/>
  <c r="C8208" i="1"/>
  <c r="D8208" i="1"/>
  <c r="C8209" i="1"/>
  <c r="D8209" i="1"/>
  <c r="C8210" i="1"/>
  <c r="D8210" i="1"/>
  <c r="C8211" i="1"/>
  <c r="D8211" i="1"/>
  <c r="C8212" i="1"/>
  <c r="D8212" i="1"/>
  <c r="C8213" i="1"/>
  <c r="D8213" i="1"/>
  <c r="C8214" i="1"/>
  <c r="D8214" i="1"/>
  <c r="C8215" i="1"/>
  <c r="D8215" i="1"/>
  <c r="C8216" i="1"/>
  <c r="D8216" i="1"/>
  <c r="C8217" i="1"/>
  <c r="D8217" i="1"/>
  <c r="C8218" i="1"/>
  <c r="D8218" i="1"/>
  <c r="C8219" i="1"/>
  <c r="D8219" i="1"/>
  <c r="C8220" i="1"/>
  <c r="D8220" i="1"/>
  <c r="C8221" i="1"/>
  <c r="D8221" i="1"/>
  <c r="C8222" i="1"/>
  <c r="D8222" i="1"/>
  <c r="C8223" i="1"/>
  <c r="D8223" i="1"/>
  <c r="C8224" i="1"/>
  <c r="D8224" i="1"/>
  <c r="C8225" i="1"/>
  <c r="D8225" i="1"/>
  <c r="C8226" i="1"/>
  <c r="D8226" i="1"/>
  <c r="C8227" i="1"/>
  <c r="D8227" i="1"/>
  <c r="C8228" i="1"/>
  <c r="D8228" i="1"/>
  <c r="C8229" i="1"/>
  <c r="D8229" i="1"/>
  <c r="C8230" i="1"/>
  <c r="D8230" i="1"/>
  <c r="C8231" i="1"/>
  <c r="D8231" i="1"/>
  <c r="C8232" i="1"/>
  <c r="D8232" i="1"/>
  <c r="C8233" i="1"/>
  <c r="D8233" i="1"/>
  <c r="C8234" i="1"/>
  <c r="D8234" i="1"/>
  <c r="C8235" i="1"/>
  <c r="D8235" i="1"/>
  <c r="C8236" i="1"/>
  <c r="D8236" i="1"/>
  <c r="C8237" i="1"/>
  <c r="D8237" i="1"/>
  <c r="C8238" i="1"/>
  <c r="D8238" i="1"/>
  <c r="C8239" i="1"/>
  <c r="D8239" i="1"/>
  <c r="C8240" i="1"/>
  <c r="D8240" i="1"/>
  <c r="C8241" i="1"/>
  <c r="D8241" i="1"/>
  <c r="C8242" i="1"/>
  <c r="D8242" i="1"/>
  <c r="C8243" i="1"/>
  <c r="D8243" i="1"/>
  <c r="C8244" i="1"/>
  <c r="D8244" i="1"/>
  <c r="C8245" i="1"/>
  <c r="D8245" i="1"/>
  <c r="C8246" i="1"/>
  <c r="D8246" i="1"/>
  <c r="C8247" i="1"/>
  <c r="D8247" i="1"/>
  <c r="C8248" i="1"/>
  <c r="D8248" i="1"/>
  <c r="C8249" i="1"/>
  <c r="D8249" i="1"/>
  <c r="C8250" i="1"/>
  <c r="D8250" i="1"/>
  <c r="C8251" i="1"/>
  <c r="D8251" i="1"/>
  <c r="C8252" i="1"/>
  <c r="D8252" i="1"/>
  <c r="C8253" i="1"/>
  <c r="D8253" i="1"/>
  <c r="C8254" i="1"/>
  <c r="D8254" i="1"/>
  <c r="C8255" i="1"/>
  <c r="D8255" i="1"/>
  <c r="C8256" i="1"/>
  <c r="D8256" i="1"/>
  <c r="C8257" i="1"/>
  <c r="D8257" i="1"/>
  <c r="C8258" i="1"/>
  <c r="D8258" i="1"/>
  <c r="C8259" i="1"/>
  <c r="D8259" i="1"/>
  <c r="C8260" i="1"/>
  <c r="D8260" i="1"/>
  <c r="C8261" i="1"/>
  <c r="D8261" i="1"/>
  <c r="C8262" i="1"/>
  <c r="D8262" i="1"/>
  <c r="C8263" i="1"/>
  <c r="D8263" i="1"/>
  <c r="C8264" i="1"/>
  <c r="D8264" i="1"/>
  <c r="C8265" i="1"/>
  <c r="D8265" i="1"/>
  <c r="C8266" i="1"/>
  <c r="D8266" i="1"/>
  <c r="C8267" i="1"/>
  <c r="D8267" i="1"/>
  <c r="C8268" i="1"/>
  <c r="D8268" i="1"/>
  <c r="C8269" i="1"/>
  <c r="D8269" i="1"/>
  <c r="C8270" i="1"/>
  <c r="D8270" i="1"/>
  <c r="C8271" i="1"/>
  <c r="D8271" i="1"/>
  <c r="C8272" i="1"/>
  <c r="D8272" i="1"/>
  <c r="C8273" i="1"/>
  <c r="D8273" i="1"/>
  <c r="C8274" i="1"/>
  <c r="D8274" i="1"/>
  <c r="C8275" i="1"/>
  <c r="D8275" i="1"/>
  <c r="C8276" i="1"/>
  <c r="D8276" i="1"/>
  <c r="C8277" i="1"/>
  <c r="D8277" i="1"/>
  <c r="C8278" i="1"/>
  <c r="D8278" i="1"/>
  <c r="C8279" i="1"/>
  <c r="D8279" i="1"/>
  <c r="C8280" i="1"/>
  <c r="D8280" i="1"/>
  <c r="C8281" i="1"/>
  <c r="D8281" i="1"/>
  <c r="C8282" i="1"/>
  <c r="D8282" i="1"/>
  <c r="C8283" i="1"/>
  <c r="D8283" i="1"/>
  <c r="C8284" i="1"/>
  <c r="D8284" i="1"/>
  <c r="C8285" i="1"/>
  <c r="D8285" i="1"/>
  <c r="C8286" i="1"/>
  <c r="D8286" i="1"/>
  <c r="C8287" i="1"/>
  <c r="D8287" i="1"/>
  <c r="C8288" i="1"/>
  <c r="D8288" i="1"/>
  <c r="C8289" i="1"/>
  <c r="D8289" i="1"/>
  <c r="C8290" i="1"/>
  <c r="D8290" i="1"/>
  <c r="C8291" i="1"/>
  <c r="D8291" i="1"/>
  <c r="C8292" i="1"/>
  <c r="D8292" i="1"/>
  <c r="C8293" i="1"/>
  <c r="D8293" i="1"/>
  <c r="C8294" i="1"/>
  <c r="D8294" i="1"/>
  <c r="C8295" i="1"/>
  <c r="D8295" i="1"/>
  <c r="C8296" i="1"/>
  <c r="D8296" i="1"/>
  <c r="C8297" i="1"/>
  <c r="D8297" i="1"/>
  <c r="C8298" i="1"/>
  <c r="D8298" i="1"/>
  <c r="C8299" i="1"/>
  <c r="D8299" i="1"/>
  <c r="C8300" i="1"/>
  <c r="D8300" i="1"/>
  <c r="C8301" i="1"/>
  <c r="D8301" i="1"/>
  <c r="C8302" i="1"/>
  <c r="D8302" i="1"/>
  <c r="C8303" i="1"/>
  <c r="D8303" i="1"/>
  <c r="C8304" i="1"/>
  <c r="D8304" i="1"/>
  <c r="C8305" i="1"/>
  <c r="D8305" i="1"/>
  <c r="C8306" i="1"/>
  <c r="D8306" i="1"/>
  <c r="C8307" i="1"/>
  <c r="D8307" i="1"/>
  <c r="C8308" i="1"/>
  <c r="D8308" i="1"/>
  <c r="C8309" i="1"/>
  <c r="D8309" i="1"/>
  <c r="C8310" i="1"/>
  <c r="D8310" i="1"/>
  <c r="C8311" i="1"/>
  <c r="D8311" i="1"/>
  <c r="C8312" i="1"/>
  <c r="D8312" i="1"/>
  <c r="C8313" i="1"/>
  <c r="D8313" i="1"/>
  <c r="C8314" i="1"/>
  <c r="D8314" i="1"/>
  <c r="C8315" i="1"/>
  <c r="D8315" i="1"/>
  <c r="C8316" i="1"/>
  <c r="D8316" i="1"/>
  <c r="C8317" i="1"/>
  <c r="D8317" i="1"/>
  <c r="C8318" i="1"/>
  <c r="D8318" i="1"/>
  <c r="C8319" i="1"/>
  <c r="D8319" i="1"/>
  <c r="C8320" i="1"/>
  <c r="D8320" i="1"/>
  <c r="C8321" i="1"/>
  <c r="D8321" i="1"/>
  <c r="C8322" i="1"/>
  <c r="D8322" i="1"/>
  <c r="C8323" i="1"/>
  <c r="D8323" i="1"/>
  <c r="C8324" i="1"/>
  <c r="D8324" i="1"/>
  <c r="C8325" i="1"/>
  <c r="D8325" i="1"/>
  <c r="C8326" i="1"/>
  <c r="D8326" i="1"/>
  <c r="C8327" i="1"/>
  <c r="D8327" i="1"/>
  <c r="C8328" i="1"/>
  <c r="D8328" i="1"/>
  <c r="C8329" i="1"/>
  <c r="D8329" i="1"/>
  <c r="C8330" i="1"/>
  <c r="D8330" i="1"/>
  <c r="C8331" i="1"/>
  <c r="D8331" i="1"/>
  <c r="C8332" i="1"/>
  <c r="D8332" i="1"/>
  <c r="C8333" i="1"/>
  <c r="D8333" i="1"/>
  <c r="C8334" i="1"/>
  <c r="D8334" i="1"/>
  <c r="C8335" i="1"/>
  <c r="D8335" i="1"/>
  <c r="C8336" i="1"/>
  <c r="D8336" i="1"/>
  <c r="C8337" i="1"/>
  <c r="D8337" i="1"/>
  <c r="C8338" i="1"/>
  <c r="D8338" i="1"/>
  <c r="C8339" i="1"/>
  <c r="D8339" i="1"/>
  <c r="C8340" i="1"/>
  <c r="D8340" i="1"/>
  <c r="C8341" i="1"/>
  <c r="D8341" i="1"/>
  <c r="C8342" i="1"/>
  <c r="D8342" i="1"/>
  <c r="C8343" i="1"/>
  <c r="D8343" i="1"/>
  <c r="C8344" i="1"/>
  <c r="D8344" i="1"/>
  <c r="C8345" i="1"/>
  <c r="D8345" i="1"/>
  <c r="C8346" i="1"/>
  <c r="D8346" i="1"/>
  <c r="C8347" i="1"/>
  <c r="D8347" i="1"/>
  <c r="C8348" i="1"/>
  <c r="D8348" i="1"/>
  <c r="C8349" i="1"/>
  <c r="D8349" i="1"/>
  <c r="C8350" i="1"/>
  <c r="D8350" i="1"/>
  <c r="C8351" i="1"/>
  <c r="D8351" i="1"/>
  <c r="C8352" i="1"/>
  <c r="D8352" i="1"/>
  <c r="C8353" i="1"/>
  <c r="D8353" i="1"/>
  <c r="C8354" i="1"/>
  <c r="D8354" i="1"/>
  <c r="C8355" i="1"/>
  <c r="D8355" i="1"/>
  <c r="C8356" i="1"/>
  <c r="D8356" i="1"/>
  <c r="C8357" i="1"/>
  <c r="D8357" i="1"/>
  <c r="C8358" i="1"/>
  <c r="D8358" i="1"/>
  <c r="C8359" i="1"/>
  <c r="D8359" i="1"/>
  <c r="C8360" i="1"/>
  <c r="D8360" i="1"/>
  <c r="C8361" i="1"/>
  <c r="D8361" i="1"/>
  <c r="C8362" i="1"/>
  <c r="D8362" i="1"/>
  <c r="C8363" i="1"/>
  <c r="D8363" i="1"/>
  <c r="C8364" i="1"/>
  <c r="D8364" i="1"/>
  <c r="C8365" i="1"/>
  <c r="D8365" i="1"/>
  <c r="C8366" i="1"/>
  <c r="D8366" i="1"/>
  <c r="C8367" i="1"/>
  <c r="D8367" i="1"/>
  <c r="C8368" i="1"/>
  <c r="D8368" i="1"/>
  <c r="C8369" i="1"/>
  <c r="D8369" i="1"/>
  <c r="C8370" i="1"/>
  <c r="D8370" i="1"/>
  <c r="C8371" i="1"/>
  <c r="D8371" i="1"/>
  <c r="C8372" i="1"/>
  <c r="D8372" i="1"/>
  <c r="C8373" i="1"/>
  <c r="D8373" i="1"/>
  <c r="C8374" i="1"/>
  <c r="D8374" i="1"/>
  <c r="C8375" i="1"/>
  <c r="D8375" i="1"/>
  <c r="C8376" i="1"/>
  <c r="D8376" i="1"/>
  <c r="C8377" i="1"/>
  <c r="D8377" i="1"/>
  <c r="C8378" i="1"/>
  <c r="D8378" i="1"/>
  <c r="C8379" i="1"/>
  <c r="D8379" i="1"/>
  <c r="C8380" i="1"/>
  <c r="D8380" i="1"/>
  <c r="C8381" i="1"/>
  <c r="D8381" i="1"/>
  <c r="C8382" i="1"/>
  <c r="D8382" i="1"/>
  <c r="C8383" i="1"/>
  <c r="D8383" i="1"/>
  <c r="C8384" i="1"/>
  <c r="D8384" i="1"/>
  <c r="C8385" i="1"/>
  <c r="D8385" i="1"/>
  <c r="C8386" i="1"/>
  <c r="D8386" i="1"/>
  <c r="C8387" i="1"/>
  <c r="D8387" i="1"/>
  <c r="C8388" i="1"/>
  <c r="D8388" i="1"/>
  <c r="C8389" i="1"/>
  <c r="D8389" i="1"/>
  <c r="C8390" i="1"/>
  <c r="D8390" i="1"/>
  <c r="C8391" i="1"/>
  <c r="D8391" i="1"/>
  <c r="C8392" i="1"/>
  <c r="D8392" i="1"/>
  <c r="C8393" i="1"/>
  <c r="D8393" i="1"/>
  <c r="C8394" i="1"/>
  <c r="D8394" i="1"/>
  <c r="C8395" i="1"/>
  <c r="D8395" i="1"/>
  <c r="C8396" i="1"/>
  <c r="D8396" i="1"/>
  <c r="C8397" i="1"/>
  <c r="D8397" i="1"/>
  <c r="C8398" i="1"/>
  <c r="D8398" i="1"/>
  <c r="C8399" i="1"/>
  <c r="D8399" i="1"/>
  <c r="C8400" i="1"/>
  <c r="D8400" i="1"/>
  <c r="C8401" i="1"/>
  <c r="D8401" i="1"/>
  <c r="C8402" i="1"/>
  <c r="D8402" i="1"/>
  <c r="C8403" i="1"/>
  <c r="D8403" i="1"/>
  <c r="C8404" i="1"/>
  <c r="D8404" i="1"/>
  <c r="C8405" i="1"/>
  <c r="D8405" i="1"/>
  <c r="C8406" i="1"/>
  <c r="D8406" i="1"/>
  <c r="C8407" i="1"/>
  <c r="D8407" i="1"/>
  <c r="C8408" i="1"/>
  <c r="D8408" i="1"/>
  <c r="C8409" i="1"/>
  <c r="D8409" i="1"/>
  <c r="C8410" i="1"/>
  <c r="D8410" i="1"/>
  <c r="C8411" i="1"/>
  <c r="D8411" i="1"/>
  <c r="C8412" i="1"/>
  <c r="D8412" i="1"/>
  <c r="C8413" i="1"/>
  <c r="D8413" i="1"/>
  <c r="C8414" i="1"/>
  <c r="D8414" i="1"/>
  <c r="C8415" i="1"/>
  <c r="D8415" i="1"/>
  <c r="C8416" i="1"/>
  <c r="D8416" i="1"/>
  <c r="C8417" i="1"/>
  <c r="D8417" i="1"/>
  <c r="C8418" i="1"/>
  <c r="D8418" i="1"/>
  <c r="C8419" i="1"/>
  <c r="D8419" i="1"/>
  <c r="C8420" i="1"/>
  <c r="D8420" i="1"/>
  <c r="C8421" i="1"/>
  <c r="D8421" i="1"/>
  <c r="C8422" i="1"/>
  <c r="D8422" i="1"/>
  <c r="C8423" i="1"/>
  <c r="D8423" i="1"/>
  <c r="C8424" i="1"/>
  <c r="D8424" i="1"/>
  <c r="C8425" i="1"/>
  <c r="D8425" i="1"/>
  <c r="C8426" i="1"/>
  <c r="D8426" i="1"/>
  <c r="C8427" i="1"/>
  <c r="D8427" i="1"/>
  <c r="C8428" i="1"/>
  <c r="D8428" i="1"/>
  <c r="C8429" i="1"/>
  <c r="D8429" i="1"/>
  <c r="C8430" i="1"/>
  <c r="D8430" i="1"/>
  <c r="C8431" i="1"/>
  <c r="D8431" i="1"/>
  <c r="C8432" i="1"/>
  <c r="D8432" i="1"/>
  <c r="C8433" i="1"/>
  <c r="D8433" i="1"/>
  <c r="C8434" i="1"/>
  <c r="D8434" i="1"/>
  <c r="C8435" i="1"/>
  <c r="D8435" i="1"/>
  <c r="C8436" i="1"/>
  <c r="D8436" i="1"/>
  <c r="C8437" i="1"/>
  <c r="D8437" i="1"/>
  <c r="C8438" i="1"/>
  <c r="D8438" i="1"/>
  <c r="C8439" i="1"/>
  <c r="D8439" i="1"/>
  <c r="C8440" i="1"/>
  <c r="D8440" i="1"/>
  <c r="C8441" i="1"/>
  <c r="D8441" i="1"/>
  <c r="C8442" i="1"/>
  <c r="D8442" i="1"/>
  <c r="C8443" i="1"/>
  <c r="D8443" i="1"/>
  <c r="C8444" i="1"/>
  <c r="D8444" i="1"/>
  <c r="C8445" i="1"/>
  <c r="D8445" i="1"/>
  <c r="C8446" i="1"/>
  <c r="D8446" i="1"/>
  <c r="C8447" i="1"/>
  <c r="D8447" i="1"/>
  <c r="C8448" i="1"/>
  <c r="D8448" i="1"/>
  <c r="C8449" i="1"/>
  <c r="D8449" i="1"/>
  <c r="C8450" i="1"/>
  <c r="D8450" i="1"/>
  <c r="C8451" i="1"/>
  <c r="D8451" i="1"/>
  <c r="C8452" i="1"/>
  <c r="D8452" i="1"/>
  <c r="C8453" i="1"/>
  <c r="D8453" i="1"/>
  <c r="C8454" i="1"/>
  <c r="D8454" i="1"/>
  <c r="C8455" i="1"/>
  <c r="D8455" i="1"/>
  <c r="C8456" i="1"/>
  <c r="D8456" i="1"/>
  <c r="C8457" i="1"/>
  <c r="D8457" i="1"/>
  <c r="C8458" i="1"/>
  <c r="D8458" i="1"/>
  <c r="C8459" i="1"/>
  <c r="D8459" i="1"/>
  <c r="C8460" i="1"/>
  <c r="D8460" i="1"/>
  <c r="C8461" i="1"/>
  <c r="D8461" i="1"/>
  <c r="C8462" i="1"/>
  <c r="D8462" i="1"/>
  <c r="C8463" i="1"/>
  <c r="D8463" i="1"/>
  <c r="C8464" i="1"/>
  <c r="D8464" i="1"/>
  <c r="C8465" i="1"/>
  <c r="D8465" i="1"/>
  <c r="C8466" i="1"/>
  <c r="D8466" i="1"/>
  <c r="C8467" i="1"/>
  <c r="D8467" i="1"/>
  <c r="C8468" i="1"/>
  <c r="D8468" i="1"/>
  <c r="C8469" i="1"/>
  <c r="D8469" i="1"/>
  <c r="C8470" i="1"/>
  <c r="D8470" i="1"/>
  <c r="C8471" i="1"/>
  <c r="D8471" i="1"/>
  <c r="C8472" i="1"/>
  <c r="D8472" i="1"/>
  <c r="C8473" i="1"/>
  <c r="D8473" i="1"/>
  <c r="C8474" i="1"/>
  <c r="D8474" i="1"/>
  <c r="C8475" i="1"/>
  <c r="D8475" i="1"/>
  <c r="C8476" i="1"/>
  <c r="D8476" i="1"/>
  <c r="C8477" i="1"/>
  <c r="D8477" i="1"/>
  <c r="C8478" i="1"/>
  <c r="D8478" i="1"/>
  <c r="C8479" i="1"/>
  <c r="D8479" i="1"/>
  <c r="C8480" i="1"/>
  <c r="D8480" i="1"/>
  <c r="C8481" i="1"/>
  <c r="D8481" i="1"/>
  <c r="C8482" i="1"/>
  <c r="D8482" i="1"/>
  <c r="C8483" i="1"/>
  <c r="D8483" i="1"/>
  <c r="C8484" i="1"/>
  <c r="D8484" i="1"/>
  <c r="C8485" i="1"/>
  <c r="D8485" i="1"/>
  <c r="C8486" i="1"/>
  <c r="D8486" i="1"/>
  <c r="C8487" i="1"/>
  <c r="D8487" i="1"/>
  <c r="C8488" i="1"/>
  <c r="D8488" i="1"/>
  <c r="C8489" i="1"/>
  <c r="D8489" i="1"/>
  <c r="C8490" i="1"/>
  <c r="D8490" i="1"/>
  <c r="C8491" i="1"/>
  <c r="D8491" i="1"/>
  <c r="C8492" i="1"/>
  <c r="D8492" i="1"/>
  <c r="C8493" i="1"/>
  <c r="D8493" i="1"/>
  <c r="C8494" i="1"/>
  <c r="D8494" i="1"/>
  <c r="C8495" i="1"/>
  <c r="D8495" i="1"/>
  <c r="C8496" i="1"/>
  <c r="D8496" i="1"/>
  <c r="C8497" i="1"/>
  <c r="D8497" i="1"/>
  <c r="C8498" i="1"/>
  <c r="D8498" i="1"/>
  <c r="C8499" i="1"/>
  <c r="D8499" i="1"/>
  <c r="C8500" i="1"/>
  <c r="D8500" i="1"/>
  <c r="C8501" i="1"/>
  <c r="D8501" i="1"/>
  <c r="C8502" i="1"/>
  <c r="D8502" i="1"/>
  <c r="C8503" i="1"/>
  <c r="D8503" i="1"/>
  <c r="C8504" i="1"/>
  <c r="D8504" i="1"/>
  <c r="C8505" i="1"/>
  <c r="D8505" i="1"/>
  <c r="C8506" i="1"/>
  <c r="D8506" i="1"/>
  <c r="C8507" i="1"/>
  <c r="D8507" i="1"/>
  <c r="C8508" i="1"/>
  <c r="D8508" i="1"/>
  <c r="C8509" i="1"/>
  <c r="D8509" i="1"/>
  <c r="C8510" i="1"/>
  <c r="D8510" i="1"/>
  <c r="C8511" i="1"/>
  <c r="D8511" i="1"/>
  <c r="C8512" i="1"/>
  <c r="D8512" i="1"/>
  <c r="C8513" i="1"/>
  <c r="D8513" i="1"/>
  <c r="C8514" i="1"/>
  <c r="D8514" i="1"/>
  <c r="C8515" i="1"/>
  <c r="D8515" i="1"/>
  <c r="C8516" i="1"/>
  <c r="D8516" i="1"/>
  <c r="C8517" i="1"/>
  <c r="D8517" i="1"/>
  <c r="C8518" i="1"/>
  <c r="D8518" i="1"/>
  <c r="C8519" i="1"/>
  <c r="D8519" i="1"/>
  <c r="C8520" i="1"/>
  <c r="D8520" i="1"/>
  <c r="C8521" i="1"/>
  <c r="D8521" i="1"/>
  <c r="C8522" i="1"/>
  <c r="D8522" i="1"/>
  <c r="C8523" i="1"/>
  <c r="D8523" i="1"/>
  <c r="C8524" i="1"/>
  <c r="D8524" i="1"/>
  <c r="C8525" i="1"/>
  <c r="D8525" i="1"/>
  <c r="C8526" i="1"/>
  <c r="D8526" i="1"/>
  <c r="C8527" i="1"/>
  <c r="D8527" i="1"/>
  <c r="C8528" i="1"/>
  <c r="D8528" i="1"/>
  <c r="C8529" i="1"/>
  <c r="D8529" i="1"/>
  <c r="C8530" i="1"/>
  <c r="D8530" i="1"/>
  <c r="C8531" i="1"/>
  <c r="D8531" i="1"/>
  <c r="C8532" i="1"/>
  <c r="D8532" i="1"/>
  <c r="C8533" i="1"/>
  <c r="D8533" i="1"/>
  <c r="C8534" i="1"/>
  <c r="D8534" i="1"/>
  <c r="C8535" i="1"/>
  <c r="D8535" i="1"/>
  <c r="C8536" i="1"/>
  <c r="D8536" i="1"/>
  <c r="C8537" i="1"/>
  <c r="D8537" i="1"/>
  <c r="C8538" i="1"/>
  <c r="D8538" i="1"/>
  <c r="C8539" i="1"/>
  <c r="D8539" i="1"/>
  <c r="C8540" i="1"/>
  <c r="D8540" i="1"/>
  <c r="C8541" i="1"/>
  <c r="D8541" i="1"/>
  <c r="C8542" i="1"/>
  <c r="D8542" i="1"/>
  <c r="C8543" i="1"/>
  <c r="D8543" i="1"/>
  <c r="C8544" i="1"/>
  <c r="D8544" i="1"/>
  <c r="C8545" i="1"/>
  <c r="D8545" i="1"/>
  <c r="C8546" i="1"/>
  <c r="D8546" i="1"/>
  <c r="C8547" i="1"/>
  <c r="D8547" i="1"/>
  <c r="C8548" i="1"/>
  <c r="D8548" i="1"/>
  <c r="C8549" i="1"/>
  <c r="D8549" i="1"/>
  <c r="C8550" i="1"/>
  <c r="D8550" i="1"/>
  <c r="C8551" i="1"/>
  <c r="D8551" i="1"/>
  <c r="C8552" i="1"/>
  <c r="D8552" i="1"/>
  <c r="C8553" i="1"/>
  <c r="D8553" i="1"/>
  <c r="C8554" i="1"/>
  <c r="D8554" i="1"/>
  <c r="C8555" i="1"/>
  <c r="D8555" i="1"/>
  <c r="C8556" i="1"/>
  <c r="D8556" i="1"/>
  <c r="C8557" i="1"/>
  <c r="D8557" i="1"/>
  <c r="C8558" i="1"/>
  <c r="D8558" i="1"/>
  <c r="C8559" i="1"/>
  <c r="D8559" i="1"/>
  <c r="C8560" i="1"/>
  <c r="D8560" i="1"/>
  <c r="C8561" i="1"/>
  <c r="D8561" i="1"/>
  <c r="C8562" i="1"/>
  <c r="D8562" i="1"/>
  <c r="C8563" i="1"/>
  <c r="D8563" i="1"/>
  <c r="C8564" i="1"/>
  <c r="D8564" i="1"/>
  <c r="C8565" i="1"/>
  <c r="D8565" i="1"/>
  <c r="C8566" i="1"/>
  <c r="D8566" i="1"/>
  <c r="C8567" i="1"/>
  <c r="D8567" i="1"/>
  <c r="C8568" i="1"/>
  <c r="D8568" i="1"/>
  <c r="C8569" i="1"/>
  <c r="D8569" i="1"/>
  <c r="C8570" i="1"/>
  <c r="D8570" i="1"/>
  <c r="C8571" i="1"/>
  <c r="D8571" i="1"/>
  <c r="C8572" i="1"/>
  <c r="D8572" i="1"/>
  <c r="C8573" i="1"/>
  <c r="D8573" i="1"/>
  <c r="C8574" i="1"/>
  <c r="D8574" i="1"/>
  <c r="C8575" i="1"/>
  <c r="D8575" i="1"/>
  <c r="C8576" i="1"/>
  <c r="D8576" i="1"/>
  <c r="C8577" i="1"/>
  <c r="D8577" i="1"/>
  <c r="C8578" i="1"/>
  <c r="D8578" i="1"/>
  <c r="C8579" i="1"/>
  <c r="D8579" i="1"/>
  <c r="C8580" i="1"/>
  <c r="D8580" i="1"/>
  <c r="C8581" i="1"/>
  <c r="D8581" i="1"/>
  <c r="C8582" i="1"/>
  <c r="D8582" i="1"/>
  <c r="C8583" i="1"/>
  <c r="D8583" i="1"/>
  <c r="C8584" i="1"/>
  <c r="D8584" i="1"/>
  <c r="C8585" i="1"/>
  <c r="D8585" i="1"/>
  <c r="C8586" i="1"/>
  <c r="D8586" i="1"/>
  <c r="C8587" i="1"/>
  <c r="D8587" i="1"/>
  <c r="C8588" i="1"/>
  <c r="D8588" i="1"/>
  <c r="C8589" i="1"/>
  <c r="D8589" i="1"/>
  <c r="C8590" i="1"/>
  <c r="D8590" i="1"/>
  <c r="C8591" i="1"/>
  <c r="D8591" i="1"/>
  <c r="C8592" i="1"/>
  <c r="D8592" i="1"/>
  <c r="C8593" i="1"/>
  <c r="D8593" i="1"/>
  <c r="C8594" i="1"/>
  <c r="D8594" i="1"/>
  <c r="C8595" i="1"/>
  <c r="D8595" i="1"/>
  <c r="C8596" i="1"/>
  <c r="D8596" i="1"/>
  <c r="C8597" i="1"/>
  <c r="D8597" i="1"/>
  <c r="C8598" i="1"/>
  <c r="D8598" i="1"/>
  <c r="C8599" i="1"/>
  <c r="D8599" i="1"/>
  <c r="C8600" i="1"/>
  <c r="D8600" i="1"/>
  <c r="C8601" i="1"/>
  <c r="D8601" i="1"/>
  <c r="C8602" i="1"/>
  <c r="D8602" i="1"/>
  <c r="C8603" i="1"/>
  <c r="D8603" i="1"/>
  <c r="C8604" i="1"/>
  <c r="D8604" i="1"/>
  <c r="C8605" i="1"/>
  <c r="D8605" i="1"/>
  <c r="C8606" i="1"/>
  <c r="D8606" i="1"/>
  <c r="C8607" i="1"/>
  <c r="D8607" i="1"/>
  <c r="C8608" i="1"/>
  <c r="D8608" i="1"/>
  <c r="C8609" i="1"/>
  <c r="D8609" i="1"/>
  <c r="C8610" i="1"/>
  <c r="D8610" i="1"/>
  <c r="C8611" i="1"/>
  <c r="D8611" i="1"/>
  <c r="C8612" i="1"/>
  <c r="D8612" i="1"/>
  <c r="C8613" i="1"/>
  <c r="D8613" i="1"/>
  <c r="C8614" i="1"/>
  <c r="D8614" i="1"/>
  <c r="C8615" i="1"/>
  <c r="D8615" i="1"/>
  <c r="C8616" i="1"/>
  <c r="D8616" i="1"/>
  <c r="C8617" i="1"/>
  <c r="D8617" i="1"/>
  <c r="C8618" i="1"/>
  <c r="D8618" i="1"/>
  <c r="C8619" i="1"/>
  <c r="D8619" i="1"/>
  <c r="C8620" i="1"/>
  <c r="D8620" i="1"/>
  <c r="C8621" i="1"/>
  <c r="D8621" i="1"/>
  <c r="C8622" i="1"/>
  <c r="D8622" i="1"/>
  <c r="C8623" i="1"/>
  <c r="D8623" i="1"/>
  <c r="C8624" i="1"/>
  <c r="D8624" i="1"/>
  <c r="C8625" i="1"/>
  <c r="D8625" i="1"/>
  <c r="C8626" i="1"/>
  <c r="D8626" i="1"/>
  <c r="C8627" i="1"/>
  <c r="D8627" i="1"/>
  <c r="C8628" i="1"/>
  <c r="D8628" i="1"/>
  <c r="C8629" i="1"/>
  <c r="D8629" i="1"/>
  <c r="C8630" i="1"/>
  <c r="D8630" i="1"/>
  <c r="C8631" i="1"/>
  <c r="D8631" i="1"/>
  <c r="C8632" i="1"/>
  <c r="D8632" i="1"/>
  <c r="C8633" i="1"/>
  <c r="D8633" i="1"/>
  <c r="C8634" i="1"/>
  <c r="D8634" i="1"/>
  <c r="C8635" i="1"/>
  <c r="D8635" i="1"/>
  <c r="C8636" i="1"/>
  <c r="D8636" i="1"/>
  <c r="C8637" i="1"/>
  <c r="D8637" i="1"/>
  <c r="C8638" i="1"/>
  <c r="D8638" i="1"/>
  <c r="C8639" i="1"/>
  <c r="D8639" i="1"/>
  <c r="C8640" i="1"/>
  <c r="D8640" i="1"/>
  <c r="C8641" i="1"/>
  <c r="D8641" i="1"/>
  <c r="C8642" i="1"/>
  <c r="D8642" i="1"/>
  <c r="C8643" i="1"/>
  <c r="D8643" i="1"/>
  <c r="C8644" i="1"/>
  <c r="D8644" i="1"/>
  <c r="C8645" i="1"/>
  <c r="D8645" i="1"/>
  <c r="C8646" i="1"/>
  <c r="D8646" i="1"/>
  <c r="C8647" i="1"/>
  <c r="D8647" i="1"/>
  <c r="C8648" i="1"/>
  <c r="D8648" i="1"/>
  <c r="C8649" i="1"/>
  <c r="D8649" i="1"/>
  <c r="C8650" i="1"/>
  <c r="D8650" i="1"/>
  <c r="C8651" i="1"/>
  <c r="D8651" i="1"/>
  <c r="C8652" i="1"/>
  <c r="D8652" i="1"/>
  <c r="C8653" i="1"/>
  <c r="D8653" i="1"/>
  <c r="C8654" i="1"/>
  <c r="D8654" i="1"/>
  <c r="C8655" i="1"/>
  <c r="D8655" i="1"/>
  <c r="C8656" i="1"/>
  <c r="D8656" i="1"/>
  <c r="C8657" i="1"/>
  <c r="D8657" i="1"/>
  <c r="C8658" i="1"/>
  <c r="D8658" i="1"/>
  <c r="C8659" i="1"/>
  <c r="D8659" i="1"/>
  <c r="C8660" i="1"/>
  <c r="D8660" i="1"/>
  <c r="C8661" i="1"/>
  <c r="D8661" i="1"/>
  <c r="C8662" i="1"/>
  <c r="D8662" i="1"/>
  <c r="C8663" i="1"/>
  <c r="D8663" i="1"/>
  <c r="C8664" i="1"/>
  <c r="D8664" i="1"/>
  <c r="C8665" i="1"/>
  <c r="D8665" i="1"/>
  <c r="C8666" i="1"/>
  <c r="D8666" i="1"/>
  <c r="C8667" i="1"/>
  <c r="D8667" i="1"/>
  <c r="C8668" i="1"/>
  <c r="D8668" i="1"/>
  <c r="C8669" i="1"/>
  <c r="D8669" i="1"/>
  <c r="C8670" i="1"/>
  <c r="D8670" i="1"/>
  <c r="C8671" i="1"/>
  <c r="D8671" i="1"/>
  <c r="C8672" i="1"/>
  <c r="D8672" i="1"/>
  <c r="C8673" i="1"/>
  <c r="D8673" i="1"/>
  <c r="C8674" i="1"/>
  <c r="D8674" i="1"/>
  <c r="C8675" i="1"/>
  <c r="D8675" i="1"/>
  <c r="C8676" i="1"/>
  <c r="D8676" i="1"/>
  <c r="C8677" i="1"/>
  <c r="D8677" i="1"/>
  <c r="C8678" i="1"/>
  <c r="D8678" i="1"/>
  <c r="C8679" i="1"/>
  <c r="D8679" i="1"/>
  <c r="C8680" i="1"/>
  <c r="D8680" i="1"/>
  <c r="C8681" i="1"/>
  <c r="D8681" i="1"/>
  <c r="C8682" i="1"/>
  <c r="D8682" i="1"/>
  <c r="C8683" i="1"/>
  <c r="D8683" i="1"/>
  <c r="C8684" i="1"/>
  <c r="D8684" i="1"/>
  <c r="C8685" i="1"/>
  <c r="D8685" i="1"/>
  <c r="C8686" i="1"/>
  <c r="D8686" i="1"/>
  <c r="C8687" i="1"/>
  <c r="D8687" i="1"/>
  <c r="C8688" i="1"/>
  <c r="D8688" i="1"/>
  <c r="C8689" i="1"/>
  <c r="D8689" i="1"/>
  <c r="C8690" i="1"/>
  <c r="D8690" i="1"/>
  <c r="C8691" i="1"/>
  <c r="D8691" i="1"/>
  <c r="C8692" i="1"/>
  <c r="D8692" i="1"/>
  <c r="C8693" i="1"/>
  <c r="D8693" i="1"/>
  <c r="C8694" i="1"/>
  <c r="D8694" i="1"/>
  <c r="C8695" i="1"/>
  <c r="D8695" i="1"/>
  <c r="C8696" i="1"/>
  <c r="D8696" i="1"/>
  <c r="C8697" i="1"/>
  <c r="D8697" i="1"/>
  <c r="C8698" i="1"/>
  <c r="D8698" i="1"/>
  <c r="C8699" i="1"/>
  <c r="D8699" i="1"/>
  <c r="C8700" i="1"/>
  <c r="D8700" i="1"/>
  <c r="C8701" i="1"/>
  <c r="D8701" i="1"/>
  <c r="C8702" i="1"/>
  <c r="D8702" i="1"/>
  <c r="C8703" i="1"/>
  <c r="D8703" i="1"/>
  <c r="C8704" i="1"/>
  <c r="D8704" i="1"/>
  <c r="C8705" i="1"/>
  <c r="D8705" i="1"/>
  <c r="C8706" i="1"/>
  <c r="D8706" i="1"/>
  <c r="C8707" i="1"/>
  <c r="D8707" i="1"/>
  <c r="C8708" i="1"/>
  <c r="D8708" i="1"/>
  <c r="C8709" i="1"/>
  <c r="D8709" i="1"/>
  <c r="C8710" i="1"/>
  <c r="D8710" i="1"/>
  <c r="C8711" i="1"/>
  <c r="D8711" i="1"/>
  <c r="C8712" i="1"/>
  <c r="D8712" i="1"/>
  <c r="C8713" i="1"/>
  <c r="D8713" i="1"/>
  <c r="C8714" i="1"/>
  <c r="D8714" i="1"/>
  <c r="C8715" i="1"/>
  <c r="D8715" i="1"/>
  <c r="C8716" i="1"/>
  <c r="D8716" i="1"/>
  <c r="C8717" i="1"/>
  <c r="D8717" i="1"/>
  <c r="C8718" i="1"/>
  <c r="D8718" i="1"/>
  <c r="C8719" i="1"/>
  <c r="D8719" i="1"/>
  <c r="C8720" i="1"/>
  <c r="D8720" i="1"/>
  <c r="C8721" i="1"/>
  <c r="D8721" i="1"/>
  <c r="C8722" i="1"/>
  <c r="D8722" i="1"/>
  <c r="C8723" i="1"/>
  <c r="D8723" i="1"/>
  <c r="C8724" i="1"/>
  <c r="D8724" i="1"/>
  <c r="C8725" i="1"/>
  <c r="D8725" i="1"/>
  <c r="C8726" i="1"/>
  <c r="D8726" i="1"/>
  <c r="C8727" i="1"/>
  <c r="D8727" i="1"/>
  <c r="C8728" i="1"/>
  <c r="D8728" i="1"/>
  <c r="C8729" i="1"/>
  <c r="D8729" i="1"/>
  <c r="C8730" i="1"/>
  <c r="D8730" i="1"/>
  <c r="C8731" i="1"/>
  <c r="D8731" i="1"/>
  <c r="C8732" i="1"/>
  <c r="D8732" i="1"/>
  <c r="C8733" i="1"/>
  <c r="D8733" i="1"/>
  <c r="C8734" i="1"/>
  <c r="D8734" i="1"/>
  <c r="C8735" i="1"/>
  <c r="D8735" i="1"/>
  <c r="C8736" i="1"/>
  <c r="D8736" i="1"/>
  <c r="C8737" i="1"/>
  <c r="D8737" i="1"/>
  <c r="C8738" i="1"/>
  <c r="D8738" i="1"/>
  <c r="C8739" i="1"/>
  <c r="D8739" i="1"/>
  <c r="C8740" i="1"/>
  <c r="D8740" i="1"/>
  <c r="C8741" i="1"/>
  <c r="D8741" i="1"/>
  <c r="C8742" i="1"/>
  <c r="D8742" i="1"/>
  <c r="C8743" i="1"/>
  <c r="D8743" i="1"/>
  <c r="C8744" i="1"/>
  <c r="D8744" i="1"/>
  <c r="C8745" i="1"/>
  <c r="D8745" i="1"/>
  <c r="C8746" i="1"/>
  <c r="D8746" i="1"/>
  <c r="C8747" i="1"/>
  <c r="D8747" i="1"/>
  <c r="C8748" i="1"/>
  <c r="D8748" i="1"/>
  <c r="C8749" i="1"/>
  <c r="D8749" i="1"/>
  <c r="C8750" i="1"/>
  <c r="D8750" i="1"/>
  <c r="C8751" i="1"/>
  <c r="D8751" i="1"/>
  <c r="C8752" i="1"/>
  <c r="D8752" i="1"/>
  <c r="C8753" i="1"/>
  <c r="D8753" i="1"/>
  <c r="C8754" i="1"/>
  <c r="D8754" i="1"/>
  <c r="C8755" i="1"/>
  <c r="D8755" i="1"/>
  <c r="C8756" i="1"/>
  <c r="D8756" i="1"/>
  <c r="C8757" i="1"/>
  <c r="D8757" i="1"/>
  <c r="C8758" i="1"/>
  <c r="D8758" i="1"/>
  <c r="C8759" i="1"/>
  <c r="D8759" i="1"/>
  <c r="C8760" i="1"/>
  <c r="D8760" i="1"/>
  <c r="C8761" i="1"/>
  <c r="D8761" i="1"/>
  <c r="C8762" i="1"/>
  <c r="D8762" i="1"/>
  <c r="C8763" i="1"/>
  <c r="D8763" i="1"/>
  <c r="C8764" i="1"/>
  <c r="D8764" i="1"/>
  <c r="C8765" i="1"/>
  <c r="D8765" i="1"/>
  <c r="C8766" i="1"/>
  <c r="D8766" i="1"/>
  <c r="C8767" i="1"/>
  <c r="D8767" i="1"/>
  <c r="C8768" i="1"/>
  <c r="D8768" i="1"/>
  <c r="C8769" i="1"/>
  <c r="D8769" i="1"/>
  <c r="C8770" i="1"/>
  <c r="D8770" i="1"/>
  <c r="C8771" i="1"/>
  <c r="D8771" i="1"/>
  <c r="C8772" i="1"/>
  <c r="D8772" i="1"/>
  <c r="C8773" i="1"/>
  <c r="D8773" i="1"/>
  <c r="C8774" i="1"/>
  <c r="D8774" i="1"/>
  <c r="C8775" i="1"/>
  <c r="D8775" i="1"/>
  <c r="C8776" i="1"/>
  <c r="D8776" i="1"/>
  <c r="C8777" i="1"/>
  <c r="D8777" i="1"/>
  <c r="C8778" i="1"/>
  <c r="D8778" i="1"/>
  <c r="C8779" i="1"/>
  <c r="D8779" i="1"/>
  <c r="C8780" i="1"/>
  <c r="D8780" i="1"/>
  <c r="C8781" i="1"/>
  <c r="D8781" i="1"/>
  <c r="C8782" i="1"/>
  <c r="D8782" i="1"/>
  <c r="C8783" i="1"/>
  <c r="D8783" i="1"/>
  <c r="C8784" i="1"/>
  <c r="D8784" i="1"/>
  <c r="C8785" i="1"/>
  <c r="D8785" i="1"/>
  <c r="C8786" i="1"/>
  <c r="D8786" i="1"/>
  <c r="C8787" i="1"/>
  <c r="D8787" i="1"/>
  <c r="C8788" i="1"/>
  <c r="D8788" i="1"/>
  <c r="C8789" i="1"/>
  <c r="D8789" i="1"/>
  <c r="C8790" i="1"/>
  <c r="D8790" i="1"/>
  <c r="C8791" i="1"/>
  <c r="D8791" i="1"/>
  <c r="C8792" i="1"/>
  <c r="D8792" i="1"/>
  <c r="C8793" i="1"/>
  <c r="D8793" i="1"/>
  <c r="C8794" i="1"/>
  <c r="D8794" i="1"/>
  <c r="C8795" i="1"/>
  <c r="D8795" i="1"/>
  <c r="C8796" i="1"/>
  <c r="D8796" i="1"/>
  <c r="C8797" i="1"/>
  <c r="D8797" i="1"/>
  <c r="C8798" i="1"/>
  <c r="D8798" i="1"/>
  <c r="C8799" i="1"/>
  <c r="D8799" i="1"/>
  <c r="C8800" i="1"/>
  <c r="D8800" i="1"/>
  <c r="C8801" i="1"/>
  <c r="D8801" i="1"/>
  <c r="C8802" i="1"/>
  <c r="D8802" i="1"/>
  <c r="C8803" i="1"/>
  <c r="D8803" i="1"/>
  <c r="C8804" i="1"/>
  <c r="D8804" i="1"/>
  <c r="C8805" i="1"/>
  <c r="D8805" i="1"/>
  <c r="C8806" i="1"/>
  <c r="D8806" i="1"/>
  <c r="C8807" i="1"/>
  <c r="D8807" i="1"/>
  <c r="C8808" i="1"/>
  <c r="D8808" i="1"/>
  <c r="C8809" i="1"/>
  <c r="D8809" i="1"/>
  <c r="C8810" i="1"/>
  <c r="D8810" i="1"/>
  <c r="C8811" i="1"/>
  <c r="D8811" i="1"/>
  <c r="C8812" i="1"/>
  <c r="D8812" i="1"/>
  <c r="C8813" i="1"/>
  <c r="D8813" i="1"/>
  <c r="C8814" i="1"/>
  <c r="D8814" i="1"/>
  <c r="C8815" i="1"/>
  <c r="D8815" i="1"/>
  <c r="C8816" i="1"/>
  <c r="D8816" i="1"/>
  <c r="C8817" i="1"/>
  <c r="D8817" i="1"/>
  <c r="C8818" i="1"/>
  <c r="D8818" i="1"/>
  <c r="C8819" i="1"/>
  <c r="D8819" i="1"/>
  <c r="C8820" i="1"/>
  <c r="D8820" i="1"/>
  <c r="C8821" i="1"/>
  <c r="D8821" i="1"/>
  <c r="C8822" i="1"/>
  <c r="D8822" i="1"/>
  <c r="C8823" i="1"/>
  <c r="D8823" i="1"/>
  <c r="C8824" i="1"/>
  <c r="D8824" i="1"/>
  <c r="C8825" i="1"/>
  <c r="D8825" i="1"/>
  <c r="C8826" i="1"/>
  <c r="D8826" i="1"/>
  <c r="C8827" i="1"/>
  <c r="D8827" i="1"/>
  <c r="C8828" i="1"/>
  <c r="D8828" i="1"/>
  <c r="C8829" i="1"/>
  <c r="D8829" i="1"/>
  <c r="C8830" i="1"/>
  <c r="D8830" i="1"/>
  <c r="C8831" i="1"/>
  <c r="D8831" i="1"/>
  <c r="C8832" i="1"/>
  <c r="D8832" i="1"/>
  <c r="C8833" i="1"/>
  <c r="D8833" i="1"/>
  <c r="C8834" i="1"/>
  <c r="D8834" i="1"/>
  <c r="C8835" i="1"/>
  <c r="D8835" i="1"/>
  <c r="C8836" i="1"/>
  <c r="D8836" i="1"/>
  <c r="C8837" i="1"/>
  <c r="D8837" i="1"/>
  <c r="C8838" i="1"/>
  <c r="D8838" i="1"/>
  <c r="C8839" i="1"/>
  <c r="D8839" i="1"/>
  <c r="C8840" i="1"/>
  <c r="D8840" i="1"/>
  <c r="C8841" i="1"/>
  <c r="D8841" i="1"/>
  <c r="C8842" i="1"/>
  <c r="D8842" i="1"/>
  <c r="C8843" i="1"/>
  <c r="D8843" i="1"/>
  <c r="C8844" i="1"/>
  <c r="D8844" i="1"/>
  <c r="C8845" i="1"/>
  <c r="D8845" i="1"/>
  <c r="C8846" i="1"/>
  <c r="D8846" i="1"/>
  <c r="C8847" i="1"/>
  <c r="D8847" i="1"/>
  <c r="C8848" i="1"/>
  <c r="D8848" i="1"/>
  <c r="C8849" i="1"/>
  <c r="D8849" i="1"/>
  <c r="C8850" i="1"/>
  <c r="D8850" i="1"/>
  <c r="C8851" i="1"/>
  <c r="D8851" i="1"/>
  <c r="C8852" i="1"/>
  <c r="D8852" i="1"/>
  <c r="C8853" i="1"/>
  <c r="D8853" i="1"/>
  <c r="C8854" i="1"/>
  <c r="D8854" i="1"/>
  <c r="C8855" i="1"/>
  <c r="D8855" i="1"/>
  <c r="C8856" i="1"/>
  <c r="D8856" i="1"/>
  <c r="C8857" i="1"/>
  <c r="D8857" i="1"/>
  <c r="C8858" i="1"/>
  <c r="D8858" i="1"/>
  <c r="C8859" i="1"/>
  <c r="D8859" i="1"/>
  <c r="C8860" i="1"/>
  <c r="D8860" i="1"/>
  <c r="C8861" i="1"/>
  <c r="D8861" i="1"/>
  <c r="C8862" i="1"/>
  <c r="D8862" i="1"/>
  <c r="C8863" i="1"/>
  <c r="D8863" i="1"/>
  <c r="C8864" i="1"/>
  <c r="D8864" i="1"/>
  <c r="C8865" i="1"/>
  <c r="D8865" i="1"/>
  <c r="C8866" i="1"/>
  <c r="D8866" i="1"/>
  <c r="C8867" i="1"/>
  <c r="D8867" i="1"/>
  <c r="C8868" i="1"/>
  <c r="D8868" i="1"/>
  <c r="C8869" i="1"/>
  <c r="D8869" i="1"/>
  <c r="C8870" i="1"/>
  <c r="D8870" i="1"/>
  <c r="C8871" i="1"/>
  <c r="D8871" i="1"/>
  <c r="C8872" i="1"/>
  <c r="D8872" i="1"/>
  <c r="C8873" i="1"/>
  <c r="D8873" i="1"/>
  <c r="C8874" i="1"/>
  <c r="D8874" i="1"/>
  <c r="C8875" i="1"/>
  <c r="D8875" i="1"/>
  <c r="C8876" i="1"/>
  <c r="D8876" i="1"/>
  <c r="C8877" i="1"/>
  <c r="D8877" i="1"/>
  <c r="C8878" i="1"/>
  <c r="D8878" i="1"/>
  <c r="C8879" i="1"/>
  <c r="D8879" i="1"/>
  <c r="C8880" i="1"/>
  <c r="D8880" i="1"/>
  <c r="C8881" i="1"/>
  <c r="D8881" i="1"/>
  <c r="C8882" i="1"/>
  <c r="D8882" i="1"/>
  <c r="C8883" i="1"/>
  <c r="D8883" i="1"/>
  <c r="C8884" i="1"/>
  <c r="D8884" i="1"/>
  <c r="C8885" i="1"/>
  <c r="D8885" i="1"/>
  <c r="C8886" i="1"/>
  <c r="D8886" i="1"/>
  <c r="C8887" i="1"/>
  <c r="D8887" i="1"/>
  <c r="C8888" i="1"/>
  <c r="D8888" i="1"/>
  <c r="C8889" i="1"/>
  <c r="D8889" i="1"/>
  <c r="C8890" i="1"/>
  <c r="D8890" i="1"/>
  <c r="C8891" i="1"/>
  <c r="D8891" i="1"/>
  <c r="C8892" i="1"/>
  <c r="D8892" i="1"/>
  <c r="C8893" i="1"/>
  <c r="D8893" i="1"/>
  <c r="C8894" i="1"/>
  <c r="D8894" i="1"/>
  <c r="C8895" i="1"/>
  <c r="D8895" i="1"/>
  <c r="C8896" i="1"/>
  <c r="D8896" i="1"/>
  <c r="C8897" i="1"/>
  <c r="D8897" i="1"/>
  <c r="C8898" i="1"/>
  <c r="D8898" i="1"/>
  <c r="C8899" i="1"/>
  <c r="D8899" i="1"/>
  <c r="C8900" i="1"/>
  <c r="D8900" i="1"/>
  <c r="C8901" i="1"/>
  <c r="D8901" i="1"/>
  <c r="C8902" i="1"/>
  <c r="D8902" i="1"/>
  <c r="C8903" i="1"/>
  <c r="D8903" i="1"/>
  <c r="C8904" i="1"/>
  <c r="D8904" i="1"/>
  <c r="C8905" i="1"/>
  <c r="D8905" i="1"/>
  <c r="C8906" i="1"/>
  <c r="D8906" i="1"/>
  <c r="C8907" i="1"/>
  <c r="D8907" i="1"/>
  <c r="C8908" i="1"/>
  <c r="D8908" i="1"/>
  <c r="C8909" i="1"/>
  <c r="D8909" i="1"/>
  <c r="C8910" i="1"/>
  <c r="D8910" i="1"/>
  <c r="C8911" i="1"/>
  <c r="D8911" i="1"/>
  <c r="C8912" i="1"/>
  <c r="D8912" i="1"/>
  <c r="C8913" i="1"/>
  <c r="D8913" i="1"/>
  <c r="C8914" i="1"/>
  <c r="D8914" i="1"/>
  <c r="C8915" i="1"/>
  <c r="D8915" i="1"/>
  <c r="C8916" i="1"/>
  <c r="D8916" i="1"/>
  <c r="C8917" i="1"/>
  <c r="D8917" i="1"/>
  <c r="C8918" i="1"/>
  <c r="D8918" i="1"/>
  <c r="C8919" i="1"/>
  <c r="D8919" i="1"/>
  <c r="C8920" i="1"/>
  <c r="D8920" i="1"/>
  <c r="C8921" i="1"/>
  <c r="D8921" i="1"/>
  <c r="C8922" i="1"/>
  <c r="D8922" i="1"/>
  <c r="C8923" i="1"/>
  <c r="D8923" i="1"/>
  <c r="C8924" i="1"/>
  <c r="D8924" i="1"/>
  <c r="C8925" i="1"/>
  <c r="D8925" i="1"/>
  <c r="C8926" i="1"/>
  <c r="D8926" i="1"/>
  <c r="C8927" i="1"/>
  <c r="D8927" i="1"/>
  <c r="C8928" i="1"/>
  <c r="D8928" i="1"/>
  <c r="C8929" i="1"/>
  <c r="D8929" i="1"/>
  <c r="C8930" i="1"/>
  <c r="D8930" i="1"/>
  <c r="C8931" i="1"/>
  <c r="D8931" i="1"/>
  <c r="C8932" i="1"/>
  <c r="D8932" i="1"/>
  <c r="C8933" i="1"/>
  <c r="D8933" i="1"/>
  <c r="C8934" i="1"/>
  <c r="D8934" i="1"/>
  <c r="C8935" i="1"/>
  <c r="D8935" i="1"/>
  <c r="C8936" i="1"/>
  <c r="D8936" i="1"/>
  <c r="C8937" i="1"/>
  <c r="D8937" i="1"/>
  <c r="C8938" i="1"/>
  <c r="D8938" i="1"/>
  <c r="C8939" i="1"/>
  <c r="D8939" i="1"/>
  <c r="C8940" i="1"/>
  <c r="D8940" i="1"/>
  <c r="C8941" i="1"/>
  <c r="D8941" i="1"/>
  <c r="C8942" i="1"/>
  <c r="D8942" i="1"/>
  <c r="C8943" i="1"/>
  <c r="D8943" i="1"/>
  <c r="C8944" i="1"/>
  <c r="D8944" i="1"/>
  <c r="C8945" i="1"/>
  <c r="D8945" i="1"/>
  <c r="C8946" i="1"/>
  <c r="D8946" i="1"/>
  <c r="C8947" i="1"/>
  <c r="D8947" i="1"/>
  <c r="C8948" i="1"/>
  <c r="D8948" i="1"/>
  <c r="C8949" i="1"/>
  <c r="D8949" i="1"/>
  <c r="C8950" i="1"/>
  <c r="D8950" i="1"/>
  <c r="C8951" i="1"/>
  <c r="D8951" i="1"/>
  <c r="C8952" i="1"/>
  <c r="D8952" i="1"/>
  <c r="C8953" i="1"/>
  <c r="D8953" i="1"/>
  <c r="C8954" i="1"/>
  <c r="D8954" i="1"/>
  <c r="C8955" i="1"/>
  <c r="D8955" i="1"/>
  <c r="C8956" i="1"/>
  <c r="D8956" i="1"/>
  <c r="C8957" i="1"/>
  <c r="D8957" i="1"/>
  <c r="C8958" i="1"/>
  <c r="D8958" i="1"/>
  <c r="C8959" i="1"/>
  <c r="D8959" i="1"/>
  <c r="C8960" i="1"/>
  <c r="D8960" i="1"/>
  <c r="C8961" i="1"/>
  <c r="D8961" i="1"/>
  <c r="C8962" i="1"/>
  <c r="D8962" i="1"/>
  <c r="C8963" i="1"/>
  <c r="D8963" i="1"/>
  <c r="C8964" i="1"/>
  <c r="D8964" i="1"/>
  <c r="C8965" i="1"/>
  <c r="D8965" i="1"/>
  <c r="C8966" i="1"/>
  <c r="D8966" i="1"/>
  <c r="C8967" i="1"/>
  <c r="D8967" i="1"/>
  <c r="C8968" i="1"/>
  <c r="D8968" i="1"/>
  <c r="C8969" i="1"/>
  <c r="D8969" i="1"/>
  <c r="C8970" i="1"/>
  <c r="D8970" i="1"/>
  <c r="C8971" i="1"/>
  <c r="D8971" i="1"/>
  <c r="C8972" i="1"/>
  <c r="D8972" i="1"/>
  <c r="C8973" i="1"/>
  <c r="D8973" i="1"/>
  <c r="C8974" i="1"/>
  <c r="D8974" i="1"/>
  <c r="C8975" i="1"/>
  <c r="D8975" i="1"/>
  <c r="C8976" i="1"/>
  <c r="D8976" i="1"/>
  <c r="C8977" i="1"/>
  <c r="D8977" i="1"/>
  <c r="C8978" i="1"/>
  <c r="D8978" i="1"/>
  <c r="C8979" i="1"/>
  <c r="D8979" i="1"/>
  <c r="C8980" i="1"/>
  <c r="D8980" i="1"/>
  <c r="C8981" i="1"/>
  <c r="D8981" i="1"/>
  <c r="C8982" i="1"/>
  <c r="D8982" i="1"/>
  <c r="C8983" i="1"/>
  <c r="D8983" i="1"/>
  <c r="C8984" i="1"/>
  <c r="D8984" i="1"/>
  <c r="C8985" i="1"/>
  <c r="D8985" i="1"/>
  <c r="C8986" i="1"/>
  <c r="D8986" i="1"/>
  <c r="C8987" i="1"/>
  <c r="D8987" i="1"/>
  <c r="C8988" i="1"/>
  <c r="D8988" i="1"/>
  <c r="C8989" i="1"/>
  <c r="D8989" i="1"/>
  <c r="C8990" i="1"/>
  <c r="D8990" i="1"/>
  <c r="C8991" i="1"/>
  <c r="D8991" i="1"/>
  <c r="C8992" i="1"/>
  <c r="D8992" i="1"/>
  <c r="C8993" i="1"/>
  <c r="D8993" i="1"/>
  <c r="C8994" i="1"/>
  <c r="D8994" i="1"/>
  <c r="C8995" i="1"/>
  <c r="D8995" i="1"/>
  <c r="C8996" i="1"/>
  <c r="D8996" i="1"/>
  <c r="C8997" i="1"/>
  <c r="D8997" i="1"/>
  <c r="C8998" i="1"/>
  <c r="D8998" i="1"/>
  <c r="C8999" i="1"/>
  <c r="D8999" i="1"/>
  <c r="C9000" i="1"/>
  <c r="D9000" i="1"/>
  <c r="C9001" i="1"/>
  <c r="D9001" i="1"/>
  <c r="C9002" i="1"/>
  <c r="D9002" i="1"/>
  <c r="C9003" i="1"/>
  <c r="D9003" i="1"/>
  <c r="C9004" i="1"/>
  <c r="D9004" i="1"/>
  <c r="C9005" i="1"/>
  <c r="D9005" i="1"/>
  <c r="C9006" i="1"/>
  <c r="D9006" i="1"/>
  <c r="C9007" i="1"/>
  <c r="D9007" i="1"/>
  <c r="C9008" i="1"/>
  <c r="D9008" i="1"/>
  <c r="C9009" i="1"/>
  <c r="D9009" i="1"/>
  <c r="C9010" i="1"/>
  <c r="D9010" i="1"/>
  <c r="C9011" i="1"/>
  <c r="D9011" i="1"/>
  <c r="C9012" i="1"/>
  <c r="D9012" i="1"/>
  <c r="C9013" i="1"/>
  <c r="D9013" i="1"/>
  <c r="C9014" i="1"/>
  <c r="D9014" i="1"/>
  <c r="C9015" i="1"/>
  <c r="D9015" i="1"/>
  <c r="C9016" i="1"/>
  <c r="D9016" i="1"/>
  <c r="C9017" i="1"/>
  <c r="D9017" i="1"/>
  <c r="C9018" i="1"/>
  <c r="D9018" i="1"/>
  <c r="C9019" i="1"/>
  <c r="D9019" i="1"/>
  <c r="C9020" i="1"/>
  <c r="D9020" i="1"/>
  <c r="C9021" i="1"/>
  <c r="D9021" i="1"/>
  <c r="C9022" i="1"/>
  <c r="D9022" i="1"/>
  <c r="C9023" i="1"/>
  <c r="D9023" i="1"/>
  <c r="C9024" i="1"/>
  <c r="D9024" i="1"/>
  <c r="C9025" i="1"/>
  <c r="D9025" i="1"/>
  <c r="C9026" i="1"/>
  <c r="D9026" i="1"/>
  <c r="C9027" i="1"/>
  <c r="D9027" i="1"/>
  <c r="C9028" i="1"/>
  <c r="D9028" i="1"/>
  <c r="C9029" i="1"/>
  <c r="D9029" i="1"/>
  <c r="C9030" i="1"/>
  <c r="D9030" i="1"/>
  <c r="C9031" i="1"/>
  <c r="D9031" i="1"/>
  <c r="C9032" i="1"/>
  <c r="D9032" i="1"/>
  <c r="C9033" i="1"/>
  <c r="D9033" i="1"/>
  <c r="C9034" i="1"/>
  <c r="D9034" i="1"/>
  <c r="C9035" i="1"/>
  <c r="D9035" i="1"/>
  <c r="C9036" i="1"/>
  <c r="D9036" i="1"/>
  <c r="C9037" i="1"/>
  <c r="D9037" i="1"/>
  <c r="C9038" i="1"/>
  <c r="D9038" i="1"/>
  <c r="C9039" i="1"/>
  <c r="D9039" i="1"/>
  <c r="C9040" i="1"/>
  <c r="D9040" i="1"/>
  <c r="C9041" i="1"/>
  <c r="D9041" i="1"/>
  <c r="C9042" i="1"/>
  <c r="D9042" i="1"/>
  <c r="C9043" i="1"/>
  <c r="D9043" i="1"/>
  <c r="C9044" i="1"/>
  <c r="D9044" i="1"/>
  <c r="C9045" i="1"/>
  <c r="D9045" i="1"/>
  <c r="C9046" i="1"/>
  <c r="D9046" i="1"/>
  <c r="C9047" i="1"/>
  <c r="D9047" i="1"/>
  <c r="C9048" i="1"/>
  <c r="D9048" i="1"/>
  <c r="C9049" i="1"/>
  <c r="D9049" i="1"/>
  <c r="C9050" i="1"/>
  <c r="D9050" i="1"/>
  <c r="C9051" i="1"/>
  <c r="D9051" i="1"/>
  <c r="C9052" i="1"/>
  <c r="D9052" i="1"/>
  <c r="C9053" i="1"/>
  <c r="D9053" i="1"/>
  <c r="C9054" i="1"/>
  <c r="D9054" i="1"/>
  <c r="C9055" i="1"/>
  <c r="D9055" i="1"/>
  <c r="C9056" i="1"/>
  <c r="D9056" i="1"/>
  <c r="C9057" i="1"/>
  <c r="D9057" i="1"/>
  <c r="C9058" i="1"/>
  <c r="D9058" i="1"/>
  <c r="C9059" i="1"/>
  <c r="D9059" i="1"/>
  <c r="C9060" i="1"/>
  <c r="D9060" i="1"/>
  <c r="C9061" i="1"/>
  <c r="D9061" i="1"/>
  <c r="C9062" i="1"/>
  <c r="D9062" i="1"/>
  <c r="C9063" i="1"/>
  <c r="D9063" i="1"/>
  <c r="C9064" i="1"/>
  <c r="D9064" i="1"/>
  <c r="C9065" i="1"/>
  <c r="D9065" i="1"/>
  <c r="C9066" i="1"/>
  <c r="D9066" i="1"/>
  <c r="C9067" i="1"/>
  <c r="D9067" i="1"/>
  <c r="C9068" i="1"/>
  <c r="D9068" i="1"/>
  <c r="C9069" i="1"/>
  <c r="D9069" i="1"/>
  <c r="C9070" i="1"/>
  <c r="D9070" i="1"/>
  <c r="C9071" i="1"/>
  <c r="D9071" i="1"/>
  <c r="C9072" i="1"/>
  <c r="D9072" i="1"/>
  <c r="C9073" i="1"/>
  <c r="D9073" i="1"/>
  <c r="C9074" i="1"/>
  <c r="D9074" i="1"/>
  <c r="C9075" i="1"/>
  <c r="D9075" i="1"/>
  <c r="C9076" i="1"/>
  <c r="D9076" i="1"/>
  <c r="C9077" i="1"/>
  <c r="D9077" i="1"/>
  <c r="C9078" i="1"/>
  <c r="D9078" i="1"/>
  <c r="C9079" i="1"/>
  <c r="D9079" i="1"/>
  <c r="C9080" i="1"/>
  <c r="D9080" i="1"/>
  <c r="C9081" i="1"/>
  <c r="D9081" i="1"/>
  <c r="C9082" i="1"/>
  <c r="D9082" i="1"/>
  <c r="C9083" i="1"/>
  <c r="D9083" i="1"/>
  <c r="C9084" i="1"/>
  <c r="D9084" i="1"/>
  <c r="C9085" i="1"/>
  <c r="D9085" i="1"/>
  <c r="C9086" i="1"/>
  <c r="D9086" i="1"/>
  <c r="C9087" i="1"/>
  <c r="D9087" i="1"/>
  <c r="C9088" i="1"/>
  <c r="D9088" i="1"/>
  <c r="C9089" i="1"/>
  <c r="D9089" i="1"/>
  <c r="C9090" i="1"/>
  <c r="D9090" i="1"/>
  <c r="C9091" i="1"/>
  <c r="D9091" i="1"/>
  <c r="C9092" i="1"/>
  <c r="D9092" i="1"/>
  <c r="C9093" i="1"/>
  <c r="D9093" i="1"/>
  <c r="C9094" i="1"/>
  <c r="D9094" i="1"/>
  <c r="C9095" i="1"/>
  <c r="D9095" i="1"/>
  <c r="C9096" i="1"/>
  <c r="D9096" i="1"/>
  <c r="C9097" i="1"/>
  <c r="D9097" i="1"/>
  <c r="C9098" i="1"/>
  <c r="D9098" i="1"/>
  <c r="C9099" i="1"/>
  <c r="D9099" i="1"/>
  <c r="C9100" i="1"/>
  <c r="D9100" i="1"/>
  <c r="C9101" i="1"/>
  <c r="D9101" i="1"/>
  <c r="C9102" i="1"/>
  <c r="D9102" i="1"/>
  <c r="C9103" i="1"/>
  <c r="D9103" i="1"/>
  <c r="C9104" i="1"/>
  <c r="D9104" i="1"/>
  <c r="C9105" i="1"/>
  <c r="D9105" i="1"/>
  <c r="C9106" i="1"/>
  <c r="D9106" i="1"/>
  <c r="C9107" i="1"/>
  <c r="D9107" i="1"/>
  <c r="C9108" i="1"/>
  <c r="D9108" i="1"/>
  <c r="C9109" i="1"/>
  <c r="D9109" i="1"/>
  <c r="C9110" i="1"/>
  <c r="D9110" i="1"/>
  <c r="C9111" i="1"/>
  <c r="D9111" i="1"/>
  <c r="C9112" i="1"/>
  <c r="D9112" i="1"/>
  <c r="C9113" i="1"/>
  <c r="D9113" i="1"/>
  <c r="C9114" i="1"/>
  <c r="D9114" i="1"/>
  <c r="C9115" i="1"/>
  <c r="D9115" i="1"/>
  <c r="C9116" i="1"/>
  <c r="D9116" i="1"/>
  <c r="C9117" i="1"/>
  <c r="D9117" i="1"/>
  <c r="C9118" i="1"/>
  <c r="D9118" i="1"/>
  <c r="C9119" i="1"/>
  <c r="D9119" i="1"/>
  <c r="C9120" i="1"/>
  <c r="D9120" i="1"/>
  <c r="C9121" i="1"/>
  <c r="D9121" i="1"/>
  <c r="C9122" i="1"/>
  <c r="D9122" i="1"/>
  <c r="C9123" i="1"/>
  <c r="D9123" i="1"/>
  <c r="C9124" i="1"/>
  <c r="D9124" i="1"/>
  <c r="C9125" i="1"/>
  <c r="D9125" i="1"/>
  <c r="C9126" i="1"/>
  <c r="D9126" i="1"/>
  <c r="C9127" i="1"/>
  <c r="D9127" i="1"/>
  <c r="C9128" i="1"/>
  <c r="D9128" i="1"/>
  <c r="C9129" i="1"/>
  <c r="D9129" i="1"/>
  <c r="C9130" i="1"/>
  <c r="D9130" i="1"/>
  <c r="C9131" i="1"/>
  <c r="D9131" i="1"/>
  <c r="C9132" i="1"/>
  <c r="D9132" i="1"/>
  <c r="C9133" i="1"/>
  <c r="D9133" i="1"/>
  <c r="C9134" i="1"/>
  <c r="D9134" i="1"/>
  <c r="C9135" i="1"/>
  <c r="D9135" i="1"/>
  <c r="C9136" i="1"/>
  <c r="D9136" i="1"/>
  <c r="C9137" i="1"/>
  <c r="D9137" i="1"/>
  <c r="C9138" i="1"/>
  <c r="D9138" i="1"/>
  <c r="C9139" i="1"/>
  <c r="D9139" i="1"/>
  <c r="C9140" i="1"/>
  <c r="D9140" i="1"/>
  <c r="C9141" i="1"/>
  <c r="D9141" i="1"/>
  <c r="C9142" i="1"/>
  <c r="D9142" i="1"/>
  <c r="C9143" i="1"/>
  <c r="D9143" i="1"/>
  <c r="C9144" i="1"/>
  <c r="D9144" i="1"/>
  <c r="C9145" i="1"/>
  <c r="D9145" i="1"/>
  <c r="C9146" i="1"/>
  <c r="D9146" i="1"/>
  <c r="C9147" i="1"/>
  <c r="D9147" i="1"/>
  <c r="C9148" i="1"/>
  <c r="D9148" i="1"/>
  <c r="C9149" i="1"/>
  <c r="D9149" i="1"/>
  <c r="C9150" i="1"/>
  <c r="D9150" i="1"/>
  <c r="C9151" i="1"/>
  <c r="D9151" i="1"/>
  <c r="C9152" i="1"/>
  <c r="D9152" i="1"/>
  <c r="C9153" i="1"/>
  <c r="D9153" i="1"/>
  <c r="C9154" i="1"/>
  <c r="D9154" i="1"/>
  <c r="C9155" i="1"/>
  <c r="D9155" i="1"/>
  <c r="C9156" i="1"/>
  <c r="D9156" i="1"/>
  <c r="C9157" i="1"/>
  <c r="D9157" i="1"/>
  <c r="C9158" i="1"/>
  <c r="D9158" i="1"/>
  <c r="C9159" i="1"/>
  <c r="D9159" i="1"/>
  <c r="C9160" i="1"/>
  <c r="D9160" i="1"/>
  <c r="C9161" i="1"/>
  <c r="D9161" i="1"/>
  <c r="C9162" i="1"/>
  <c r="D9162" i="1"/>
  <c r="C9163" i="1"/>
  <c r="D9163" i="1"/>
  <c r="C9164" i="1"/>
  <c r="D9164" i="1"/>
  <c r="C9165" i="1"/>
  <c r="D9165" i="1"/>
  <c r="C9166" i="1"/>
  <c r="D9166" i="1"/>
  <c r="C9167" i="1"/>
  <c r="D9167" i="1"/>
  <c r="C9168" i="1"/>
  <c r="D9168" i="1"/>
  <c r="C9169" i="1"/>
  <c r="D9169" i="1"/>
  <c r="C9170" i="1"/>
  <c r="D9170" i="1"/>
  <c r="C9171" i="1"/>
  <c r="D9171" i="1"/>
  <c r="C9172" i="1"/>
  <c r="D9172" i="1"/>
  <c r="C9173" i="1"/>
  <c r="D9173" i="1"/>
  <c r="C9174" i="1"/>
  <c r="D9174" i="1"/>
  <c r="C9175" i="1"/>
  <c r="D9175" i="1"/>
  <c r="C9176" i="1"/>
  <c r="D9176" i="1"/>
  <c r="C9177" i="1"/>
  <c r="D9177" i="1"/>
  <c r="C9178" i="1"/>
  <c r="D9178" i="1"/>
  <c r="C9179" i="1"/>
  <c r="D9179" i="1"/>
  <c r="C9180" i="1"/>
  <c r="D9180" i="1"/>
  <c r="C9181" i="1"/>
  <c r="D9181" i="1"/>
  <c r="C9182" i="1"/>
  <c r="D9182" i="1"/>
  <c r="C9183" i="1"/>
  <c r="D9183" i="1"/>
  <c r="C9184" i="1"/>
  <c r="D9184" i="1"/>
  <c r="C9185" i="1"/>
  <c r="D9185" i="1"/>
  <c r="C9186" i="1"/>
  <c r="D9186" i="1"/>
  <c r="C9187" i="1"/>
  <c r="D9187" i="1"/>
  <c r="C9188" i="1"/>
  <c r="D9188" i="1"/>
  <c r="C9189" i="1"/>
  <c r="D9189" i="1"/>
  <c r="C9190" i="1"/>
  <c r="D9190" i="1"/>
  <c r="C9191" i="1"/>
  <c r="D9191" i="1"/>
  <c r="C9192" i="1"/>
  <c r="D9192" i="1"/>
  <c r="C9193" i="1"/>
  <c r="D9193" i="1"/>
  <c r="C9194" i="1"/>
  <c r="D9194" i="1"/>
  <c r="C9195" i="1"/>
  <c r="D9195" i="1"/>
  <c r="C9196" i="1"/>
  <c r="D9196" i="1"/>
  <c r="C9197" i="1"/>
  <c r="D9197" i="1"/>
  <c r="C9198" i="1"/>
  <c r="D9198" i="1"/>
  <c r="C9199" i="1"/>
  <c r="D9199" i="1"/>
  <c r="C9200" i="1"/>
  <c r="D9200" i="1"/>
  <c r="C9201" i="1"/>
  <c r="D9201" i="1"/>
  <c r="C9202" i="1"/>
  <c r="D9202" i="1"/>
  <c r="C9203" i="1"/>
  <c r="D9203" i="1"/>
  <c r="C9204" i="1"/>
  <c r="D9204" i="1"/>
  <c r="C9205" i="1"/>
  <c r="D9205" i="1"/>
  <c r="C9206" i="1"/>
  <c r="D9206" i="1"/>
  <c r="C9207" i="1"/>
  <c r="D9207" i="1"/>
  <c r="C9208" i="1"/>
  <c r="D9208" i="1"/>
  <c r="C9209" i="1"/>
  <c r="D9209" i="1"/>
  <c r="C9210" i="1"/>
  <c r="D9210" i="1"/>
  <c r="C9211" i="1"/>
  <c r="D9211" i="1"/>
  <c r="C9212" i="1"/>
  <c r="D9212" i="1"/>
  <c r="C9213" i="1"/>
  <c r="D9213" i="1"/>
  <c r="C9214" i="1"/>
  <c r="D9214" i="1"/>
  <c r="C9215" i="1"/>
  <c r="D9215" i="1"/>
  <c r="C9216" i="1"/>
  <c r="D9216" i="1"/>
  <c r="C9217" i="1"/>
  <c r="D9217" i="1"/>
  <c r="C9218" i="1"/>
  <c r="D9218" i="1"/>
  <c r="C9219" i="1"/>
  <c r="D9219" i="1"/>
  <c r="C9220" i="1"/>
  <c r="D9220" i="1"/>
  <c r="C9221" i="1"/>
  <c r="D9221" i="1"/>
  <c r="C9222" i="1"/>
  <c r="D9222" i="1"/>
  <c r="C9223" i="1"/>
  <c r="D9223" i="1"/>
  <c r="C9224" i="1"/>
  <c r="D9224" i="1"/>
  <c r="C9225" i="1"/>
  <c r="D9225" i="1"/>
  <c r="C9226" i="1"/>
  <c r="D9226" i="1"/>
  <c r="C9227" i="1"/>
  <c r="D9227" i="1"/>
  <c r="C9228" i="1"/>
  <c r="D9228" i="1"/>
  <c r="C9229" i="1"/>
  <c r="D9229" i="1"/>
  <c r="C9230" i="1"/>
  <c r="D9230" i="1"/>
  <c r="C9231" i="1"/>
  <c r="D9231" i="1"/>
  <c r="C9232" i="1"/>
  <c r="D9232" i="1"/>
  <c r="C9233" i="1"/>
  <c r="D9233" i="1"/>
  <c r="C9234" i="1"/>
  <c r="D9234" i="1"/>
  <c r="C9235" i="1"/>
  <c r="D9235" i="1"/>
  <c r="C9236" i="1"/>
  <c r="D9236" i="1"/>
  <c r="C9237" i="1"/>
  <c r="D9237" i="1"/>
  <c r="C9238" i="1"/>
  <c r="D9238" i="1"/>
  <c r="C9239" i="1"/>
  <c r="D9239" i="1"/>
  <c r="C9240" i="1"/>
  <c r="D9240" i="1"/>
  <c r="C9241" i="1"/>
  <c r="D9241" i="1"/>
  <c r="C9242" i="1"/>
  <c r="D9242" i="1"/>
  <c r="C9243" i="1"/>
  <c r="D9243" i="1"/>
  <c r="C9244" i="1"/>
  <c r="D9244" i="1"/>
  <c r="C9245" i="1"/>
  <c r="D9245" i="1"/>
  <c r="C9246" i="1"/>
  <c r="D9246" i="1"/>
  <c r="C9247" i="1"/>
  <c r="D9247" i="1"/>
  <c r="C9248" i="1"/>
  <c r="D9248" i="1"/>
  <c r="C9249" i="1"/>
  <c r="D9249" i="1"/>
  <c r="C9250" i="1"/>
  <c r="D9250" i="1"/>
  <c r="C9251" i="1"/>
  <c r="D9251" i="1"/>
  <c r="C9252" i="1"/>
  <c r="D9252" i="1"/>
  <c r="C9253" i="1"/>
  <c r="D9253" i="1"/>
  <c r="C9254" i="1"/>
  <c r="D9254" i="1"/>
  <c r="C9255" i="1"/>
  <c r="D9255" i="1"/>
  <c r="C9256" i="1"/>
  <c r="D9256" i="1"/>
  <c r="C9257" i="1"/>
  <c r="D9257" i="1"/>
  <c r="C9258" i="1"/>
  <c r="D9258" i="1"/>
  <c r="C9259" i="1"/>
  <c r="D9259" i="1"/>
  <c r="C9260" i="1"/>
  <c r="D9260" i="1"/>
  <c r="C9261" i="1"/>
  <c r="D9261" i="1"/>
  <c r="C9262" i="1"/>
  <c r="D9262" i="1"/>
  <c r="C9263" i="1"/>
  <c r="D9263" i="1"/>
  <c r="C9264" i="1"/>
  <c r="D9264" i="1"/>
  <c r="C9265" i="1"/>
  <c r="D9265" i="1"/>
  <c r="C9266" i="1"/>
  <c r="D9266" i="1"/>
  <c r="C9267" i="1"/>
  <c r="D9267" i="1"/>
  <c r="C9268" i="1"/>
  <c r="D9268" i="1"/>
  <c r="C9269" i="1"/>
  <c r="D9269" i="1"/>
  <c r="C9270" i="1"/>
  <c r="D9270" i="1"/>
  <c r="C9271" i="1"/>
  <c r="D9271" i="1"/>
  <c r="C9272" i="1"/>
  <c r="D9272" i="1"/>
  <c r="C9273" i="1"/>
  <c r="D9273" i="1"/>
  <c r="C9274" i="1"/>
  <c r="D9274" i="1"/>
  <c r="C9275" i="1"/>
  <c r="D9275" i="1"/>
  <c r="C9276" i="1"/>
  <c r="D9276" i="1"/>
  <c r="C9277" i="1"/>
  <c r="D9277" i="1"/>
  <c r="C9278" i="1"/>
  <c r="D9278" i="1"/>
  <c r="C9279" i="1"/>
  <c r="D9279" i="1"/>
  <c r="C9280" i="1"/>
  <c r="D9280" i="1"/>
  <c r="C9281" i="1"/>
  <c r="D9281" i="1"/>
  <c r="C9282" i="1"/>
  <c r="D9282" i="1"/>
  <c r="C9283" i="1"/>
  <c r="D9283" i="1"/>
  <c r="C9284" i="1"/>
  <c r="D9284" i="1"/>
  <c r="C9285" i="1"/>
  <c r="D9285" i="1"/>
  <c r="C9286" i="1"/>
  <c r="D9286" i="1"/>
  <c r="C9287" i="1"/>
  <c r="D9287" i="1"/>
  <c r="C9288" i="1"/>
  <c r="D9288" i="1"/>
  <c r="C9289" i="1"/>
  <c r="D9289" i="1"/>
  <c r="C9290" i="1"/>
  <c r="D9290" i="1"/>
  <c r="C9291" i="1"/>
  <c r="D9291" i="1"/>
  <c r="C9292" i="1"/>
  <c r="D9292" i="1"/>
  <c r="C9293" i="1"/>
  <c r="D9293" i="1"/>
  <c r="C9294" i="1"/>
  <c r="D9294" i="1"/>
  <c r="C9295" i="1"/>
  <c r="D9295" i="1"/>
  <c r="C9296" i="1"/>
  <c r="D9296" i="1"/>
  <c r="C9297" i="1"/>
  <c r="D9297" i="1"/>
  <c r="C9298" i="1"/>
  <c r="D9298" i="1"/>
  <c r="C9299" i="1"/>
  <c r="D9299" i="1"/>
  <c r="C9300" i="1"/>
  <c r="D9300" i="1"/>
  <c r="C9301" i="1"/>
  <c r="D9301" i="1"/>
  <c r="C9302" i="1"/>
  <c r="D9302" i="1"/>
  <c r="C9303" i="1"/>
  <c r="D9303" i="1"/>
  <c r="C9304" i="1"/>
  <c r="D9304" i="1"/>
  <c r="C9305" i="1"/>
  <c r="D9305" i="1"/>
  <c r="C9306" i="1"/>
  <c r="D9306" i="1"/>
  <c r="C9307" i="1"/>
  <c r="D9307" i="1"/>
  <c r="C9308" i="1"/>
  <c r="D9308" i="1"/>
  <c r="C9309" i="1"/>
  <c r="D9309" i="1"/>
  <c r="C9310" i="1"/>
  <c r="D9310" i="1"/>
  <c r="C9311" i="1"/>
  <c r="D9311" i="1"/>
  <c r="C9312" i="1"/>
  <c r="D9312" i="1"/>
  <c r="C9313" i="1"/>
  <c r="D9313" i="1"/>
  <c r="C9314" i="1"/>
  <c r="D9314" i="1"/>
  <c r="C9315" i="1"/>
  <c r="D9315" i="1"/>
  <c r="C9316" i="1"/>
  <c r="D9316" i="1"/>
  <c r="C9317" i="1"/>
  <c r="D9317" i="1"/>
  <c r="C9318" i="1"/>
  <c r="D9318" i="1"/>
  <c r="C9319" i="1"/>
  <c r="D9319" i="1"/>
  <c r="C9320" i="1"/>
  <c r="D9320" i="1"/>
  <c r="C9321" i="1"/>
  <c r="D9321" i="1"/>
  <c r="C9322" i="1"/>
  <c r="D9322" i="1"/>
  <c r="C9323" i="1"/>
  <c r="D9323" i="1"/>
  <c r="C9324" i="1"/>
  <c r="D9324" i="1"/>
  <c r="C9325" i="1"/>
  <c r="D9325" i="1"/>
  <c r="C9326" i="1"/>
  <c r="D9326" i="1"/>
  <c r="C9327" i="1"/>
  <c r="D9327" i="1"/>
  <c r="C9328" i="1"/>
  <c r="D9328" i="1"/>
  <c r="C9329" i="1"/>
  <c r="D9329" i="1"/>
  <c r="C9330" i="1"/>
  <c r="D9330" i="1"/>
  <c r="C9331" i="1"/>
  <c r="D9331" i="1"/>
  <c r="C9332" i="1"/>
  <c r="D9332" i="1"/>
  <c r="C9333" i="1"/>
  <c r="D9333" i="1"/>
  <c r="C9334" i="1"/>
  <c r="D9334" i="1"/>
  <c r="C9335" i="1"/>
  <c r="D9335" i="1"/>
  <c r="C9336" i="1"/>
  <c r="D9336" i="1"/>
  <c r="C9337" i="1"/>
  <c r="D9337" i="1"/>
  <c r="C9338" i="1"/>
  <c r="D9338" i="1"/>
  <c r="C9339" i="1"/>
  <c r="D9339" i="1"/>
  <c r="C9340" i="1"/>
  <c r="D9340" i="1"/>
  <c r="C9341" i="1"/>
  <c r="D9341" i="1"/>
  <c r="C9342" i="1"/>
  <c r="D9342" i="1"/>
  <c r="C9343" i="1"/>
  <c r="D9343" i="1"/>
  <c r="C9344" i="1"/>
  <c r="D9344" i="1"/>
  <c r="C9345" i="1"/>
  <c r="D9345" i="1"/>
  <c r="C9346" i="1"/>
  <c r="D9346" i="1"/>
  <c r="C9347" i="1"/>
  <c r="D9347" i="1"/>
  <c r="C9348" i="1"/>
  <c r="D9348" i="1"/>
  <c r="C9349" i="1"/>
  <c r="D9349" i="1"/>
  <c r="C9350" i="1"/>
  <c r="D9350" i="1"/>
  <c r="C9351" i="1"/>
  <c r="D9351" i="1"/>
  <c r="C9352" i="1"/>
  <c r="D9352" i="1"/>
  <c r="C9353" i="1"/>
  <c r="D9353" i="1"/>
  <c r="C9354" i="1"/>
  <c r="D9354" i="1"/>
  <c r="C9355" i="1"/>
  <c r="D9355" i="1"/>
  <c r="C9356" i="1"/>
  <c r="D9356" i="1"/>
  <c r="C9357" i="1"/>
  <c r="D9357" i="1"/>
  <c r="C9358" i="1"/>
  <c r="D9358" i="1"/>
  <c r="C9359" i="1"/>
  <c r="D9359" i="1"/>
  <c r="C9360" i="1"/>
  <c r="D9360" i="1"/>
  <c r="C9361" i="1"/>
  <c r="D9361" i="1"/>
  <c r="C9362" i="1"/>
  <c r="D9362" i="1"/>
  <c r="C9363" i="1"/>
  <c r="D9363" i="1"/>
  <c r="C9364" i="1"/>
  <c r="D9364" i="1"/>
  <c r="C9365" i="1"/>
  <c r="D9365" i="1"/>
  <c r="C9366" i="1"/>
  <c r="D9366" i="1"/>
  <c r="C9367" i="1"/>
  <c r="D9367" i="1"/>
  <c r="C9368" i="1"/>
  <c r="D9368" i="1"/>
  <c r="C9369" i="1"/>
  <c r="D9369" i="1"/>
  <c r="C9370" i="1"/>
  <c r="D9370" i="1"/>
  <c r="C9371" i="1"/>
  <c r="D9371" i="1"/>
  <c r="C9372" i="1"/>
  <c r="D9372" i="1"/>
  <c r="C9373" i="1"/>
  <c r="D9373" i="1"/>
  <c r="C9374" i="1"/>
  <c r="D9374" i="1"/>
  <c r="C9375" i="1"/>
  <c r="D9375" i="1"/>
  <c r="C9376" i="1"/>
  <c r="D9376" i="1"/>
  <c r="C9377" i="1"/>
  <c r="D9377" i="1"/>
  <c r="C9378" i="1"/>
  <c r="D9378" i="1"/>
  <c r="C9379" i="1"/>
  <c r="D9379" i="1"/>
  <c r="C9380" i="1"/>
  <c r="D9380" i="1"/>
  <c r="C9381" i="1"/>
  <c r="D9381" i="1"/>
  <c r="C9382" i="1"/>
  <c r="D9382" i="1"/>
  <c r="C9383" i="1"/>
  <c r="D9383" i="1"/>
  <c r="C9384" i="1"/>
  <c r="D9384" i="1"/>
  <c r="C9385" i="1"/>
  <c r="D9385" i="1"/>
  <c r="C9386" i="1"/>
  <c r="D9386" i="1"/>
  <c r="C9387" i="1"/>
  <c r="D9387" i="1"/>
  <c r="C9388" i="1"/>
  <c r="D9388" i="1"/>
  <c r="C9389" i="1"/>
  <c r="D9389" i="1"/>
  <c r="C9390" i="1"/>
  <c r="D9390" i="1"/>
  <c r="C9391" i="1"/>
  <c r="D9391" i="1"/>
  <c r="C9392" i="1"/>
  <c r="D9392" i="1"/>
  <c r="C9393" i="1"/>
  <c r="D9393" i="1"/>
  <c r="C9394" i="1"/>
  <c r="D9394" i="1"/>
  <c r="C9395" i="1"/>
  <c r="D9395" i="1"/>
  <c r="C9396" i="1"/>
  <c r="D9396" i="1"/>
  <c r="C9397" i="1"/>
  <c r="D9397" i="1"/>
  <c r="C9398" i="1"/>
  <c r="D9398" i="1"/>
  <c r="C9399" i="1"/>
  <c r="D9399" i="1"/>
  <c r="C9400" i="1"/>
  <c r="D9400" i="1"/>
  <c r="C9401" i="1"/>
  <c r="D9401" i="1"/>
  <c r="C9402" i="1"/>
  <c r="D9402" i="1"/>
  <c r="C9403" i="1"/>
  <c r="D9403" i="1"/>
  <c r="C9404" i="1"/>
  <c r="D9404" i="1"/>
  <c r="C9405" i="1"/>
  <c r="D9405" i="1"/>
  <c r="C9406" i="1"/>
  <c r="D9406" i="1"/>
  <c r="C9407" i="1"/>
  <c r="D9407" i="1"/>
  <c r="C9408" i="1"/>
  <c r="D9408" i="1"/>
  <c r="C9409" i="1"/>
  <c r="D9409" i="1"/>
  <c r="C9410" i="1"/>
  <c r="D9410" i="1"/>
  <c r="C9411" i="1"/>
  <c r="D9411" i="1"/>
  <c r="C9412" i="1"/>
  <c r="D9412" i="1"/>
  <c r="C9413" i="1"/>
  <c r="D9413" i="1"/>
  <c r="C9414" i="1"/>
  <c r="D9414" i="1"/>
  <c r="C9415" i="1"/>
  <c r="D9415" i="1"/>
  <c r="C9416" i="1"/>
  <c r="D9416" i="1"/>
  <c r="C9417" i="1"/>
  <c r="D9417" i="1"/>
  <c r="C9418" i="1"/>
  <c r="D9418" i="1"/>
  <c r="C9419" i="1"/>
  <c r="D9419" i="1"/>
  <c r="C9420" i="1"/>
  <c r="D9420" i="1"/>
  <c r="C9421" i="1"/>
  <c r="D9421" i="1"/>
  <c r="C9422" i="1"/>
  <c r="D9422" i="1"/>
  <c r="C9423" i="1"/>
  <c r="D9423" i="1"/>
  <c r="C9424" i="1"/>
  <c r="D9424" i="1"/>
  <c r="C9425" i="1"/>
  <c r="D9425" i="1"/>
  <c r="C9426" i="1"/>
  <c r="D9426" i="1"/>
  <c r="C9427" i="1"/>
  <c r="D9427" i="1"/>
  <c r="C9428" i="1"/>
  <c r="D9428" i="1"/>
  <c r="C9429" i="1"/>
  <c r="D9429" i="1"/>
  <c r="C9430" i="1"/>
  <c r="D9430" i="1"/>
  <c r="C9431" i="1"/>
  <c r="D9431" i="1"/>
  <c r="C9432" i="1"/>
  <c r="D9432" i="1"/>
  <c r="C9433" i="1"/>
  <c r="D9433" i="1"/>
  <c r="C9434" i="1"/>
  <c r="D9434" i="1"/>
  <c r="C9435" i="1"/>
  <c r="D9435" i="1"/>
  <c r="C9436" i="1"/>
  <c r="D9436" i="1"/>
  <c r="C9437" i="1"/>
  <c r="D9437" i="1"/>
  <c r="C9438" i="1"/>
  <c r="D9438" i="1"/>
  <c r="C9439" i="1"/>
  <c r="D9439" i="1"/>
  <c r="C9440" i="1"/>
  <c r="D9440" i="1"/>
  <c r="C9441" i="1"/>
  <c r="D9441" i="1"/>
  <c r="C9442" i="1"/>
  <c r="D9442" i="1"/>
  <c r="C9443" i="1"/>
  <c r="D9443" i="1"/>
  <c r="C9444" i="1"/>
  <c r="D9444" i="1"/>
  <c r="C9445" i="1"/>
  <c r="D9445" i="1"/>
  <c r="C9446" i="1"/>
  <c r="D9446" i="1"/>
  <c r="C9447" i="1"/>
  <c r="D9447" i="1"/>
  <c r="C9448" i="1"/>
  <c r="D9448" i="1"/>
  <c r="C9449" i="1"/>
  <c r="D9449" i="1"/>
  <c r="C9450" i="1"/>
  <c r="D9450" i="1"/>
  <c r="C9451" i="1"/>
  <c r="D9451" i="1"/>
  <c r="C9452" i="1"/>
  <c r="D9452" i="1"/>
  <c r="C9453" i="1"/>
  <c r="D9453" i="1"/>
  <c r="C9454" i="1"/>
  <c r="D9454" i="1"/>
  <c r="C9455" i="1"/>
  <c r="D9455" i="1"/>
  <c r="C9456" i="1"/>
  <c r="D9456" i="1"/>
  <c r="C9457" i="1"/>
  <c r="D9457" i="1"/>
  <c r="C9458" i="1"/>
  <c r="D9458" i="1"/>
  <c r="C9459" i="1"/>
  <c r="D9459" i="1"/>
  <c r="C9460" i="1"/>
  <c r="D9460" i="1"/>
  <c r="C9461" i="1"/>
  <c r="D9461" i="1"/>
  <c r="C9462" i="1"/>
  <c r="D9462" i="1"/>
  <c r="C9463" i="1"/>
  <c r="D9463" i="1"/>
  <c r="C9464" i="1"/>
  <c r="D9464" i="1"/>
  <c r="C9465" i="1"/>
  <c r="D9465" i="1"/>
  <c r="C9466" i="1"/>
  <c r="D9466" i="1"/>
  <c r="C9467" i="1"/>
  <c r="D9467" i="1"/>
  <c r="C9468" i="1"/>
  <c r="D9468" i="1"/>
  <c r="C9469" i="1"/>
  <c r="D9469" i="1"/>
  <c r="C9470" i="1"/>
  <c r="D9470" i="1"/>
  <c r="C9471" i="1"/>
  <c r="D9471" i="1"/>
  <c r="C9472" i="1"/>
  <c r="D9472" i="1"/>
  <c r="C9473" i="1"/>
  <c r="D9473" i="1"/>
  <c r="C9474" i="1"/>
  <c r="D9474" i="1"/>
  <c r="C9475" i="1"/>
  <c r="D9475" i="1"/>
  <c r="C9476" i="1"/>
  <c r="D9476" i="1"/>
  <c r="C9477" i="1"/>
  <c r="D9477" i="1"/>
  <c r="C9478" i="1"/>
  <c r="D9478" i="1"/>
  <c r="C9479" i="1"/>
  <c r="D9479" i="1"/>
  <c r="C9480" i="1"/>
  <c r="D9480" i="1"/>
  <c r="C9481" i="1"/>
  <c r="D9481" i="1"/>
  <c r="C9482" i="1"/>
  <c r="D9482" i="1"/>
  <c r="C9483" i="1"/>
  <c r="D9483" i="1"/>
  <c r="C9484" i="1"/>
  <c r="D9484" i="1"/>
  <c r="C9485" i="1"/>
  <c r="D9485" i="1"/>
  <c r="C9486" i="1"/>
  <c r="D9486" i="1"/>
  <c r="C9487" i="1"/>
  <c r="D9487" i="1"/>
  <c r="C9488" i="1"/>
  <c r="D9488" i="1"/>
  <c r="C9489" i="1"/>
  <c r="D9489" i="1"/>
  <c r="C9490" i="1"/>
  <c r="D9490" i="1"/>
  <c r="C9491" i="1"/>
  <c r="D9491" i="1"/>
  <c r="C9492" i="1"/>
  <c r="D9492" i="1"/>
  <c r="C9493" i="1"/>
  <c r="D9493" i="1"/>
  <c r="C9494" i="1"/>
  <c r="D9494" i="1"/>
  <c r="C9495" i="1"/>
  <c r="D9495" i="1"/>
  <c r="C9496" i="1"/>
  <c r="D9496" i="1"/>
  <c r="C9497" i="1"/>
  <c r="D9497" i="1"/>
  <c r="C9498" i="1"/>
  <c r="D9498" i="1"/>
  <c r="C9499" i="1"/>
  <c r="D9499" i="1"/>
  <c r="C9500" i="1"/>
  <c r="D9500" i="1"/>
  <c r="C9501" i="1"/>
  <c r="D9501" i="1"/>
  <c r="C9502" i="1"/>
  <c r="D9502" i="1"/>
  <c r="C9503" i="1"/>
  <c r="D9503" i="1"/>
  <c r="C9504" i="1"/>
  <c r="D9504" i="1"/>
  <c r="C9505" i="1"/>
  <c r="D9505" i="1"/>
  <c r="C9506" i="1"/>
  <c r="D9506" i="1"/>
  <c r="C9507" i="1"/>
  <c r="D9507" i="1"/>
  <c r="C9508" i="1"/>
  <c r="D9508" i="1"/>
  <c r="C9509" i="1"/>
  <c r="D9509" i="1"/>
  <c r="C9510" i="1"/>
  <c r="D9510" i="1"/>
  <c r="C9511" i="1"/>
  <c r="D9511" i="1"/>
  <c r="C9512" i="1"/>
  <c r="D9512" i="1"/>
  <c r="C9513" i="1"/>
  <c r="D9513" i="1"/>
  <c r="C9514" i="1"/>
  <c r="D9514" i="1"/>
  <c r="C9515" i="1"/>
  <c r="D9515" i="1"/>
  <c r="C9516" i="1"/>
  <c r="D9516" i="1"/>
  <c r="C9517" i="1"/>
  <c r="D9517" i="1"/>
  <c r="C9518" i="1"/>
  <c r="D9518" i="1"/>
  <c r="C9519" i="1"/>
  <c r="D9519" i="1"/>
  <c r="C9520" i="1"/>
  <c r="D9520" i="1"/>
  <c r="C9521" i="1"/>
  <c r="D9521" i="1"/>
  <c r="C9522" i="1"/>
  <c r="D9522" i="1"/>
  <c r="C9523" i="1"/>
  <c r="D9523" i="1"/>
  <c r="C9524" i="1"/>
  <c r="D9524" i="1"/>
  <c r="C9525" i="1"/>
  <c r="D9525" i="1"/>
  <c r="C9526" i="1"/>
  <c r="D9526" i="1"/>
  <c r="C9527" i="1"/>
  <c r="D9527" i="1"/>
  <c r="C9528" i="1"/>
  <c r="D9528" i="1"/>
  <c r="C9529" i="1"/>
  <c r="D9529" i="1"/>
  <c r="C9530" i="1"/>
  <c r="D9530" i="1"/>
  <c r="C9531" i="1"/>
  <c r="D9531" i="1"/>
  <c r="C9532" i="1"/>
  <c r="D9532" i="1"/>
  <c r="C9533" i="1"/>
  <c r="D9533" i="1"/>
  <c r="C9534" i="1"/>
  <c r="D9534" i="1"/>
  <c r="C9535" i="1"/>
  <c r="D9535" i="1"/>
  <c r="C9536" i="1"/>
  <c r="D9536" i="1"/>
  <c r="C9537" i="1"/>
  <c r="D9537" i="1"/>
  <c r="C9538" i="1"/>
  <c r="D9538" i="1"/>
  <c r="C9539" i="1"/>
  <c r="D9539" i="1"/>
  <c r="C9540" i="1"/>
  <c r="D9540" i="1"/>
  <c r="C9541" i="1"/>
  <c r="D9541" i="1"/>
  <c r="C9542" i="1"/>
  <c r="D9542" i="1"/>
  <c r="C9543" i="1"/>
  <c r="D9543" i="1"/>
  <c r="C9544" i="1"/>
  <c r="D9544" i="1"/>
  <c r="C9545" i="1"/>
  <c r="D9545" i="1"/>
  <c r="C9546" i="1"/>
  <c r="D9546" i="1"/>
  <c r="C9547" i="1"/>
  <c r="D9547" i="1"/>
  <c r="C9548" i="1"/>
  <c r="D9548" i="1"/>
  <c r="C9549" i="1"/>
  <c r="D9549" i="1"/>
  <c r="C9550" i="1"/>
  <c r="D9550" i="1"/>
  <c r="C9551" i="1"/>
  <c r="D9551" i="1"/>
  <c r="C9552" i="1"/>
  <c r="D9552" i="1"/>
  <c r="C9553" i="1"/>
  <c r="D9553" i="1"/>
  <c r="C9554" i="1"/>
  <c r="D9554" i="1"/>
  <c r="C9555" i="1"/>
  <c r="D9555" i="1"/>
  <c r="C9556" i="1"/>
  <c r="D9556" i="1"/>
  <c r="C9557" i="1"/>
  <c r="D9557" i="1"/>
  <c r="C9558" i="1"/>
  <c r="D9558" i="1"/>
  <c r="C9559" i="1"/>
  <c r="D9559" i="1"/>
  <c r="C9560" i="1"/>
  <c r="D9560" i="1"/>
  <c r="C9561" i="1"/>
  <c r="D9561" i="1"/>
  <c r="C9562" i="1"/>
  <c r="D9562" i="1"/>
  <c r="C9563" i="1"/>
  <c r="D9563" i="1"/>
  <c r="C9564" i="1"/>
  <c r="D9564" i="1"/>
  <c r="C9565" i="1"/>
  <c r="D9565" i="1"/>
  <c r="C9566" i="1"/>
  <c r="D9566" i="1"/>
  <c r="C9567" i="1"/>
  <c r="D9567" i="1"/>
  <c r="C9568" i="1"/>
  <c r="D9568" i="1"/>
  <c r="C9569" i="1"/>
  <c r="D9569" i="1"/>
  <c r="C9570" i="1"/>
  <c r="D9570" i="1"/>
  <c r="C9571" i="1"/>
  <c r="D9571" i="1"/>
  <c r="C9572" i="1"/>
  <c r="D9572" i="1"/>
  <c r="C9573" i="1"/>
  <c r="D9573" i="1"/>
  <c r="C9574" i="1"/>
  <c r="D9574" i="1"/>
  <c r="C9575" i="1"/>
  <c r="D9575" i="1"/>
  <c r="C9576" i="1"/>
  <c r="D9576" i="1"/>
  <c r="C9577" i="1"/>
  <c r="D9577" i="1"/>
  <c r="C9578" i="1"/>
  <c r="D9578" i="1"/>
  <c r="C9579" i="1"/>
  <c r="D9579" i="1"/>
  <c r="C9580" i="1"/>
  <c r="D9580" i="1"/>
  <c r="C9581" i="1"/>
  <c r="D9581" i="1"/>
  <c r="C9582" i="1"/>
  <c r="D9582" i="1"/>
  <c r="C9583" i="1"/>
  <c r="D9583" i="1"/>
  <c r="C9584" i="1"/>
  <c r="D9584" i="1"/>
  <c r="C9585" i="1"/>
  <c r="D9585" i="1"/>
  <c r="C9586" i="1"/>
  <c r="D9586" i="1"/>
  <c r="C9587" i="1"/>
  <c r="D9587" i="1"/>
  <c r="C9588" i="1"/>
  <c r="D9588" i="1"/>
  <c r="C9589" i="1"/>
  <c r="D9589" i="1"/>
  <c r="C9590" i="1"/>
  <c r="D9590" i="1"/>
  <c r="C9591" i="1"/>
  <c r="D9591" i="1"/>
  <c r="C9592" i="1"/>
  <c r="D9592" i="1"/>
  <c r="C9593" i="1"/>
  <c r="D9593" i="1"/>
  <c r="C9594" i="1"/>
  <c r="D9594" i="1"/>
  <c r="C9595" i="1"/>
  <c r="D9595" i="1"/>
  <c r="C9596" i="1"/>
  <c r="D9596" i="1"/>
  <c r="C9597" i="1"/>
  <c r="D9597" i="1"/>
  <c r="C9598" i="1"/>
  <c r="D9598" i="1"/>
  <c r="C9599" i="1"/>
  <c r="D9599" i="1"/>
  <c r="C9600" i="1"/>
  <c r="D9600" i="1"/>
  <c r="C9601" i="1"/>
  <c r="D9601" i="1"/>
  <c r="C9602" i="1"/>
  <c r="D9602" i="1"/>
  <c r="C9603" i="1"/>
  <c r="D9603" i="1"/>
  <c r="C9604" i="1"/>
  <c r="D9604" i="1"/>
  <c r="C9605" i="1"/>
  <c r="D9605" i="1"/>
  <c r="C9606" i="1"/>
  <c r="D9606" i="1"/>
  <c r="C9607" i="1"/>
  <c r="D9607" i="1"/>
  <c r="C9608" i="1"/>
  <c r="D9608" i="1"/>
  <c r="C9609" i="1"/>
  <c r="D9609" i="1"/>
  <c r="C9610" i="1"/>
  <c r="D9610" i="1"/>
  <c r="C9611" i="1"/>
  <c r="D9611" i="1"/>
  <c r="C9612" i="1"/>
  <c r="D9612" i="1"/>
  <c r="C9613" i="1"/>
  <c r="D9613" i="1"/>
  <c r="C9614" i="1"/>
  <c r="D9614" i="1"/>
  <c r="C9615" i="1"/>
  <c r="D9615" i="1"/>
  <c r="C9616" i="1"/>
  <c r="D9616" i="1"/>
  <c r="C9617" i="1"/>
  <c r="D9617" i="1"/>
  <c r="C9618" i="1"/>
  <c r="D9618" i="1"/>
  <c r="C9619" i="1"/>
  <c r="D9619" i="1"/>
  <c r="C9620" i="1"/>
  <c r="D9620" i="1"/>
  <c r="C9621" i="1"/>
  <c r="D9621" i="1"/>
  <c r="C9622" i="1"/>
  <c r="D9622" i="1"/>
  <c r="C9623" i="1"/>
  <c r="D9623" i="1"/>
  <c r="C9624" i="1"/>
  <c r="D9624" i="1"/>
  <c r="C9625" i="1"/>
  <c r="D9625" i="1"/>
  <c r="C9626" i="1"/>
  <c r="D9626" i="1"/>
  <c r="C9627" i="1"/>
  <c r="D9627" i="1"/>
  <c r="C9628" i="1"/>
  <c r="D9628" i="1"/>
  <c r="C9629" i="1"/>
  <c r="D9629" i="1"/>
  <c r="C9630" i="1"/>
  <c r="D9630" i="1"/>
  <c r="C9631" i="1"/>
  <c r="D9631" i="1"/>
  <c r="C9632" i="1"/>
  <c r="D9632" i="1"/>
  <c r="C9633" i="1"/>
  <c r="D9633" i="1"/>
  <c r="C9634" i="1"/>
  <c r="D9634" i="1"/>
  <c r="C9635" i="1"/>
  <c r="D9635" i="1"/>
  <c r="C9636" i="1"/>
  <c r="D9636" i="1"/>
  <c r="C9637" i="1"/>
  <c r="D9637" i="1"/>
  <c r="C9638" i="1"/>
  <c r="D9638" i="1"/>
  <c r="C9639" i="1"/>
  <c r="D9639" i="1"/>
  <c r="C9640" i="1"/>
  <c r="D9640" i="1"/>
  <c r="C9641" i="1"/>
  <c r="D9641" i="1"/>
  <c r="C9642" i="1"/>
  <c r="D9642" i="1"/>
  <c r="C9643" i="1"/>
  <c r="D9643" i="1"/>
  <c r="C9644" i="1"/>
  <c r="D9644" i="1"/>
  <c r="C9645" i="1"/>
  <c r="D9645" i="1"/>
  <c r="C9646" i="1"/>
  <c r="D9646" i="1"/>
  <c r="C9647" i="1"/>
  <c r="D9647" i="1"/>
  <c r="C9648" i="1"/>
  <c r="D9648" i="1"/>
  <c r="C9649" i="1"/>
  <c r="D9649" i="1"/>
  <c r="C9650" i="1"/>
  <c r="D9650" i="1"/>
  <c r="C9651" i="1"/>
  <c r="D9651" i="1"/>
  <c r="C9652" i="1"/>
  <c r="D9652" i="1"/>
  <c r="C9653" i="1"/>
  <c r="D9653" i="1"/>
  <c r="C9654" i="1"/>
  <c r="D9654" i="1"/>
  <c r="C9655" i="1"/>
  <c r="D9655" i="1"/>
  <c r="C9656" i="1"/>
  <c r="D9656" i="1"/>
  <c r="C9657" i="1"/>
  <c r="D9657" i="1"/>
  <c r="C9658" i="1"/>
  <c r="D9658" i="1"/>
  <c r="C9659" i="1"/>
  <c r="D9659" i="1"/>
  <c r="C9660" i="1"/>
  <c r="D9660" i="1"/>
  <c r="C9661" i="1"/>
  <c r="D9661" i="1"/>
  <c r="C9662" i="1"/>
  <c r="D9662" i="1"/>
  <c r="C9663" i="1"/>
  <c r="D9663" i="1"/>
  <c r="C9664" i="1"/>
  <c r="D9664" i="1"/>
  <c r="C9665" i="1"/>
  <c r="D9665" i="1"/>
  <c r="C9666" i="1"/>
  <c r="D9666" i="1"/>
  <c r="C9667" i="1"/>
  <c r="D9667" i="1"/>
  <c r="C9668" i="1"/>
  <c r="D9668" i="1"/>
  <c r="C9669" i="1"/>
  <c r="D9669" i="1"/>
  <c r="C9670" i="1"/>
  <c r="D9670" i="1"/>
  <c r="C9671" i="1"/>
  <c r="D9671" i="1"/>
  <c r="C9672" i="1"/>
  <c r="D9672" i="1"/>
  <c r="C9673" i="1"/>
  <c r="D9673" i="1"/>
  <c r="C9674" i="1"/>
  <c r="D9674" i="1"/>
  <c r="C9675" i="1"/>
  <c r="D9675" i="1"/>
  <c r="C9676" i="1"/>
  <c r="D9676" i="1"/>
  <c r="C9677" i="1"/>
  <c r="D9677" i="1"/>
  <c r="C9678" i="1"/>
  <c r="D9678" i="1"/>
  <c r="C9679" i="1"/>
  <c r="D9679" i="1"/>
  <c r="C9680" i="1"/>
  <c r="D9680" i="1"/>
  <c r="C9681" i="1"/>
  <c r="D9681" i="1"/>
  <c r="C9682" i="1"/>
  <c r="D9682" i="1"/>
  <c r="C9683" i="1"/>
  <c r="D9683" i="1"/>
  <c r="C9684" i="1"/>
  <c r="D9684" i="1"/>
  <c r="C9685" i="1"/>
  <c r="D9685" i="1"/>
  <c r="C9686" i="1"/>
  <c r="D9686" i="1"/>
  <c r="C9687" i="1"/>
  <c r="D9687" i="1"/>
  <c r="C9688" i="1"/>
  <c r="D9688" i="1"/>
  <c r="C9689" i="1"/>
  <c r="D9689" i="1"/>
  <c r="C9690" i="1"/>
  <c r="D9690" i="1"/>
  <c r="C9691" i="1"/>
  <c r="D9691" i="1"/>
  <c r="C9692" i="1"/>
  <c r="D9692" i="1"/>
  <c r="C9693" i="1"/>
  <c r="D9693" i="1"/>
  <c r="C9694" i="1"/>
  <c r="D9694" i="1"/>
  <c r="C9695" i="1"/>
  <c r="D9695" i="1"/>
  <c r="C9696" i="1"/>
  <c r="D9696" i="1"/>
  <c r="C9697" i="1"/>
  <c r="D9697" i="1"/>
  <c r="C9698" i="1"/>
  <c r="D9698" i="1"/>
  <c r="C9699" i="1"/>
  <c r="D9699" i="1"/>
  <c r="C9700" i="1"/>
  <c r="D9700" i="1"/>
  <c r="C9701" i="1"/>
  <c r="D9701" i="1"/>
  <c r="C9702" i="1"/>
  <c r="D9702" i="1"/>
  <c r="C9703" i="1"/>
  <c r="D9703" i="1"/>
  <c r="C9704" i="1"/>
  <c r="D9704" i="1"/>
  <c r="C9705" i="1"/>
  <c r="D9705" i="1"/>
  <c r="C9706" i="1"/>
  <c r="D9706" i="1"/>
  <c r="C9707" i="1"/>
  <c r="D9707" i="1"/>
  <c r="C9708" i="1"/>
  <c r="D9708" i="1"/>
  <c r="C9709" i="1"/>
  <c r="D9709" i="1"/>
  <c r="C9710" i="1"/>
  <c r="D9710" i="1"/>
  <c r="C9711" i="1"/>
  <c r="D9711" i="1"/>
  <c r="C9712" i="1"/>
  <c r="D9712" i="1"/>
  <c r="C9713" i="1"/>
  <c r="D9713" i="1"/>
  <c r="C9714" i="1"/>
  <c r="D9714" i="1"/>
  <c r="C9715" i="1"/>
  <c r="D9715" i="1"/>
  <c r="C9716" i="1"/>
  <c r="D9716" i="1"/>
  <c r="C9717" i="1"/>
  <c r="D9717" i="1"/>
  <c r="C9718" i="1"/>
  <c r="D9718" i="1"/>
  <c r="C9719" i="1"/>
  <c r="D9719" i="1"/>
  <c r="C9720" i="1"/>
  <c r="D9720" i="1"/>
  <c r="C9721" i="1"/>
  <c r="D9721" i="1"/>
  <c r="C9722" i="1"/>
  <c r="D9722" i="1"/>
  <c r="C9723" i="1"/>
  <c r="D9723" i="1"/>
  <c r="C9724" i="1"/>
  <c r="D9724" i="1"/>
  <c r="C9725" i="1"/>
  <c r="D9725" i="1"/>
  <c r="C9726" i="1"/>
  <c r="D9726" i="1"/>
  <c r="C9727" i="1"/>
  <c r="D9727" i="1"/>
  <c r="C9728" i="1"/>
  <c r="D9728" i="1"/>
  <c r="C9729" i="1"/>
  <c r="D9729" i="1"/>
  <c r="C9730" i="1"/>
  <c r="D9730" i="1"/>
  <c r="C9731" i="1"/>
  <c r="D9731" i="1"/>
  <c r="C9732" i="1"/>
  <c r="D9732" i="1"/>
  <c r="C9733" i="1"/>
  <c r="D9733" i="1"/>
  <c r="C9734" i="1"/>
  <c r="D9734" i="1"/>
  <c r="C9735" i="1"/>
  <c r="D9735" i="1"/>
  <c r="C9736" i="1"/>
  <c r="D9736" i="1"/>
  <c r="C9737" i="1"/>
  <c r="D9737" i="1"/>
  <c r="C9738" i="1"/>
  <c r="D9738" i="1"/>
  <c r="C9739" i="1"/>
  <c r="D9739" i="1"/>
  <c r="C9740" i="1"/>
  <c r="D9740" i="1"/>
  <c r="C9741" i="1"/>
  <c r="D9741" i="1"/>
  <c r="C9742" i="1"/>
  <c r="D9742" i="1"/>
  <c r="C9743" i="1"/>
  <c r="D9743" i="1"/>
  <c r="C9744" i="1"/>
  <c r="D9744" i="1"/>
  <c r="C9745" i="1"/>
  <c r="D9745" i="1"/>
  <c r="C9746" i="1"/>
  <c r="D9746" i="1"/>
  <c r="C9747" i="1"/>
  <c r="D9747" i="1"/>
  <c r="C9748" i="1"/>
  <c r="D9748" i="1"/>
  <c r="C9749" i="1"/>
  <c r="D9749" i="1"/>
  <c r="C9750" i="1"/>
  <c r="D9750" i="1"/>
  <c r="C9751" i="1"/>
  <c r="D9751" i="1"/>
  <c r="C9752" i="1"/>
  <c r="D9752" i="1"/>
  <c r="C9753" i="1"/>
  <c r="D9753" i="1"/>
  <c r="C9754" i="1"/>
  <c r="D9754" i="1"/>
  <c r="C9755" i="1"/>
  <c r="D9755" i="1"/>
  <c r="C9756" i="1"/>
  <c r="D9756" i="1"/>
  <c r="C9757" i="1"/>
  <c r="D9757" i="1"/>
  <c r="C9758" i="1"/>
  <c r="D9758" i="1"/>
  <c r="C9759" i="1"/>
  <c r="D9759" i="1"/>
  <c r="C9760" i="1"/>
  <c r="D9760" i="1"/>
  <c r="C9761" i="1"/>
  <c r="D9761" i="1"/>
  <c r="C9762" i="1"/>
  <c r="D9762" i="1"/>
  <c r="C9763" i="1"/>
  <c r="D9763" i="1"/>
  <c r="C9764" i="1"/>
  <c r="D9764" i="1"/>
  <c r="C9765" i="1"/>
  <c r="D9765" i="1"/>
  <c r="C9766" i="1"/>
  <c r="D9766" i="1"/>
  <c r="C9767" i="1"/>
  <c r="D9767" i="1"/>
  <c r="C9768" i="1"/>
  <c r="D9768" i="1"/>
  <c r="C9769" i="1"/>
  <c r="D9769" i="1"/>
  <c r="C9770" i="1"/>
  <c r="D9770" i="1"/>
  <c r="C9771" i="1"/>
  <c r="D9771" i="1"/>
  <c r="C9772" i="1"/>
  <c r="D9772" i="1"/>
  <c r="C9773" i="1"/>
  <c r="D9773" i="1"/>
  <c r="C9774" i="1"/>
  <c r="D9774" i="1"/>
  <c r="C9775" i="1"/>
  <c r="D9775" i="1"/>
  <c r="C9776" i="1"/>
  <c r="D9776" i="1"/>
  <c r="C9777" i="1"/>
  <c r="D9777" i="1"/>
  <c r="C9778" i="1"/>
  <c r="D9778" i="1"/>
  <c r="C9779" i="1"/>
  <c r="D9779" i="1"/>
  <c r="C9780" i="1"/>
  <c r="D9780" i="1"/>
  <c r="C9781" i="1"/>
  <c r="D9781" i="1"/>
  <c r="C9782" i="1"/>
  <c r="D9782" i="1"/>
  <c r="C9783" i="1"/>
  <c r="D9783" i="1"/>
  <c r="C9784" i="1"/>
  <c r="D9784" i="1"/>
  <c r="C9785" i="1"/>
  <c r="D9785" i="1"/>
  <c r="C9786" i="1"/>
  <c r="D9786" i="1"/>
  <c r="C9787" i="1"/>
  <c r="D9787" i="1"/>
  <c r="C9788" i="1"/>
  <c r="D9788" i="1"/>
  <c r="C9789" i="1"/>
  <c r="D9789" i="1"/>
  <c r="C9790" i="1"/>
  <c r="D9790" i="1"/>
  <c r="C9791" i="1"/>
  <c r="D9791" i="1"/>
  <c r="C9792" i="1"/>
  <c r="D9792" i="1"/>
  <c r="C9793" i="1"/>
  <c r="D9793" i="1"/>
  <c r="C9794" i="1"/>
  <c r="D9794" i="1"/>
  <c r="C9795" i="1"/>
  <c r="D9795" i="1"/>
  <c r="C9796" i="1"/>
  <c r="D9796" i="1"/>
  <c r="C9797" i="1"/>
  <c r="D9797" i="1"/>
  <c r="C9798" i="1"/>
  <c r="D9798" i="1"/>
  <c r="C9799" i="1"/>
  <c r="D9799" i="1"/>
  <c r="C9800" i="1"/>
  <c r="D9800" i="1"/>
  <c r="C9801" i="1"/>
  <c r="D9801" i="1"/>
  <c r="C9802" i="1"/>
  <c r="D9802" i="1"/>
  <c r="C9803" i="1"/>
  <c r="D9803" i="1"/>
  <c r="C9804" i="1"/>
  <c r="D9804" i="1"/>
  <c r="C9805" i="1"/>
  <c r="D9805" i="1"/>
  <c r="C9806" i="1"/>
  <c r="D9806" i="1"/>
  <c r="C9807" i="1"/>
  <c r="D9807" i="1"/>
  <c r="C9808" i="1"/>
  <c r="D9808" i="1"/>
  <c r="C9809" i="1"/>
  <c r="D9809" i="1"/>
  <c r="C9810" i="1"/>
  <c r="D9810" i="1"/>
  <c r="C9811" i="1"/>
  <c r="D9811" i="1"/>
  <c r="C9812" i="1"/>
  <c r="D9812" i="1"/>
  <c r="C9813" i="1"/>
  <c r="D9813" i="1"/>
  <c r="C9814" i="1"/>
  <c r="D9814" i="1"/>
  <c r="C9815" i="1"/>
  <c r="D9815" i="1"/>
  <c r="C9816" i="1"/>
  <c r="D9816" i="1"/>
  <c r="C9817" i="1"/>
  <c r="D9817" i="1"/>
  <c r="C9818" i="1"/>
  <c r="D9818" i="1"/>
  <c r="C9819" i="1"/>
  <c r="D9819" i="1"/>
  <c r="C9820" i="1"/>
  <c r="D9820" i="1"/>
  <c r="C9821" i="1"/>
  <c r="D9821" i="1"/>
  <c r="C9822" i="1"/>
  <c r="D9822" i="1"/>
  <c r="C9823" i="1"/>
  <c r="D9823" i="1"/>
  <c r="C9824" i="1"/>
  <c r="D9824" i="1"/>
  <c r="C9825" i="1"/>
  <c r="D9825" i="1"/>
  <c r="C9826" i="1"/>
  <c r="D9826" i="1"/>
  <c r="C9827" i="1"/>
  <c r="D9827" i="1"/>
  <c r="C9828" i="1"/>
  <c r="D9828" i="1"/>
  <c r="C9829" i="1"/>
  <c r="D9829" i="1"/>
  <c r="C9830" i="1"/>
  <c r="D9830" i="1"/>
  <c r="C9831" i="1"/>
  <c r="D9831" i="1"/>
  <c r="C9832" i="1"/>
  <c r="D9832" i="1"/>
  <c r="C9833" i="1"/>
  <c r="D9833" i="1"/>
  <c r="C9834" i="1"/>
  <c r="D9834" i="1"/>
  <c r="C9835" i="1"/>
  <c r="D9835" i="1"/>
  <c r="C9836" i="1"/>
  <c r="D9836" i="1"/>
  <c r="C9837" i="1"/>
  <c r="D9837" i="1"/>
  <c r="C9838" i="1"/>
  <c r="D9838" i="1"/>
  <c r="C9839" i="1"/>
  <c r="D9839" i="1"/>
  <c r="C9840" i="1"/>
  <c r="D9840" i="1"/>
  <c r="C9841" i="1"/>
  <c r="D9841" i="1"/>
  <c r="C9842" i="1"/>
  <c r="D9842" i="1"/>
  <c r="C9843" i="1"/>
  <c r="D9843" i="1"/>
  <c r="C9844" i="1"/>
  <c r="D9844" i="1"/>
  <c r="C9845" i="1"/>
  <c r="D9845" i="1"/>
  <c r="C9846" i="1"/>
  <c r="D9846" i="1"/>
  <c r="C9847" i="1"/>
  <c r="D9847" i="1"/>
  <c r="C9848" i="1"/>
  <c r="D9848" i="1"/>
  <c r="C9849" i="1"/>
  <c r="D9849" i="1"/>
  <c r="C9850" i="1"/>
  <c r="D9850" i="1"/>
  <c r="C9851" i="1"/>
  <c r="D9851" i="1"/>
  <c r="C9852" i="1"/>
  <c r="D9852" i="1"/>
  <c r="C9853" i="1"/>
  <c r="D9853" i="1"/>
  <c r="C9854" i="1"/>
  <c r="D9854" i="1"/>
  <c r="C9855" i="1"/>
  <c r="D9855" i="1"/>
  <c r="C9856" i="1"/>
  <c r="D9856" i="1"/>
  <c r="C9857" i="1"/>
  <c r="D9857" i="1"/>
  <c r="C9858" i="1"/>
  <c r="D9858" i="1"/>
  <c r="C9859" i="1"/>
  <c r="D9859" i="1"/>
  <c r="C9860" i="1"/>
  <c r="D9860" i="1"/>
  <c r="C9861" i="1"/>
  <c r="D9861" i="1"/>
  <c r="C9862" i="1"/>
  <c r="D9862" i="1"/>
  <c r="C9863" i="1"/>
  <c r="D9863" i="1"/>
  <c r="C9864" i="1"/>
  <c r="D9864" i="1"/>
  <c r="C9865" i="1"/>
  <c r="D9865" i="1"/>
  <c r="C9866" i="1"/>
  <c r="D9866" i="1"/>
  <c r="C9867" i="1"/>
  <c r="D9867" i="1"/>
  <c r="C9868" i="1"/>
  <c r="D9868" i="1"/>
  <c r="C9869" i="1"/>
  <c r="D9869" i="1"/>
  <c r="C9870" i="1"/>
  <c r="D9870" i="1"/>
  <c r="C9871" i="1"/>
  <c r="D9871" i="1"/>
  <c r="C9872" i="1"/>
  <c r="D9872" i="1"/>
  <c r="C9873" i="1"/>
  <c r="D9873" i="1"/>
  <c r="C9874" i="1"/>
  <c r="D9874" i="1"/>
  <c r="C9875" i="1"/>
  <c r="D9875" i="1"/>
  <c r="C9876" i="1"/>
  <c r="D9876" i="1"/>
  <c r="C9877" i="1"/>
  <c r="D9877" i="1"/>
  <c r="C9878" i="1"/>
  <c r="D9878" i="1"/>
  <c r="C9879" i="1"/>
  <c r="D9879" i="1"/>
  <c r="C9880" i="1"/>
  <c r="D9880" i="1"/>
  <c r="C9881" i="1"/>
  <c r="D9881" i="1"/>
  <c r="C9882" i="1"/>
  <c r="D9882" i="1"/>
  <c r="C9883" i="1"/>
  <c r="D9883" i="1"/>
  <c r="C9884" i="1"/>
  <c r="D9884" i="1"/>
  <c r="C9885" i="1"/>
  <c r="D9885" i="1"/>
  <c r="C9886" i="1"/>
  <c r="D9886" i="1"/>
  <c r="C9887" i="1"/>
  <c r="D9887" i="1"/>
  <c r="C9888" i="1"/>
  <c r="D9888" i="1"/>
  <c r="C9889" i="1"/>
  <c r="D9889" i="1"/>
  <c r="C9890" i="1"/>
  <c r="D9890" i="1"/>
  <c r="C9891" i="1"/>
  <c r="D9891" i="1"/>
  <c r="C9892" i="1"/>
  <c r="D9892" i="1"/>
  <c r="C9893" i="1"/>
  <c r="D9893" i="1"/>
  <c r="C9894" i="1"/>
  <c r="D9894" i="1"/>
  <c r="C9895" i="1"/>
  <c r="D9895" i="1"/>
  <c r="C9896" i="1"/>
  <c r="D9896" i="1"/>
  <c r="C9897" i="1"/>
  <c r="D9897" i="1"/>
  <c r="C9898" i="1"/>
  <c r="D9898" i="1"/>
  <c r="C9899" i="1"/>
  <c r="D9899" i="1"/>
  <c r="C9900" i="1"/>
  <c r="D9900" i="1"/>
  <c r="C9901" i="1"/>
  <c r="D9901" i="1"/>
  <c r="C9902" i="1"/>
  <c r="D9902" i="1"/>
  <c r="C9903" i="1"/>
  <c r="D9903" i="1"/>
  <c r="C9904" i="1"/>
  <c r="D9904" i="1"/>
  <c r="C9905" i="1"/>
  <c r="D9905" i="1"/>
  <c r="C9906" i="1"/>
  <c r="D9906" i="1"/>
  <c r="C9907" i="1"/>
  <c r="D9907" i="1"/>
  <c r="C9908" i="1"/>
  <c r="D9908" i="1"/>
  <c r="C9909" i="1"/>
  <c r="D9909" i="1"/>
  <c r="C9910" i="1"/>
  <c r="D9910" i="1"/>
  <c r="C9911" i="1"/>
  <c r="D9911" i="1"/>
  <c r="C9912" i="1"/>
  <c r="D9912" i="1"/>
  <c r="C9913" i="1"/>
  <c r="D9913" i="1"/>
  <c r="C9914" i="1"/>
  <c r="D9914" i="1"/>
  <c r="C9915" i="1"/>
  <c r="D9915" i="1"/>
  <c r="C9916" i="1"/>
  <c r="D9916" i="1"/>
  <c r="C9917" i="1"/>
  <c r="D9917" i="1"/>
  <c r="C9918" i="1"/>
  <c r="D9918" i="1"/>
  <c r="C9919" i="1"/>
  <c r="D9919" i="1"/>
  <c r="C9920" i="1"/>
  <c r="D9920" i="1"/>
  <c r="C9921" i="1"/>
  <c r="D9921" i="1"/>
  <c r="C9922" i="1"/>
  <c r="D9922" i="1"/>
  <c r="C9923" i="1"/>
  <c r="D9923" i="1"/>
  <c r="C9924" i="1"/>
  <c r="D9924" i="1"/>
  <c r="C9925" i="1"/>
  <c r="D9925" i="1"/>
  <c r="C9926" i="1"/>
  <c r="D9926" i="1"/>
  <c r="C9927" i="1"/>
  <c r="D9927" i="1"/>
  <c r="C9928" i="1"/>
  <c r="D9928" i="1"/>
  <c r="C9929" i="1"/>
  <c r="D9929" i="1"/>
  <c r="C9930" i="1"/>
  <c r="D9930" i="1"/>
  <c r="C9931" i="1"/>
  <c r="D9931" i="1"/>
  <c r="C9932" i="1"/>
  <c r="D9932" i="1"/>
  <c r="C9933" i="1"/>
  <c r="D9933" i="1"/>
  <c r="C9934" i="1"/>
  <c r="D9934" i="1"/>
  <c r="C9935" i="1"/>
  <c r="D9935" i="1"/>
  <c r="C9936" i="1"/>
  <c r="D9936" i="1"/>
  <c r="C9937" i="1"/>
  <c r="D9937" i="1"/>
  <c r="C9938" i="1"/>
  <c r="D9938" i="1"/>
  <c r="C9939" i="1"/>
  <c r="D9939" i="1"/>
  <c r="C9940" i="1"/>
  <c r="D9940" i="1"/>
  <c r="C9941" i="1"/>
  <c r="D9941" i="1"/>
  <c r="C9942" i="1"/>
  <c r="D9942" i="1"/>
  <c r="C9943" i="1"/>
  <c r="D9943" i="1"/>
  <c r="C9944" i="1"/>
  <c r="D9944" i="1"/>
  <c r="C9945" i="1"/>
  <c r="D9945" i="1"/>
  <c r="C9946" i="1"/>
  <c r="D9946" i="1"/>
  <c r="C9947" i="1"/>
  <c r="D9947" i="1"/>
  <c r="C9948" i="1"/>
  <c r="D9948" i="1"/>
  <c r="C9949" i="1"/>
  <c r="D9949" i="1"/>
  <c r="C9950" i="1"/>
  <c r="D9950" i="1"/>
  <c r="C9951" i="1"/>
  <c r="D9951" i="1"/>
  <c r="C9952" i="1"/>
  <c r="D9952" i="1"/>
  <c r="C9953" i="1"/>
  <c r="D9953" i="1"/>
  <c r="C9954" i="1"/>
  <c r="D9954" i="1"/>
  <c r="C9955" i="1"/>
  <c r="D9955" i="1"/>
  <c r="C9956" i="1"/>
  <c r="D9956" i="1"/>
  <c r="C9957" i="1"/>
  <c r="D9957" i="1"/>
  <c r="C9958" i="1"/>
  <c r="D9958" i="1"/>
  <c r="C9959" i="1"/>
  <c r="D9959" i="1"/>
  <c r="C9960" i="1"/>
  <c r="D9960" i="1"/>
  <c r="C9961" i="1"/>
  <c r="D9961" i="1"/>
  <c r="C9962" i="1"/>
  <c r="D9962" i="1"/>
  <c r="C9963" i="1"/>
  <c r="D9963" i="1"/>
  <c r="C9964" i="1"/>
  <c r="D9964" i="1"/>
  <c r="C9965" i="1"/>
  <c r="D9965" i="1"/>
  <c r="C9966" i="1"/>
  <c r="D9966" i="1"/>
  <c r="C9967" i="1"/>
  <c r="D9967" i="1"/>
  <c r="C9968" i="1"/>
  <c r="D9968" i="1"/>
  <c r="C9969" i="1"/>
  <c r="D9969" i="1"/>
  <c r="C9970" i="1"/>
  <c r="D9970" i="1"/>
  <c r="C9971" i="1"/>
  <c r="D9971" i="1"/>
  <c r="C9972" i="1"/>
  <c r="D9972" i="1"/>
  <c r="C9973" i="1"/>
  <c r="D9973" i="1"/>
  <c r="C9974" i="1"/>
  <c r="D9974" i="1"/>
  <c r="C9975" i="1"/>
  <c r="D9975" i="1"/>
  <c r="C9976" i="1"/>
  <c r="D9976" i="1"/>
  <c r="C9977" i="1"/>
  <c r="D9977" i="1"/>
  <c r="C9978" i="1"/>
  <c r="D9978" i="1"/>
  <c r="C9979" i="1"/>
  <c r="D9979" i="1"/>
  <c r="C9980" i="1"/>
  <c r="D9980" i="1"/>
  <c r="C9981" i="1"/>
  <c r="D9981" i="1"/>
  <c r="C9982" i="1"/>
  <c r="D9982" i="1"/>
  <c r="C9983" i="1"/>
  <c r="D9983" i="1"/>
  <c r="C9984" i="1"/>
  <c r="D9984" i="1"/>
  <c r="C9985" i="1"/>
  <c r="D9985" i="1"/>
  <c r="C9986" i="1"/>
  <c r="D9986" i="1"/>
  <c r="C9987" i="1"/>
  <c r="D9987" i="1"/>
  <c r="C9988" i="1"/>
  <c r="D9988" i="1"/>
  <c r="C9989" i="1"/>
  <c r="D9989" i="1"/>
  <c r="C9990" i="1"/>
  <c r="D9990" i="1"/>
  <c r="C9991" i="1"/>
  <c r="D9991" i="1"/>
  <c r="C9992" i="1"/>
  <c r="D9992" i="1"/>
  <c r="C9993" i="1"/>
  <c r="D9993" i="1"/>
  <c r="C9994" i="1"/>
  <c r="D9994" i="1"/>
  <c r="C9995" i="1"/>
  <c r="D9995" i="1"/>
  <c r="C9996" i="1"/>
  <c r="D9996" i="1"/>
  <c r="C9997" i="1"/>
  <c r="D9997" i="1"/>
  <c r="C9998" i="1"/>
  <c r="D9998" i="1"/>
  <c r="C9999" i="1"/>
  <c r="D9999" i="1"/>
  <c r="C10000" i="1"/>
  <c r="D10000" i="1"/>
  <c r="C10001" i="1"/>
  <c r="D10001" i="1"/>
  <c r="C10002" i="1"/>
  <c r="D10002" i="1"/>
  <c r="C10003" i="1"/>
  <c r="D10003" i="1"/>
  <c r="C10004" i="1"/>
  <c r="D10004" i="1"/>
  <c r="C10005" i="1"/>
  <c r="D10005" i="1"/>
  <c r="C10006" i="1"/>
  <c r="D10006" i="1"/>
  <c r="C10007" i="1"/>
  <c r="D10007" i="1"/>
  <c r="C10008" i="1"/>
  <c r="D10008" i="1"/>
  <c r="C10009" i="1"/>
  <c r="D10009" i="1"/>
  <c r="C10010" i="1"/>
  <c r="D10010" i="1"/>
  <c r="C10011" i="1"/>
  <c r="D10011" i="1"/>
  <c r="C10012" i="1"/>
  <c r="D10012" i="1"/>
  <c r="C10013" i="1"/>
  <c r="D10013" i="1"/>
  <c r="C10014" i="1"/>
  <c r="D10014" i="1"/>
  <c r="C10015" i="1"/>
  <c r="D10015" i="1"/>
  <c r="C10016" i="1"/>
  <c r="D10016" i="1"/>
  <c r="C10017" i="1"/>
  <c r="D10017" i="1"/>
  <c r="C10018" i="1"/>
  <c r="D10018" i="1"/>
  <c r="C10019" i="1"/>
  <c r="D10019" i="1"/>
  <c r="C10020" i="1"/>
  <c r="D10020" i="1"/>
  <c r="C10021" i="1"/>
  <c r="D10021" i="1"/>
  <c r="C10022" i="1"/>
  <c r="D10022" i="1"/>
  <c r="C10023" i="1"/>
  <c r="D10023" i="1"/>
  <c r="C10024" i="1"/>
  <c r="D10024" i="1"/>
  <c r="C10025" i="1"/>
  <c r="D10025" i="1"/>
  <c r="C10026" i="1"/>
  <c r="D10026" i="1"/>
  <c r="C10027" i="1"/>
  <c r="D10027" i="1"/>
  <c r="C10028" i="1"/>
  <c r="D10028" i="1"/>
  <c r="C10029" i="1"/>
  <c r="D10029" i="1"/>
  <c r="C10030" i="1"/>
  <c r="D10030" i="1"/>
  <c r="C10031" i="1"/>
  <c r="D10031" i="1"/>
  <c r="C10032" i="1"/>
  <c r="D10032" i="1"/>
  <c r="C10033" i="1"/>
  <c r="D10033" i="1"/>
  <c r="C10034" i="1"/>
  <c r="D10034" i="1"/>
  <c r="C10035" i="1"/>
  <c r="D10035" i="1"/>
  <c r="C10036" i="1"/>
  <c r="D10036" i="1"/>
  <c r="C10037" i="1"/>
  <c r="D10037" i="1"/>
  <c r="C10038" i="1"/>
  <c r="D10038" i="1"/>
  <c r="C10039" i="1"/>
  <c r="D10039" i="1"/>
  <c r="C10040" i="1"/>
  <c r="D10040" i="1"/>
  <c r="C10041" i="1"/>
  <c r="D10041" i="1"/>
  <c r="C10042" i="1"/>
  <c r="D10042" i="1"/>
  <c r="C10043" i="1"/>
  <c r="D10043" i="1"/>
  <c r="C10044" i="1"/>
  <c r="D10044" i="1"/>
  <c r="C10045" i="1"/>
  <c r="D10045" i="1"/>
  <c r="C10046" i="1"/>
  <c r="D10046" i="1"/>
  <c r="C10047" i="1"/>
  <c r="D10047" i="1"/>
  <c r="C10048" i="1"/>
  <c r="D10048" i="1"/>
  <c r="C10049" i="1"/>
  <c r="D10049" i="1"/>
  <c r="C10050" i="1"/>
  <c r="D10050" i="1"/>
  <c r="C10051" i="1"/>
  <c r="D10051" i="1"/>
  <c r="C10052" i="1"/>
  <c r="D10052" i="1"/>
  <c r="C10053" i="1"/>
  <c r="D10053" i="1"/>
  <c r="C10054" i="1"/>
  <c r="D10054" i="1"/>
  <c r="C10055" i="1"/>
  <c r="D10055" i="1"/>
  <c r="C10056" i="1"/>
  <c r="D10056" i="1"/>
  <c r="C10057" i="1"/>
  <c r="D10057" i="1"/>
  <c r="C10058" i="1"/>
  <c r="D10058" i="1"/>
  <c r="C10059" i="1"/>
  <c r="D10059" i="1"/>
  <c r="C10060" i="1"/>
  <c r="D10060" i="1"/>
  <c r="C10061" i="1"/>
  <c r="D10061" i="1"/>
  <c r="C10062" i="1"/>
  <c r="D10062" i="1"/>
  <c r="C10063" i="1"/>
  <c r="D10063" i="1"/>
  <c r="C10064" i="1"/>
  <c r="D10064" i="1"/>
  <c r="C10065" i="1"/>
  <c r="D10065" i="1"/>
  <c r="C10066" i="1"/>
  <c r="D10066" i="1"/>
  <c r="C10067" i="1"/>
  <c r="D10067" i="1"/>
  <c r="C10068" i="1"/>
  <c r="D10068" i="1"/>
  <c r="C10069" i="1"/>
  <c r="D10069" i="1"/>
  <c r="C10070" i="1"/>
  <c r="D10070" i="1"/>
  <c r="C10071" i="1"/>
  <c r="D10071" i="1"/>
  <c r="C10072" i="1"/>
  <c r="D10072" i="1"/>
  <c r="C10073" i="1"/>
  <c r="D10073" i="1"/>
  <c r="C10074" i="1"/>
  <c r="D10074" i="1"/>
  <c r="C10075" i="1"/>
  <c r="D10075" i="1"/>
  <c r="C10076" i="1"/>
  <c r="D10076" i="1"/>
  <c r="C10077" i="1"/>
  <c r="D10077" i="1"/>
  <c r="C10078" i="1"/>
  <c r="D10078" i="1"/>
  <c r="C10079" i="1"/>
  <c r="D10079" i="1"/>
  <c r="C10080" i="1"/>
  <c r="D10080" i="1"/>
  <c r="C10081" i="1"/>
  <c r="D10081" i="1"/>
  <c r="C10082" i="1"/>
  <c r="D10082" i="1"/>
  <c r="C10083" i="1"/>
  <c r="D10083" i="1"/>
  <c r="C10084" i="1"/>
  <c r="D10084" i="1"/>
  <c r="C10085" i="1"/>
  <c r="D10085" i="1"/>
  <c r="C10086" i="1"/>
  <c r="D10086" i="1"/>
  <c r="C10087" i="1"/>
  <c r="D10087" i="1"/>
  <c r="C10088" i="1"/>
  <c r="D10088" i="1"/>
  <c r="C10089" i="1"/>
  <c r="D10089" i="1"/>
  <c r="C10090" i="1"/>
  <c r="D10090" i="1"/>
  <c r="C10091" i="1"/>
  <c r="D10091" i="1"/>
  <c r="C10092" i="1"/>
  <c r="D10092" i="1"/>
  <c r="C10093" i="1"/>
  <c r="D10093" i="1"/>
  <c r="C10094" i="1"/>
  <c r="D10094" i="1"/>
  <c r="C10095" i="1"/>
  <c r="D10095" i="1"/>
  <c r="C10096" i="1"/>
  <c r="D10096" i="1"/>
  <c r="C10097" i="1"/>
  <c r="D10097" i="1"/>
  <c r="C10098" i="1"/>
  <c r="D10098" i="1"/>
  <c r="C10099" i="1"/>
  <c r="D10099" i="1"/>
  <c r="C10100" i="1"/>
  <c r="D10100" i="1"/>
  <c r="C10101" i="1"/>
  <c r="D10101" i="1"/>
  <c r="C10102" i="1"/>
  <c r="D10102" i="1"/>
  <c r="C10103" i="1"/>
  <c r="D10103" i="1"/>
  <c r="C10104" i="1"/>
  <c r="D10104" i="1"/>
  <c r="C10105" i="1"/>
  <c r="D10105" i="1"/>
  <c r="C10106" i="1"/>
  <c r="D10106" i="1"/>
  <c r="C10107" i="1"/>
  <c r="D10107" i="1"/>
  <c r="C10108" i="1"/>
  <c r="D10108" i="1"/>
  <c r="C10109" i="1"/>
  <c r="D10109" i="1"/>
  <c r="C10110" i="1"/>
  <c r="D10110" i="1"/>
  <c r="C10111" i="1"/>
  <c r="D10111" i="1"/>
  <c r="C10112" i="1"/>
  <c r="D10112" i="1"/>
  <c r="C10113" i="1"/>
  <c r="D10113" i="1"/>
  <c r="C10114" i="1"/>
  <c r="D10114" i="1"/>
  <c r="C10115" i="1"/>
  <c r="D10115" i="1"/>
  <c r="C10116" i="1"/>
  <c r="D10116" i="1"/>
  <c r="C10117" i="1"/>
  <c r="D10117" i="1"/>
  <c r="C10118" i="1"/>
  <c r="D10118" i="1"/>
  <c r="C10119" i="1"/>
  <c r="D10119" i="1"/>
  <c r="C10120" i="1"/>
  <c r="D10120" i="1"/>
  <c r="C10121" i="1"/>
  <c r="D10121" i="1"/>
  <c r="C10122" i="1"/>
  <c r="D10122" i="1"/>
  <c r="C10123" i="1"/>
  <c r="D10123" i="1"/>
  <c r="C10124" i="1"/>
  <c r="D10124" i="1"/>
  <c r="C10125" i="1"/>
  <c r="D10125" i="1"/>
  <c r="C10126" i="1"/>
  <c r="D10126" i="1"/>
  <c r="C10127" i="1"/>
  <c r="D10127" i="1"/>
  <c r="C10128" i="1"/>
  <c r="D10128" i="1"/>
  <c r="C10129" i="1"/>
  <c r="D10129" i="1"/>
  <c r="C10130" i="1"/>
  <c r="D10130" i="1"/>
  <c r="C10131" i="1"/>
  <c r="D10131" i="1"/>
  <c r="C10132" i="1"/>
  <c r="D10132" i="1"/>
  <c r="C10133" i="1"/>
  <c r="D10133" i="1"/>
  <c r="C10134" i="1"/>
  <c r="D10134" i="1"/>
  <c r="C10135" i="1"/>
  <c r="D10135" i="1"/>
  <c r="C10136" i="1"/>
  <c r="D10136" i="1"/>
  <c r="C10137" i="1"/>
  <c r="D10137" i="1"/>
  <c r="C10138" i="1"/>
  <c r="D10138" i="1"/>
  <c r="C10139" i="1"/>
  <c r="D10139" i="1"/>
  <c r="C10140" i="1"/>
  <c r="D10140" i="1"/>
  <c r="C10141" i="1"/>
  <c r="D10141" i="1"/>
  <c r="C10142" i="1"/>
  <c r="D10142" i="1"/>
  <c r="C10143" i="1"/>
  <c r="D10143" i="1"/>
  <c r="C10144" i="1"/>
  <c r="D10144" i="1"/>
  <c r="C10145" i="1"/>
  <c r="D10145" i="1"/>
  <c r="C10146" i="1"/>
  <c r="D10146" i="1"/>
  <c r="C10147" i="1"/>
  <c r="D10147" i="1"/>
  <c r="C10148" i="1"/>
  <c r="D10148" i="1"/>
  <c r="C10149" i="1"/>
  <c r="D10149" i="1"/>
  <c r="C10150" i="1"/>
  <c r="D10150" i="1"/>
  <c r="C10151" i="1"/>
  <c r="D10151" i="1"/>
  <c r="C10152" i="1"/>
  <c r="D10152" i="1"/>
  <c r="C10153" i="1"/>
  <c r="D10153" i="1"/>
  <c r="C10154" i="1"/>
  <c r="D10154" i="1"/>
  <c r="C10155" i="1"/>
  <c r="D10155" i="1"/>
  <c r="C10156" i="1"/>
  <c r="D10156" i="1"/>
  <c r="C10157" i="1"/>
  <c r="D10157" i="1"/>
  <c r="C10158" i="1"/>
  <c r="D10158" i="1"/>
  <c r="C10159" i="1"/>
  <c r="D10159" i="1"/>
  <c r="C10160" i="1"/>
  <c r="D10160" i="1"/>
</calcChain>
</file>

<file path=xl/sharedStrings.xml><?xml version="1.0" encoding="utf-8"?>
<sst xmlns="http://schemas.openxmlformats.org/spreadsheetml/2006/main" count="50805" uniqueCount="20931">
  <si>
    <t>Document ID</t>
  </si>
  <si>
    <t>Title</t>
  </si>
  <si>
    <t>PrintIsbn</t>
  </si>
  <si>
    <t>EIsbn</t>
  </si>
  <si>
    <t>Publisher</t>
  </si>
  <si>
    <t>Imprint</t>
  </si>
  <si>
    <t>PublicationDate</t>
  </si>
  <si>
    <t>Date Added</t>
  </si>
  <si>
    <t>Document Type</t>
  </si>
  <si>
    <t>Full Record URL</t>
  </si>
  <si>
    <t>Adventure Guide to the Alaska Highway</t>
  </si>
  <si>
    <t>Hunter Publishing</t>
  </si>
  <si>
    <t>Book</t>
  </si>
  <si>
    <t>Martinique, Guadeloupe, Dominica &amp; St. Lucia Alive!</t>
  </si>
  <si>
    <t>Depression : The Way Out of Your Prison</t>
  </si>
  <si>
    <t>Taylor &amp; Francis Group</t>
  </si>
  <si>
    <t>Routledge</t>
  </si>
  <si>
    <t>Realism and Appearances : An Essay in Ontology</t>
  </si>
  <si>
    <t>Cambridge University Press</t>
  </si>
  <si>
    <t>International Organizations before National Courts</t>
  </si>
  <si>
    <t>The Rhetoric of the Body from Ovid to Shakespeare</t>
  </si>
  <si>
    <t>Literature</t>
  </si>
  <si>
    <t>Defending Literature in Early Modern England : Renaissance Literary Theory in Social Context</t>
  </si>
  <si>
    <t>Literature and Material Culture from Balzac to Proust : The Collection and Consumption of Curiosities</t>
  </si>
  <si>
    <t>Freud, Psychoanalysis and Symbolism</t>
  </si>
  <si>
    <t>Food, Consumption and the Body in Contemporary Women's Fiction</t>
  </si>
  <si>
    <t>Contesting Global Governance : Multilateral Economic Institutions and Global Social Movements</t>
  </si>
  <si>
    <t>Pop Art and the Origins of Post-Modernism</t>
  </si>
  <si>
    <t>Language of Advertising : Written Texts</t>
  </si>
  <si>
    <t>Politics in Taiwan : Voting for Reform</t>
  </si>
  <si>
    <t>Taiwan</t>
  </si>
  <si>
    <t>Education in the Moral Domain</t>
  </si>
  <si>
    <t>The Economics of Art and Culture</t>
  </si>
  <si>
    <t>Basics of Environmental Science</t>
  </si>
  <si>
    <t>Adolescents and Morality : A Study of some Moral Values and Dilemmas of Working Adolescents in the Context of a Changing Climate of Opinion</t>
  </si>
  <si>
    <t>The American Science of Politics : Its Origins and Conditions</t>
  </si>
  <si>
    <t>Modern Political Thought : A Reader</t>
  </si>
  <si>
    <t>Foucault and Social Dialogue : Beyond Fragmentation</t>
  </si>
  <si>
    <t>Jacques Derrida : Opening Lines</t>
  </si>
  <si>
    <t>Language of Politics</t>
  </si>
  <si>
    <t>Ottoman Warfare, 1500-1700</t>
  </si>
  <si>
    <t>Women, Religion and Education in Early Modern England</t>
  </si>
  <si>
    <t>Postmodernity and the Fragmentation of Welfare</t>
  </si>
  <si>
    <t>Between Cultures : Continuity and Change in the Lives of Young Asians</t>
  </si>
  <si>
    <t>The Environment Dictionary</t>
  </si>
  <si>
    <t>Children's Reading Choices</t>
  </si>
  <si>
    <t>Philosophy of Education: the Key Concepts</t>
  </si>
  <si>
    <t>What Do Economists Know? : New Economics of Knowledge</t>
  </si>
  <si>
    <t>Economics As Literature</t>
  </si>
  <si>
    <t>Anthropology and Archaeology : A Changing Relationship</t>
  </si>
  <si>
    <t>On Dialogue</t>
  </si>
  <si>
    <t>The Bounds of Reason : Habermas, Lyotard and Melanie Klein on Rationality</t>
  </si>
  <si>
    <t>Imperial Eyes : Travel Writing and Transculturization</t>
  </si>
  <si>
    <t>The Alevis in Turkey : The Emergence of a Secular Islamic Tradition</t>
  </si>
  <si>
    <t>Adolescent Health : The Role of Individual Differences</t>
  </si>
  <si>
    <t>Psychology Press</t>
  </si>
  <si>
    <t>Gender and Social Psychology</t>
  </si>
  <si>
    <t>Social Influences</t>
  </si>
  <si>
    <t>Nationalism and Internationalism in the Post-Cold War Era</t>
  </si>
  <si>
    <t>Psychology and 'Human Nature'</t>
  </si>
  <si>
    <t>Social Cognition</t>
  </si>
  <si>
    <t>Monetary and Financial Policies in Developing Countries : Growth and Stabilization</t>
  </si>
  <si>
    <t>Creating the Future School : Coming, Ready or Not</t>
  </si>
  <si>
    <t>Bodybuilding, Drugs and Risk</t>
  </si>
  <si>
    <t>Introduction to Social Constructionism</t>
  </si>
  <si>
    <t>Basic Groupwork</t>
  </si>
  <si>
    <t>Working More Creatively With Groups</t>
  </si>
  <si>
    <t>Government and Economies in the Postwar World : Economic Policies and Comparative Performance, 1945-85</t>
  </si>
  <si>
    <t>Dictionary of Chinese Symbols : Hidden Symbols in Chinese Life and Thought</t>
  </si>
  <si>
    <t>Uses of Television</t>
  </si>
  <si>
    <t>Group Communication</t>
  </si>
  <si>
    <t>The Language of Jokes : Analyzing Verbal Play</t>
  </si>
  <si>
    <t>Scientists Must Write : A Guide to Better Writing for Scientists, Engineers and Students</t>
  </si>
  <si>
    <t>Modernism</t>
  </si>
  <si>
    <t>Post-Colonial Transformation</t>
  </si>
  <si>
    <t>A Dictionary of Egyptian Gods and Goddesses</t>
  </si>
  <si>
    <t>Language of Magazines</t>
  </si>
  <si>
    <t>The Language of Conversation</t>
  </si>
  <si>
    <t>A Short History of English Literature</t>
  </si>
  <si>
    <t>Edward Said</t>
  </si>
  <si>
    <t>Religion and Ecology in India and Southeast Asia</t>
  </si>
  <si>
    <t>Understanding Educational Research</t>
  </si>
  <si>
    <t>Classroom Teaching Skills</t>
  </si>
  <si>
    <t>Danger in the Field : Ethics and Risk in Social Research</t>
  </si>
  <si>
    <t>Principles of Research Design in the Social Sciences</t>
  </si>
  <si>
    <t>Individual Learners : Personality Differences in Education</t>
  </si>
  <si>
    <t>Body Talk : The Material and Discursive Regulation of Sexuality, Madness and Reproduction</t>
  </si>
  <si>
    <t>Learning with Computers : Analysing Productive Interactions</t>
  </si>
  <si>
    <t>Youth, the 'Underclass' and Social Exclusion</t>
  </si>
  <si>
    <t>Compromising Traditions : The Personal Voice in Classical Scholarship</t>
  </si>
  <si>
    <t>Multilateralism and the World Trade Organisation : The Architecture and Extension of International Trade Regulation</t>
  </si>
  <si>
    <t>Language of Drama</t>
  </si>
  <si>
    <t>Morality and Modernity</t>
  </si>
  <si>
    <t>Medieval Chinese Warfare 300-900</t>
  </si>
  <si>
    <t>SME's and European Integration : Internationalisation Strategies</t>
  </si>
  <si>
    <t>Monetary Policy, Capital Flows and Exchange Rates : Essays in Memory of Maxwell Fry</t>
  </si>
  <si>
    <t>Early Language Development : Implications for Clinical and Educational Practice</t>
  </si>
  <si>
    <t>Economic and Social Development in Pacific Asia</t>
  </si>
  <si>
    <t>Media and Power</t>
  </si>
  <si>
    <t>Preventing Mental Illness in Practice</t>
  </si>
  <si>
    <t>Psychology of the Image</t>
  </si>
  <si>
    <t>Preventing Stress, Improving Productivity : European Case-Studies in the Workplace</t>
  </si>
  <si>
    <t>Using Psychology in Management Training : The Psychological Foundations of Management Skills</t>
  </si>
  <si>
    <t>The Social Economics of Health Care</t>
  </si>
  <si>
    <t>Economist with a Public Purpose : Essays in Honour of John Kenneth Galbraith</t>
  </si>
  <si>
    <t>World System History : The Social Science of Long-Term Change</t>
  </si>
  <si>
    <t>Models of Cognitive Development</t>
  </si>
  <si>
    <t>Maps of Meaning : The Architecture of Belief</t>
  </si>
  <si>
    <t>Starting English Teaching</t>
  </si>
  <si>
    <t>Linguistic Ecology : Language Change and Linguistic Imperialism in the Pacific Region</t>
  </si>
  <si>
    <t>Language in History : Theories and Texts</t>
  </si>
  <si>
    <t>On Paul Ricoeur : Narrative and Interpretation</t>
  </si>
  <si>
    <t>The Making of Modern Turkey</t>
  </si>
  <si>
    <t>Language and Control in Children's Literature</t>
  </si>
  <si>
    <t>Paulo Freire : A Critical Encounter</t>
  </si>
  <si>
    <t>The Troubles with Postmodernism</t>
  </si>
  <si>
    <t>A Basis for Music Education</t>
  </si>
  <si>
    <t>Managing Museums and Galleries</t>
  </si>
  <si>
    <t>Musical Knowledge : Intuition, Analysis and Music Education</t>
  </si>
  <si>
    <t>Postmodernism and Education : Different Voices, Different Worlds</t>
  </si>
  <si>
    <t>Marketing the Museum</t>
  </si>
  <si>
    <t>Marketing</t>
  </si>
  <si>
    <t>Environmental NGOs in World Politics : Linking the Local and the Global</t>
  </si>
  <si>
    <t>Do Organizations Have Feelings?</t>
  </si>
  <si>
    <t>Multilingualism</t>
  </si>
  <si>
    <t>New Keynesian Economics / Post Keynesian Alternatives</t>
  </si>
  <si>
    <t>Literature and the Political Imagination</t>
  </si>
  <si>
    <t>Economics and Ethics?</t>
  </si>
  <si>
    <t>How We Write : Writing As Creative Design</t>
  </si>
  <si>
    <t>Monetary Macroeconomics : A New Approach</t>
  </si>
  <si>
    <t>Teaching Modern Foreign Languages at Advanced Level</t>
  </si>
  <si>
    <t>Philosophy for Linguists : An Introduction</t>
  </si>
  <si>
    <t>Educating Children with AD/HD : A Teacher's Manual</t>
  </si>
  <si>
    <t>The Nature of Research : Inquiry in Academic Contexts</t>
  </si>
  <si>
    <t>Political Research : An Introduction</t>
  </si>
  <si>
    <t>Developing Teaching and Learning in Higher Education</t>
  </si>
  <si>
    <t>Keynes and Hayek : The Money Economy</t>
  </si>
  <si>
    <t>Michel Foucault</t>
  </si>
  <si>
    <t>Interactive Speech Technology: Human Factors Issues in the Application of Speech Input/Output to Computers</t>
  </si>
  <si>
    <t>CRC Press</t>
  </si>
  <si>
    <t>The International Handbook of School Effectiveness Research</t>
  </si>
  <si>
    <t>Teaching about Teaching : Purpose, Passion and Pedagogy in Teacher Education</t>
  </si>
  <si>
    <t>Subject Knowledge : Readings for the Study of School Subjects</t>
  </si>
  <si>
    <t>Concrete in the Marine Environment</t>
  </si>
  <si>
    <t>CRC Press LLC</t>
  </si>
  <si>
    <t>Visual Perception : An Introduction</t>
  </si>
  <si>
    <t>An Introduction to Tourism and Anthropology</t>
  </si>
  <si>
    <t>Citizenship Through Secondary Geography</t>
  </si>
  <si>
    <t>African Literature, Animism and Politics</t>
  </si>
  <si>
    <t>Power and Change in Central Asia</t>
  </si>
  <si>
    <t>Developing Teachers and Teaching Practice : International Research Perspectives</t>
  </si>
  <si>
    <t>Culture in Mind : Toward a Sociology of Culture and Cognition</t>
  </si>
  <si>
    <t>Architectural Knowledge : The Idea of a Profession</t>
  </si>
  <si>
    <t>Taylor &amp; Francis</t>
  </si>
  <si>
    <t>Mr Sraffa on Joint Production and Other Essays</t>
  </si>
  <si>
    <t>Shakespeare's Wordplay</t>
  </si>
  <si>
    <t>Metaphysics of Consciousness</t>
  </si>
  <si>
    <t>Literature for Children : Contemporary Criticism</t>
  </si>
  <si>
    <t>Assessing Demograph Impact Dev : Conceptual, Methodological and Policy Issues</t>
  </si>
  <si>
    <t>Introducing English Grammar</t>
  </si>
  <si>
    <t>Accentual Change and Language Contact : A Comparative Survey and a Case Study of Northern Europe</t>
  </si>
  <si>
    <t>Media Culture : Cultural Studies, Identity and Politics Between the Modern and the Post-Modern</t>
  </si>
  <si>
    <t>Language Through Literature : An Introduction</t>
  </si>
  <si>
    <t>Marxist Shakespeares</t>
  </si>
  <si>
    <t>Fredric Jameson</t>
  </si>
  <si>
    <t>An Introduction to Cybercultures</t>
  </si>
  <si>
    <t>International Organisations</t>
  </si>
  <si>
    <t>Death and Bereavement Across Cultures</t>
  </si>
  <si>
    <t>Critical Readings on Piaget</t>
  </si>
  <si>
    <t>Industrial Uses of Biomass Energy : The Example of Brazil</t>
  </si>
  <si>
    <t>Growth of the International Economy 1820-2000 : An Introductory Text</t>
  </si>
  <si>
    <t>The Economics of Tourism</t>
  </si>
  <si>
    <t>Encyclopedia of Tourism</t>
  </si>
  <si>
    <t>Working Memory in Perspective</t>
  </si>
  <si>
    <t>Encyclopedia of Chinese Film</t>
  </si>
  <si>
    <t>Globalization and Language Teaching</t>
  </si>
  <si>
    <t>A Short History of Modern Philosophy : From Descartes to Wittgenstein</t>
  </si>
  <si>
    <t>Critical Reasoning in Ethics : A Practical Introduction</t>
  </si>
  <si>
    <t>Fiscal Policy and Economic Reforms : Essays in Honour of Vito Tanzi</t>
  </si>
  <si>
    <t>Martin Heidegger</t>
  </si>
  <si>
    <t>The Routledge Companion to Russian Literature</t>
  </si>
  <si>
    <t>Basic Russian : A Grammar and Workbook</t>
  </si>
  <si>
    <t>Macroeconomic Dimensions of Public Finance : Essays in Honour of Vito Tanzi</t>
  </si>
  <si>
    <t>Modern Public Economics</t>
  </si>
  <si>
    <t>Financial Systems : Principles and Organization</t>
  </si>
  <si>
    <t>The Environment, Employment and Sustainable Development</t>
  </si>
  <si>
    <t>Wittgenstein, Rules and Institutions</t>
  </si>
  <si>
    <t>Collective Imaginings : Spinoza, Past and Present</t>
  </si>
  <si>
    <t>The Language of Negotiation : A Handbook of Practical Strategies for Improving Communication</t>
  </si>
  <si>
    <t>Small Firms and Network Economies</t>
  </si>
  <si>
    <t>Science and the Media : Alternative Routes to Scientific Communications</t>
  </si>
  <si>
    <t>Human Resource Management in the Hotel Industry : Strategy, Innovation and Performance</t>
  </si>
  <si>
    <t>Effective Teaching in Higher Education</t>
  </si>
  <si>
    <t>Postcolonial Translation : Theory and Practice</t>
  </si>
  <si>
    <t>Understanding 'Classical' Economics : Studies in Long Period Theory</t>
  </si>
  <si>
    <t>Vocabulary : Applied Linguistic Perspectives</t>
  </si>
  <si>
    <t>Who Benefits from Privatisation?</t>
  </si>
  <si>
    <t>Religious Education in the Early Years</t>
  </si>
  <si>
    <t>Linguistic Culture and Language Policy</t>
  </si>
  <si>
    <t>Small Business Enterprise : An Economic Analysis</t>
  </si>
  <si>
    <t>Philosophical Dimensions of Personal Construct Psychology</t>
  </si>
  <si>
    <t>Personality Development : A Psychoanalytic Perspective</t>
  </si>
  <si>
    <t>The Globalization of Corporate R and D : Implications for Innovation Systems in Host Countries</t>
  </si>
  <si>
    <t>Korea after the Crash : The Politics of Economic Recovery</t>
  </si>
  <si>
    <t>Current Morphology</t>
  </si>
  <si>
    <t>Companion Encyclopedia of Anthropology : Humanity, Culture and Social Life</t>
  </si>
  <si>
    <t>Architecture and Authority in Japan</t>
  </si>
  <si>
    <t>Economic Ideas and Government Policy : Contributions to Contemporary Economic History</t>
  </si>
  <si>
    <t>Describing Spoken English : An Introduction</t>
  </si>
  <si>
    <t>Democracy in Practice</t>
  </si>
  <si>
    <t>Education, Exclusion and Citizenship</t>
  </si>
  <si>
    <t>Doing English : Guide for Literature Students</t>
  </si>
  <si>
    <t>Child Language</t>
  </si>
  <si>
    <t>Towards a Critical Theory of Society : Collected Papers of Herbert Marcuse, Volume 2</t>
  </si>
  <si>
    <t>Monetary Standards and Exchange Rates</t>
  </si>
  <si>
    <t>Issues in English Teaching</t>
  </si>
  <si>
    <t>English : An Essential Grammar</t>
  </si>
  <si>
    <t>Tourism and Sustainable Community Development</t>
  </si>
  <si>
    <t>Citric Acid Biotechnology</t>
  </si>
  <si>
    <t>European Integration and Disintegration : East and West</t>
  </si>
  <si>
    <t>Psychology and Education</t>
  </si>
  <si>
    <t>On Film</t>
  </si>
  <si>
    <t>Gender Space Architecture : An Interdisciplinary Introduction</t>
  </si>
  <si>
    <t>Analyzing Qualitative Data</t>
  </si>
  <si>
    <t>Museums and the Shaping of Knowledge</t>
  </si>
  <si>
    <t>Terrorism and International Law</t>
  </si>
  <si>
    <t>Assessment in Neuropsychology</t>
  </si>
  <si>
    <t>Emotions in Social Life : Critical Themes and Contemporary Issues</t>
  </si>
  <si>
    <t>International Strategies in Telecommunications : Models and Applications</t>
  </si>
  <si>
    <t>Adjustment of Adolescents : Cross-Cultural Similarities and Differences</t>
  </si>
  <si>
    <t>Social and Cultural Anthropology : The Key Concepts</t>
  </si>
  <si>
    <t>Parody</t>
  </si>
  <si>
    <t>Community Theatre : Global Perspectives</t>
  </si>
  <si>
    <t>Global Culture/Individual Identity : Searching for Home in the Cultural Supermarket</t>
  </si>
  <si>
    <t>Social Capital Versus Social Theory : Political Economy and Social Science at the Turn of the Millennium</t>
  </si>
  <si>
    <t>Rethinking Intelligence : Confronting Psychological Assumptions About Teaching and Learning</t>
  </si>
  <si>
    <t>The Economics of Sport and Recreation : An Economic Analysis</t>
  </si>
  <si>
    <t>Communication in the Design Process</t>
  </si>
  <si>
    <t>Higher Education in Korea : Tradition and Adaptation</t>
  </si>
  <si>
    <t>Language and Desire : Encoding Sex, Romance and Intimacy</t>
  </si>
  <si>
    <t>Financial Liberalization and Investment</t>
  </si>
  <si>
    <t>International Health Care Reform : A Legal, Economic and Political Analysis</t>
  </si>
  <si>
    <t>Training for a Smart Workforce</t>
  </si>
  <si>
    <t>Self-Knowledge and the Self</t>
  </si>
  <si>
    <t>Explosive Loading of Engineering Structures</t>
  </si>
  <si>
    <t>Creativity Across the Primary Curriculum : Framing and Developing Practice</t>
  </si>
  <si>
    <t>Semantics : An Introductory Workbook</t>
  </si>
  <si>
    <t>Semantics</t>
  </si>
  <si>
    <t>Becoming a Therapist : A Manual for Personal and Professional Development</t>
  </si>
  <si>
    <t>Law and Labour Market Regulation in East Asia</t>
  </si>
  <si>
    <t>Interpersonal Skills at Work</t>
  </si>
  <si>
    <t>Colloquial Hungarian : The Complete Course for Beginners</t>
  </si>
  <si>
    <t>The Psychology of Intelligence</t>
  </si>
  <si>
    <t>Mediated Discourse : The Nexus of Practice</t>
  </si>
  <si>
    <t>Assessment and Learning in the Secondary School</t>
  </si>
  <si>
    <t>Chinese Legal Reform</t>
  </si>
  <si>
    <t>Development and Democracy : What Have We Learned and How?</t>
  </si>
  <si>
    <t>Chinese-Japanese Relations in the Twenty First Century : Complementarity and Conflict</t>
  </si>
  <si>
    <t>Teaching Literacy Through Drama : Creative Approaches</t>
  </si>
  <si>
    <t>A Sociocognitive Approach to Social Norms</t>
  </si>
  <si>
    <t>Human Rights in Japan, South Korea and Taiwan</t>
  </si>
  <si>
    <t>Making Progress in Writing</t>
  </si>
  <si>
    <t>Discourse and Ideology in Nabokov's Prose</t>
  </si>
  <si>
    <t>Heating and Water Services Design in Buildings</t>
  </si>
  <si>
    <t>Europeanisation, National Identities and Migration : Changes in Boundary Constructions Between Western and Eastern Europe</t>
  </si>
  <si>
    <t>Nano Science and Technology : Novel Structures and Phenomena</t>
  </si>
  <si>
    <t>Effective Writing : Improving Scientific, Technical and Business Communication</t>
  </si>
  <si>
    <t>Hong Kong Cinema : Coloniser, Motherland and Self</t>
  </si>
  <si>
    <t>Philosophy of the Film : Epistemology, Ontology, Aesthetics</t>
  </si>
  <si>
    <t>Ethnography, Linguistics, Narrative Inequality : Toward an Understanding of Voice</t>
  </si>
  <si>
    <t>Children As Philosophers : Learning Through Enquiry and Dialogue in the Primary Classroom</t>
  </si>
  <si>
    <t>Small-Scale Hydro-Power : Watt Committee: Report Number 15</t>
  </si>
  <si>
    <t>Abnormal Psychology</t>
  </si>
  <si>
    <t>Long-Term Environmental Effects of Offshore Oil and Gas Development</t>
  </si>
  <si>
    <t>Passive Solar Energy in Buildings : Watt Committee: Report Number 17</t>
  </si>
  <si>
    <t>Combined Production of Heat and Power</t>
  </si>
  <si>
    <t>Labour Economics</t>
  </si>
  <si>
    <t>Web Theory : An Introduction</t>
  </si>
  <si>
    <t>Vygotsky's Developmental and Educational Psychology</t>
  </si>
  <si>
    <t>Embedded Ethernet and Internet Complete</t>
  </si>
  <si>
    <t>Lakeview Research</t>
  </si>
  <si>
    <t>Asian States : Beyond the Developmental Perspective</t>
  </si>
  <si>
    <t>Grammar and Context : An advanced resource book</t>
  </si>
  <si>
    <t>Second Language Acquisition : An advanced resource book</t>
  </si>
  <si>
    <t>Soviet Eastern Policy and Turkey, 1920-1991 : Soviet Foreign Policy, Turkey and Communism</t>
  </si>
  <si>
    <t>News Media and Power in Russia</t>
  </si>
  <si>
    <t>Lexical Priming : A New Theory of Words and Language</t>
  </si>
  <si>
    <t>Budget Deficits and Economic Activity in Asia</t>
  </si>
  <si>
    <t>Trade, Aid and Global Interdependence</t>
  </si>
  <si>
    <t>A Materialist Theory of the Mind</t>
  </si>
  <si>
    <t>The Middle East's Relations with Asia and Russia</t>
  </si>
  <si>
    <t>Really Raising Standards : Cognitive Intervention and Academic Achievement</t>
  </si>
  <si>
    <t>China and the Internet : Politics of the Digital Leap Forward</t>
  </si>
  <si>
    <t>Markets and Politics in Central Asia</t>
  </si>
  <si>
    <t>Political Communications in Greater China : The Construction and Reflection of Identity</t>
  </si>
  <si>
    <t>Technological Change and Economic Performance</t>
  </si>
  <si>
    <t>Understanding Women in Distress</t>
  </si>
  <si>
    <t>Working with Families of Children with Special Needs : Partnership and Practice</t>
  </si>
  <si>
    <t>Social Identifications : A Social Psychology of Intergroup Relations and Group Processes</t>
  </si>
  <si>
    <t>Keywords in Language and Literacy</t>
  </si>
  <si>
    <t>Variety in Contemporary English</t>
  </si>
  <si>
    <t>Contemporary Psychology : An Introduction</t>
  </si>
  <si>
    <t>The Chinese Model of Modern Development</t>
  </si>
  <si>
    <t>Introduction to Philosophy of Education</t>
  </si>
  <si>
    <t>Attachment Across the Life Cycle</t>
  </si>
  <si>
    <t>Learning and Studying : A Research Perspective</t>
  </si>
  <si>
    <t>Charting the Agenda : Educational Activity after Vygotsky</t>
  </si>
  <si>
    <t>Living with Separation in China : Anthropological Accounts</t>
  </si>
  <si>
    <t>Defense, Welfare and Growth : Perspectives and Evidence</t>
  </si>
  <si>
    <t>Human Resource Management in Developing Countries</t>
  </si>
  <si>
    <t>Designing for Humans</t>
  </si>
  <si>
    <t>Working with Specialized Language : A Practical Guide to Using Corpora</t>
  </si>
  <si>
    <t>Visual Consumption</t>
  </si>
  <si>
    <t>Advances in Written Text Analysis</t>
  </si>
  <si>
    <t>Ideology and International Relations in the Modern World</t>
  </si>
  <si>
    <t>Joseph A. Schumpeter: Historian of Economics</t>
  </si>
  <si>
    <t>Investigating English Discourse : Language, Literacy, Literature</t>
  </si>
  <si>
    <t>Into the Image : Culture and Politics in the Field of Vision</t>
  </si>
  <si>
    <t>Monetary Economics</t>
  </si>
  <si>
    <t>Reason Without Freedom : The Problem of Epistemic Normativity</t>
  </si>
  <si>
    <t>Education and Psychology in Interaction : Working with Uncertainty in Interconnected Fields</t>
  </si>
  <si>
    <t>Moral Measures : An Introduction to Ethics West and East</t>
  </si>
  <si>
    <t>Tomorrow's Schools : Towards Integrity</t>
  </si>
  <si>
    <t>Learning to Teach Modern Languages in the Secondary School : A Companion to School Experience</t>
  </si>
  <si>
    <t>Financial Stability and Central Banks : A Global Perspective</t>
  </si>
  <si>
    <t>Technology and Applications of Autonomous Underwater Vehicles</t>
  </si>
  <si>
    <t>Naturally Ventilated Buildings : Building for the Senses, the Economy and Society</t>
  </si>
  <si>
    <t>Writing Successfully in Science</t>
  </si>
  <si>
    <t>Building Energy Management Systems : An Application to Heating, Natural Ventilation, Lighting and Occupant Satisfaction</t>
  </si>
  <si>
    <t>Children's Health in Primary Schools</t>
  </si>
  <si>
    <t>Radical Constructivism</t>
  </si>
  <si>
    <t>Routledge Companion to the Study of Religion</t>
  </si>
  <si>
    <t>Indigenous Modernities : Negotiating Architecture and Urbanism</t>
  </si>
  <si>
    <t>On Altering Architecture</t>
  </si>
  <si>
    <t>Modern Mandarin Chinese Grammar : A Practical Guide</t>
  </si>
  <si>
    <t>International Relations : The Key Concepts</t>
  </si>
  <si>
    <t>The Dynamic Landscape : Design, Ecology and Management of Naturalistic Urban Planting</t>
  </si>
  <si>
    <t>Ethnicity in Asia</t>
  </si>
  <si>
    <t>Writing Spaces : Discourses of Architecture, Urbanism and the Built Environment, 1960-2000</t>
  </si>
  <si>
    <t>A Dictionary of Human Rights</t>
  </si>
  <si>
    <t>A Dictionary of the European Union</t>
  </si>
  <si>
    <t>China Unbound : Evolving Perspectives on the Chinese Past</t>
  </si>
  <si>
    <t>Thinking, Feeling, and Being</t>
  </si>
  <si>
    <t>Foucault and Literature : Towards a Geneaology of Writing</t>
  </si>
  <si>
    <t>Philosophy and the Social Sciences</t>
  </si>
  <si>
    <t>Personal Transformations in Small Groups : A Jungian Perspective</t>
  </si>
  <si>
    <t>Group Interactive Art Therapy : Its use in training and treatment</t>
  </si>
  <si>
    <t>You Have a Point There : A Guide to Punctuation and Its Allies</t>
  </si>
  <si>
    <t>Michel Foucault: the Will to Truth</t>
  </si>
  <si>
    <t>European Cinemas, European Societies : 1939-1990</t>
  </si>
  <si>
    <t>The Major Languages of South Asia, the Middle East and Africa</t>
  </si>
  <si>
    <t>British Fashion Design : Rag Trade or Image Industry?</t>
  </si>
  <si>
    <t>Qualitative Data Analysis : A User Friendly Guide for Social Scientists</t>
  </si>
  <si>
    <t>A Dictionary of Catch Phrases</t>
  </si>
  <si>
    <t>A Dictionary of Cliches</t>
  </si>
  <si>
    <t>Dictionary of Slang and Unconventional English</t>
  </si>
  <si>
    <t>Literary into Cultural Studies</t>
  </si>
  <si>
    <t>Body Language for Competent Teachers</t>
  </si>
  <si>
    <t>Unmarked : The Politics of Performance</t>
  </si>
  <si>
    <t>Design and Aesthetics : A Reader</t>
  </si>
  <si>
    <t>Word Meaning</t>
  </si>
  <si>
    <t>A Dictionary of Grammatical Terms in Linguistics</t>
  </si>
  <si>
    <t>Developing Quality Systems in Education</t>
  </si>
  <si>
    <t>English Words</t>
  </si>
  <si>
    <t>Matters of Mind : Consciousness, Reason and Nature</t>
  </si>
  <si>
    <t>Gender, Power and Organisation : A Psychological Perspective</t>
  </si>
  <si>
    <t>Gender in Translation : Culture Identity and Politics of Transmission</t>
  </si>
  <si>
    <t>Colloquial Slovak : The Complete Course for Beginners</t>
  </si>
  <si>
    <t>The Constructed Past : Experimental Archaeology, Education and the Public</t>
  </si>
  <si>
    <t>Colloquial Italian : The Complete Course for Beginners</t>
  </si>
  <si>
    <t>Key Concepts in Adult Education and Training</t>
  </si>
  <si>
    <t>The Multimedia Handbook</t>
  </si>
  <si>
    <t>Jane Austen : The Critical Heritage Volume 1 1811-1870</t>
  </si>
  <si>
    <t>Jane Austen : The Critical Heritage Volume 2 1870-1940</t>
  </si>
  <si>
    <t>Architecture and Revolution : Contemporary Perspectives on Central and Eastern Europe</t>
  </si>
  <si>
    <t>Behaviour Problems in Young Children : Assessment and Management</t>
  </si>
  <si>
    <t>War and Nationalism in China: 1925-1945</t>
  </si>
  <si>
    <t>Using Sartre : An Analytical Introduction to Early Sartrean Themes</t>
  </si>
  <si>
    <t>Piaget, Vygotsky and Beyond : Central Issues in Developmental Psychology and Education</t>
  </si>
  <si>
    <t>Valuing Technology : Organisations, Culture and Change</t>
  </si>
  <si>
    <t>Working with Children in Art Therapy</t>
  </si>
  <si>
    <t>Classical Mythology in English Literature : A Critical Anthology</t>
  </si>
  <si>
    <t>Religion and the Transformation of Capitalism : Comparative Approaches</t>
  </si>
  <si>
    <t>Language of Speech and Writing</t>
  </si>
  <si>
    <t>Realism, Idealism and International Politics : A Reinterpretation</t>
  </si>
  <si>
    <t>Redirections in Critical Theory : Truth, Self, Action, History</t>
  </si>
  <si>
    <t>The United Nations and the Principles of International Law : Essays in Memory of Michael Akehurst</t>
  </si>
  <si>
    <t>An Introduction to Digital Media</t>
  </si>
  <si>
    <t>Advances in Spoken Discourse Analysis</t>
  </si>
  <si>
    <t>Architecture and Order : Approaches to Social Space</t>
  </si>
  <si>
    <t>Distance Education for Teacher Training</t>
  </si>
  <si>
    <t>Religion Without God</t>
  </si>
  <si>
    <t>Culture and Weight Consciousness</t>
  </si>
  <si>
    <t>Fifty Key Thinkers in Psychology</t>
  </si>
  <si>
    <t>Learning to Teach Art and Design in the Secondary School : A Companion to School Experience</t>
  </si>
  <si>
    <t>RoutledgeFalmer</t>
  </si>
  <si>
    <t>Decision Making : Cognitive Models and Explanations</t>
  </si>
  <si>
    <t>Job Design and Technology : Taylorism vs Anti-Taylorism</t>
  </si>
  <si>
    <t>Foreign Direct Investment in Emerging Economies : Corporate Strategy and Investment Behaviour in the Caribbean</t>
  </si>
  <si>
    <t>Family Therapy Beyond Postmodernism : Practice Challenges Theory</t>
  </si>
  <si>
    <t>Couples, Conflict and Change : Social Work with Marital Relationships</t>
  </si>
  <si>
    <t>Language in Action : Psychological Models of Conversation</t>
  </si>
  <si>
    <t>Roman Philosophers</t>
  </si>
  <si>
    <t>Intermediate Cantonese : A Grammar and Workbook</t>
  </si>
  <si>
    <t>Fifty Modern Thinkers on Education : From Piaget to the Present Day</t>
  </si>
  <si>
    <t>Thinking Matter : Consciousness from Aristotle to Putnam and Sartre</t>
  </si>
  <si>
    <t>Pragmatics</t>
  </si>
  <si>
    <t>Europe Since 1945</t>
  </si>
  <si>
    <t>An Introduction to Meaning and Purpose in Analytical Psychology</t>
  </si>
  <si>
    <t>Comparative Syntax and Language Acquisition</t>
  </si>
  <si>
    <t>Essential Latin</t>
  </si>
  <si>
    <t>The Subject in Question : Sartre's Critique of Husserl in the Transcendence of the Ego</t>
  </si>
  <si>
    <t>Issues in Design and Technology Teaching</t>
  </si>
  <si>
    <t>Culture in Psychology</t>
  </si>
  <si>
    <t>Sports Culture : An a-Z Guide</t>
  </si>
  <si>
    <t>The Social Nature of Mental Illness</t>
  </si>
  <si>
    <t>Gayatri Chakravorty Spivak</t>
  </si>
  <si>
    <t>Lexicography : An Introduction</t>
  </si>
  <si>
    <t>Air Quality Assessment and Management : A Practical Guide</t>
  </si>
  <si>
    <t>Language and Creativity : The Art of Common Talk</t>
  </si>
  <si>
    <t>Working with Texts : A Core Introduction to Language Analysis</t>
  </si>
  <si>
    <t>Party Systems and Voter Alignments Revisited</t>
  </si>
  <si>
    <t>Environmental Modelling with GIS and Remote Sensing</t>
  </si>
  <si>
    <t>Globalization and Social Change</t>
  </si>
  <si>
    <t>Econometric Analysis of the Real Estate Market and Investment</t>
  </si>
  <si>
    <t>Numerical Analysis and Modelling in Geomechanics</t>
  </si>
  <si>
    <t>On the Meaning of Life</t>
  </si>
  <si>
    <t>Organising Labour in Globalising Asia</t>
  </si>
  <si>
    <t>Cycles, Growth and Structural Change : Theories and Empirical Evidence</t>
  </si>
  <si>
    <t>World Class Schools : International Perspectives on School Effectiveness</t>
  </si>
  <si>
    <t>Bullying and Emotional Abuse in the Workplace : International Perspectives in Research and Practice</t>
  </si>
  <si>
    <t>Civil Society and Democratic Theory : Alternative Voices</t>
  </si>
  <si>
    <t>Wickedness</t>
  </si>
  <si>
    <t>Do Political Campaigns Matter? : Campaign Effects in Elections and Referendums</t>
  </si>
  <si>
    <t>Art and Knowledge</t>
  </si>
  <si>
    <t>Art and Morality</t>
  </si>
  <si>
    <t>Aspects of Teaching Secondary Geography : Perspectives on Practice</t>
  </si>
  <si>
    <t>Transnational Politics : The Case of Turks and Kurds in Germany</t>
  </si>
  <si>
    <t>Social Capital and Economic Development</t>
  </si>
  <si>
    <t>Democracy and National Identity in Thailand</t>
  </si>
  <si>
    <t>Design and the Social Sciences : Making Connections</t>
  </si>
  <si>
    <t>Geographic Information Systems in Oceanography and Fisheries</t>
  </si>
  <si>
    <t>Learning to Teach Adults : An Introduction</t>
  </si>
  <si>
    <t>Thesaurus of Traditional English Metaphors</t>
  </si>
  <si>
    <t>Email and Ethics : Style and Ethical Relations in Computer-Mediated Communications</t>
  </si>
  <si>
    <t>Marxism and Literary Criticism</t>
  </si>
  <si>
    <t>Globalization and Civilizations</t>
  </si>
  <si>
    <t>Sigmund Freud</t>
  </si>
  <si>
    <t>Anti-Immigrantism in Western Democracies : Statecraft, Desire and the Politics of Exclusion</t>
  </si>
  <si>
    <t>The Arms Trade, Security and Conflict : Security and Conflict</t>
  </si>
  <si>
    <t>Human Rights in Global Perspective : Anthropological Studies of Rights, Claims and Entitlements</t>
  </si>
  <si>
    <t>Comparing Learning Outcomes : International Assessment and Education Policy</t>
  </si>
  <si>
    <t>Imagination, Philosophy and the Arts</t>
  </si>
  <si>
    <t>Development Policy in the Twenty-First Century : Beyond the Post-Washington Consensus</t>
  </si>
  <si>
    <t>Autonomy and Dependence in the Family : Turkey and Sweden in Critical Perspective</t>
  </si>
  <si>
    <t>Philosophy after Postmodernism : Civilized Values and the Scope of Knowledge</t>
  </si>
  <si>
    <t>Environmental Hazards : Assessing Risk and Reducing Disaster</t>
  </si>
  <si>
    <t>Architecture and Construction in Steel</t>
  </si>
  <si>
    <t>Write in Style : A guide to good English</t>
  </si>
  <si>
    <t>Design, Technology and the Development Process in the Built Environment</t>
  </si>
  <si>
    <t>Care Homes for Older People : A briefing and design guide</t>
  </si>
  <si>
    <t>Agricultural Pollution : Environmental Problems and Practical Solutions</t>
  </si>
  <si>
    <t>Energy Demand and Planning</t>
  </si>
  <si>
    <t>Heat and Mass Transfer in Building Services Design</t>
  </si>
  <si>
    <t>Green Building Handbook: Volume 1</t>
  </si>
  <si>
    <t>Ecological Landscape Design and Planning : The Mediterranean Context</t>
  </si>
  <si>
    <t>Renewable Energy Resources</t>
  </si>
  <si>
    <t>Green Building Handbook: Volume 2</t>
  </si>
  <si>
    <t>Popular Religion in China : The Imperial Metaphor</t>
  </si>
  <si>
    <t>Social Movements in Malaysia : From Moral Communities to NGOs</t>
  </si>
  <si>
    <t>Priorities in Religious Education</t>
  </si>
  <si>
    <t>Writing Science : Literacy and Discursive Power</t>
  </si>
  <si>
    <t>Evaluating Teacher Quality in Higher Education</t>
  </si>
  <si>
    <t>Doing Research about Education</t>
  </si>
  <si>
    <t>Spirituality and Education</t>
  </si>
  <si>
    <t>Assessment in Action in the Primary School</t>
  </si>
  <si>
    <t>Energy Savings by Wastes Recycling</t>
  </si>
  <si>
    <t>Nuclear Energy: a Professional Assessment</t>
  </si>
  <si>
    <t>Language and Learning : An Interactional Perspective</t>
  </si>
  <si>
    <t>Becoming Critical : Education Knowledge and Action Research</t>
  </si>
  <si>
    <t>Philosophical Issues in Education : An Introduction</t>
  </si>
  <si>
    <t>Natural Gas Energy Measurement</t>
  </si>
  <si>
    <t>Biomass for Energy, Industry and Environment : 6th E. C. Conference</t>
  </si>
  <si>
    <t>Modern Philosophy : The Seventeenth and Eighteenth Centuries</t>
  </si>
  <si>
    <t>Biochip Technology</t>
  </si>
  <si>
    <t>Academic and Educational Development : Research, Evaluation and Changing Practice in Higher Education</t>
  </si>
  <si>
    <t>Film and Video Editing</t>
  </si>
  <si>
    <t>Introductory Geotechnical Engineering : An Environmental Perspective</t>
  </si>
  <si>
    <t>Negative Dialectics</t>
  </si>
  <si>
    <t>The Fictions of Language and the Languages of Fiction</t>
  </si>
  <si>
    <t>The Classical Heritage in Islam</t>
  </si>
  <si>
    <t>The Future of Anthropological Knowledge</t>
  </si>
  <si>
    <t>After Writing Culture : Epistemology and Praxis in Contemporary Anthropology</t>
  </si>
  <si>
    <t>Anthropological Perspectives on Local Development : Knowledge and Sentiments in Conflict</t>
  </si>
  <si>
    <t>Citizenship and Welfare State Reform in Europe</t>
  </si>
  <si>
    <t>Constructing the Field : Ethnographic Fieldwork in the Contemporary World</t>
  </si>
  <si>
    <t>Literacy and Gender : Researching Texts, Contexts and Readers</t>
  </si>
  <si>
    <t>Heat Transfer : A Problem Solving Approach</t>
  </si>
  <si>
    <t>Routledge Companion to Postmodernism</t>
  </si>
  <si>
    <t>Dictionary of the Politics of the People's Republic of China</t>
  </si>
  <si>
    <t>Becoming an Evidence-Based Practitioner : A Framework for Teacher-Researchers</t>
  </si>
  <si>
    <t>Growth Theory and Growth Policy</t>
  </si>
  <si>
    <t>Reconstructing the Lifelong Learner : Pedagogy and Identity in Individual, Organisational and Social Change</t>
  </si>
  <si>
    <t>Economic Geography of Higher Education : Knowledge, Infrastructure and Learning Regions</t>
  </si>
  <si>
    <t>Children, Families and Schools : Developing Partnerships for Inclusive Education</t>
  </si>
  <si>
    <t>Making Sense of Lifelong Learning : Respecting the Needs of All</t>
  </si>
  <si>
    <t>Behaviour Problems in the Early Years : A Guide for Understanding and Support</t>
  </si>
  <si>
    <t>Religion, Education and Post-Modernity</t>
  </si>
  <si>
    <t>Teaching Religious Education 4-11</t>
  </si>
  <si>
    <t>Citizenship Through Secondary Religious Education</t>
  </si>
  <si>
    <t>Rethinking Religious Education and Plurality : Issues in Diversity and Pedagogy</t>
  </si>
  <si>
    <t>Assessing Teacher Effectiveness : Different Models</t>
  </si>
  <si>
    <t>Improving Assessment Through Student Involvement : Practical Solutions for Aiding Learning in Higher and Further Education</t>
  </si>
  <si>
    <t>Surviving Your Thesis</t>
  </si>
  <si>
    <t>Higher Education Manager's Handbook : Effective Leadership and Management in Universities and Colleges</t>
  </si>
  <si>
    <t>The Action Learning Handbook : Powerful Techniques for Education, Professional Development and Training</t>
  </si>
  <si>
    <t>Online Education Using Learning Objects</t>
  </si>
  <si>
    <t>Developing Innovation in Online Learning : An Action Research Framework</t>
  </si>
  <si>
    <t>Quality Issues in ICT-Based Higher Education</t>
  </si>
  <si>
    <t>Teaching English : A Handbook for Primary and Secondary School Teachers</t>
  </si>
  <si>
    <t>Professional Standards for Teachers and School Leaders : A Key to School Improvement</t>
  </si>
  <si>
    <t>An Introduction to Teaching : A Handbook for Primary and Secondary School Teachers</t>
  </si>
  <si>
    <t>The Digital Revolution and the Coming of the Postmodern University</t>
  </si>
  <si>
    <t>Educational Equity and Accountability : Paradigms, Policies, and Politics</t>
  </si>
  <si>
    <t>Working Knowledge : Work-Based Learning and Education Reform</t>
  </si>
  <si>
    <t>Dyslexia, Reading and the Brain : A Sourcebook of Psychological and Biological Research</t>
  </si>
  <si>
    <t>The New Right in the New Europe : Czech Transformation and Right-Wing Politics, 1989-2006</t>
  </si>
  <si>
    <t>The Ottoman Administration of Iraq, 1890-1908</t>
  </si>
  <si>
    <t>Chinese Nationalism in the Global Era</t>
  </si>
  <si>
    <t>The Routledge Dictionary of Anthropologists</t>
  </si>
  <si>
    <t>Assessment and Refurbishment of Steel Structures</t>
  </si>
  <si>
    <t>Form and Fabric in Landscape Architecture : A Visual Introduction</t>
  </si>
  <si>
    <t>Brands : The Logos of the Global Economy</t>
  </si>
  <si>
    <t>Encyclopedia of the City</t>
  </si>
  <si>
    <t>Archaeology, Ritual, Religion</t>
  </si>
  <si>
    <t>Philosophical Romanticism</t>
  </si>
  <si>
    <t>Language, Identity and Conflict : A Comparative Study of Language in Ethnic Conflict in Europe and Eurasia</t>
  </si>
  <si>
    <t>Macroeconomics for Developing Countries</t>
  </si>
  <si>
    <t>Religion : The Basics</t>
  </si>
  <si>
    <t>Encyclopedia of New Religious Movements</t>
  </si>
  <si>
    <t>Ventilation of Buildings</t>
  </si>
  <si>
    <t>Intercultural Communication : An Advanced Resource Book</t>
  </si>
  <si>
    <t>Social Theory since Freud : Traversing Social Imaginaries</t>
  </si>
  <si>
    <t>Atmosphere, Weather and Climate</t>
  </si>
  <si>
    <t>Body Work : The Social Construction of Women's Body Image</t>
  </si>
  <si>
    <t>Personal Identity</t>
  </si>
  <si>
    <t>Understanding Pensions</t>
  </si>
  <si>
    <t>Beyond Subculture : Pop, Youth and Identity in a Postcolonial World</t>
  </si>
  <si>
    <t>Architecture in the Digital Age : Design and Manufacturing</t>
  </si>
  <si>
    <t>The General Theory of Economic Evolution</t>
  </si>
  <si>
    <t>Child Language : A Resource Book for Students</t>
  </si>
  <si>
    <t>Colloquial Italian 2 : The Next Step in Language Learning</t>
  </si>
  <si>
    <t>Sustainable Development</t>
  </si>
  <si>
    <t>Philosophy of Mind : A Contemporary Introduction</t>
  </si>
  <si>
    <t>Economic Theories of Peace and War</t>
  </si>
  <si>
    <t>The Metaphysics of Perception : Wilfrid Sellars, Perceptual Consciousness and Critical Realism</t>
  </si>
  <si>
    <t>Designing for Older Adults : Principles and Creative Human</t>
  </si>
  <si>
    <t>An Introduction to Geotechnical Processes</t>
  </si>
  <si>
    <t>The Economics of Climate Change</t>
  </si>
  <si>
    <t>Growth and Development in the Global Political Economy : Modes of Regulation and Social Structures of Accumulation</t>
  </si>
  <si>
    <t>Exchange Rate Dynamics : A New Open Economy Macroeconomics Perspectives</t>
  </si>
  <si>
    <t>Europeanization and Transnational States : Comparing Nordic Central Governments</t>
  </si>
  <si>
    <t>Philosophy and the Sciences of Exercise, Health and Sport : Critical Perspectives on Research Methods</t>
  </si>
  <si>
    <t>Theories and Practices of Development</t>
  </si>
  <si>
    <t>Colloquial Danish : The Complete Course for Beginners</t>
  </si>
  <si>
    <t>Trade Policy and Economic Integration in the Middle East and North Africa : Economic Boundaries in Flux</t>
  </si>
  <si>
    <t>The Language of Work</t>
  </si>
  <si>
    <t>Visible Thought : The New Psychology of Body Language</t>
  </si>
  <si>
    <t>Sociology of Art : A Reader</t>
  </si>
  <si>
    <t>The Linguistic Analysis of Jokes</t>
  </si>
  <si>
    <t>Cooperative Security and the Balance of Power in ASEAN and the ARF</t>
  </si>
  <si>
    <t>Introduction to Ergonomics, Second Edition</t>
  </si>
  <si>
    <t>Rule of Metaphor : The Creation of Meaning in Language</t>
  </si>
  <si>
    <t>Television : Technology and Cultural Form</t>
  </si>
  <si>
    <t>Multiculturalism, Identity and Rights</t>
  </si>
  <si>
    <t>Eight Theories of Ethics</t>
  </si>
  <si>
    <t>Archaeology: the Key Concepts</t>
  </si>
  <si>
    <t>Routledge Creative Writing Coursebook</t>
  </si>
  <si>
    <t>International Trade and Developing Countries : Bargaining Coalitions in GATT and WTO</t>
  </si>
  <si>
    <t>The Dynamics of Business Cycles : A Study in Economic Fluctuations</t>
  </si>
  <si>
    <t>Econometrics</t>
  </si>
  <si>
    <t>The Politics of Buddhist Organizations in Taiwan, 1989-2003 : Safeguard the Faith, Build a Pure Land, Help the Poor</t>
  </si>
  <si>
    <t>An Evolutionary Approach to Social Welfare</t>
  </si>
  <si>
    <t>The Battle for Asia : From Decolonization to Globalization</t>
  </si>
  <si>
    <t>Aristotle</t>
  </si>
  <si>
    <t>Teaching with Integrity : The Ethics of Higher Education Practice</t>
  </si>
  <si>
    <t>Power in the Global Information Age : From Realism to Globalization</t>
  </si>
  <si>
    <t>Unsettling the City : Urban Land and the Politics of Property</t>
  </si>
  <si>
    <t>Encyclopedia of Recorded Sound</t>
  </si>
  <si>
    <t>Crisis Intervention and Crisis Management : Strategies That Work in Schools and Communities</t>
  </si>
  <si>
    <t>Turkish Foreign Policy and Turkish Identity : A Constructivist Approach</t>
  </si>
  <si>
    <t>Psychoeducational Groups : Process and Practice</t>
  </si>
  <si>
    <t>Children of Neglect : When No One Cares</t>
  </si>
  <si>
    <t>101 Defenses : How the Mind Shields Itself</t>
  </si>
  <si>
    <t>Treating Families and Children in the Child Protective System : Strategies for Systemic Advocacy and Family Healing</t>
  </si>
  <si>
    <t>As Others See Us : Body Movement and the Art of Successful Communication</t>
  </si>
  <si>
    <t>Six Names of Beauty</t>
  </si>
  <si>
    <t>Vietnamese Tone : A New Analysis</t>
  </si>
  <si>
    <t>Poetry and Repetition : Walt Whitman, Wallace Stevens, John Ashbery</t>
  </si>
  <si>
    <t>The Architecture of Address : The Monument and Public Speech in American Poetry</t>
  </si>
  <si>
    <t>Application of Admixtures in Concrete : RILEM Report 10</t>
  </si>
  <si>
    <t>Occupational Health and Safety in Construction Project Management</t>
  </si>
  <si>
    <t>Turkish-Greek Relations : The Security Dilemma in the Aegean</t>
  </si>
  <si>
    <t>Civil Society in Democratization</t>
  </si>
  <si>
    <t>Biology of Disease</t>
  </si>
  <si>
    <t>Encyclopedia of 20th Century Architecture (3 Volume Set)</t>
  </si>
  <si>
    <t>Fitzroy Dearborn Publishers, Incorporated</t>
  </si>
  <si>
    <t>Fitzroy Dearborn</t>
  </si>
  <si>
    <t>Forgiveness and the Healing Process : A Central Therapeutic Concern</t>
  </si>
  <si>
    <t>Handbook of Family Therapy : The Science and Practice of Working with Families and Couples</t>
  </si>
  <si>
    <t>Workplace Trauma : Concepts, Assessment and Interventions</t>
  </si>
  <si>
    <t>Analytical Psychology : Contemporary Perspectives in Jungian Analysis</t>
  </si>
  <si>
    <t>Social Psychology of Inclusion and Exclusion</t>
  </si>
  <si>
    <t>Individual Differences in Theory of Mind : Implications for Typical and Atypical Development</t>
  </si>
  <si>
    <t>Memory : Neuropsychological, Imaging and Psychopharmacological Perspectives</t>
  </si>
  <si>
    <t>Social Inequalities and the Distribution of the Common Mental Disorders</t>
  </si>
  <si>
    <t>The on-Line Study of Sentence Comprehension : Eyetracking, ERPs and Beyond</t>
  </si>
  <si>
    <t>Regional Security in the Middle East : A Critical Perspective</t>
  </si>
  <si>
    <t>China along the Yellow River : Reflections on Rural Society</t>
  </si>
  <si>
    <t>Globalization and the Chinese City</t>
  </si>
  <si>
    <t>Conflict, Terrorism and the Media in Asia</t>
  </si>
  <si>
    <t>Globalization, Competition and Growth in China</t>
  </si>
  <si>
    <t>Social and Economic Transformation in the Digital Era</t>
  </si>
  <si>
    <t>Idea Group, Inc.</t>
  </si>
  <si>
    <t>IGI Global</t>
  </si>
  <si>
    <t>Classic Love Poems</t>
  </si>
  <si>
    <t>Summersdale Publishers Ltd.</t>
  </si>
  <si>
    <t>Summersdale Gift</t>
  </si>
  <si>
    <t>Conspiracy Theories</t>
  </si>
  <si>
    <t>Summersdale Non Fiction</t>
  </si>
  <si>
    <t>Designing Distributed Learning Environments with Intelligent Software Agents</t>
  </si>
  <si>
    <t>Women's Places : Architecture and Design 1860-1960</t>
  </si>
  <si>
    <t>Reading Images : The Grammar of Visual Design</t>
  </si>
  <si>
    <t>Late Ottoman Society : The Intellectual Legacy</t>
  </si>
  <si>
    <t>Supporting Student Learning : Case Studies, Experience and Practice from Higher Education</t>
  </si>
  <si>
    <t>Creating the Effective Primary School</t>
  </si>
  <si>
    <t>Learning Through Storytelling in Higher Education : Using Reflection and Experience to Improve Learning</t>
  </si>
  <si>
    <t>Developing Inclusive Teacher Education : Reforming Teacher Education</t>
  </si>
  <si>
    <t>Writing about Literature : Essay and Translation Skills for University Students of English and Foreign Literature</t>
  </si>
  <si>
    <t>Exceptionally Gifted Children</t>
  </si>
  <si>
    <t>Adult Education and Lifelong Learning : Theory and Practice</t>
  </si>
  <si>
    <t>Girls, Boys and Junior Sexualities : Exploring Childrens' Gender and Sexual Relations in the Primary School</t>
  </si>
  <si>
    <t>A Practical Guide to Mentoring, Coaching and Peer-Networking : Teacher Professional Development in Schools and Colleges</t>
  </si>
  <si>
    <t>Action Research for Inclusive Education : Changing Places, Changing Practices, Changing Minds</t>
  </si>
  <si>
    <t>Doing Foucault in Early Childhood Studies : Applying Post-Structural Ideas</t>
  </si>
  <si>
    <t>Bringing Knowledge Back In : From Social Constructivism to Social Realism in the Sociology of Education</t>
  </si>
  <si>
    <t>Creativity in Schools : Tensions and Dilemmas</t>
  </si>
  <si>
    <t>Teaching Children with Dyslexia : A Practical Guide</t>
  </si>
  <si>
    <t>Classrooms As Learning Communities : What's in It for Schools?</t>
  </si>
  <si>
    <t>Creativity and Writing : Developing Voice and Verve in the Classroom</t>
  </si>
  <si>
    <t>Improving Low-Reading Ages in the Secondary School : Practical Strategies for Learning Support</t>
  </si>
  <si>
    <t>E-Literature for Children : Enhancing Digital Literacy Learning</t>
  </si>
  <si>
    <t>Education Development and Leadership in Higher Education : Implementing an Institutional Strategy</t>
  </si>
  <si>
    <t>Enhancing Teaching in Higher Education : New Approaches to Improving Student Learning</t>
  </si>
  <si>
    <t>The Student Assessment Handbook : New Directions in Traditional and Online Assessment</t>
  </si>
  <si>
    <t>The Good Teacher : Dominant Discourses in Teacher Education</t>
  </si>
  <si>
    <t>Popular Culture, New Media and Digital Literacy in Early Childhood</t>
  </si>
  <si>
    <t>The United Nations and Education : Multilateralism, Development and Globalisation</t>
  </si>
  <si>
    <t>Learning to Teach Physical Education in the Secondary School : A Companion to School Experience</t>
  </si>
  <si>
    <t>Children's Understanding of Society</t>
  </si>
  <si>
    <t>Materials Science for Engineers</t>
  </si>
  <si>
    <t>Discrete Systems and Digital Signal Processing with MATLAB</t>
  </si>
  <si>
    <t>Biomedical Technology and Devices Handbook</t>
  </si>
  <si>
    <t>The Foundation Engineering Handbook</t>
  </si>
  <si>
    <t>Model-Based Predictive Control : A Practical Approach</t>
  </si>
  <si>
    <t>Protocols for Secure Electronic Commerce</t>
  </si>
  <si>
    <t>Database Design Using Entity-Relationship Diagrams</t>
  </si>
  <si>
    <t>Auerbach Publications</t>
  </si>
  <si>
    <t>Food Carbohydrates : Chemistry, Physical Properties, and Applications</t>
  </si>
  <si>
    <t>Fats and Oils : Formulating and Processing for Applications, Second Edition</t>
  </si>
  <si>
    <t>Soils and Environmental Quality</t>
  </si>
  <si>
    <t>Probability for Electrical and Computer Engineers</t>
  </si>
  <si>
    <t>Information Security Fundamentals</t>
  </si>
  <si>
    <t>Mass Transfer : Principles and Applications</t>
  </si>
  <si>
    <t>Software Testing and Continuous Quality Improvement, Second Edition</t>
  </si>
  <si>
    <t>Ecological Engineering : Principles and Practice</t>
  </si>
  <si>
    <t>Aerosols Handbook : Measurement, Dosimetry, and Health Effects</t>
  </si>
  <si>
    <t>Handbook of Ecological Indicators for Assessment of Ecosystem Health</t>
  </si>
  <si>
    <t>Distributed Sensor Networks</t>
  </si>
  <si>
    <t>Chapman &amp; Hall/CRC</t>
  </si>
  <si>
    <t>Financial Modelling with Jump Processes</t>
  </si>
  <si>
    <t>Polyurethane and Related Foams : Chemistry and Technology</t>
  </si>
  <si>
    <t>Psychology of Reasoning : Theoretical and Historical Perspectives</t>
  </si>
  <si>
    <t>The Cognitive Psychology of Planning</t>
  </si>
  <si>
    <t>Introducing Cognitive Development</t>
  </si>
  <si>
    <t>Theories of Visual Perception</t>
  </si>
  <si>
    <t>BIOS Instant Notes in Cognitive Psychology</t>
  </si>
  <si>
    <t>BIOS Instant Notes in Sport and Exercise Biomechanics</t>
  </si>
  <si>
    <t>Analysing Discourse : Textual Analysis for Social Research</t>
  </si>
  <si>
    <t>Language of Literature</t>
  </si>
  <si>
    <t>Adaption-Innovation : In the Context of Diversity and Change</t>
  </si>
  <si>
    <t>Social Constructionism</t>
  </si>
  <si>
    <t>Child Pornography : An Internet Crime</t>
  </si>
  <si>
    <t>Economic Growth, Income Distribution and Poverty Reduction in Contemporary China</t>
  </si>
  <si>
    <t>Early Buddhist Metaphysics : The Making of a Philosophical Tradition</t>
  </si>
  <si>
    <t>Colloquial Catalan (eBook And MP3 Pack) : A Complete Course for Beginners</t>
  </si>
  <si>
    <t>Gender Talk : Feminism, Discourse and Conversation Analysis</t>
  </si>
  <si>
    <t>Colloquial Spanish of Latin America 2 : The Next Step in Language Learning</t>
  </si>
  <si>
    <t>Intermediate German : A Grammar and Workbook</t>
  </si>
  <si>
    <t>Linguistic Convergence and Areal Diffusion : Case Studies from Iranian, Semitic and Turkic</t>
  </si>
  <si>
    <t>The Barbarian's Beverage : A History of Beer in Ancient Europe</t>
  </si>
  <si>
    <t>Microfinance : Perils and Prospects</t>
  </si>
  <si>
    <t>Colloquial Thai : The Complete Course for Beginners</t>
  </si>
  <si>
    <t>Woman's Relationship with Herself : Gender, Foucault and Therapy</t>
  </si>
  <si>
    <t>National Governments and Control of the Internet : A Digital Challenge</t>
  </si>
  <si>
    <t>Talking to the Audience : Shakespeare, Performance, Self</t>
  </si>
  <si>
    <t>Theories of International Trade</t>
  </si>
  <si>
    <t>The Mechanics of Modernity in Europe and East Asia : Institutional Origins of Social Change and Stagnation</t>
  </si>
  <si>
    <t>Vietnam's Development Strategies</t>
  </si>
  <si>
    <t>How Monetary Policy Works</t>
  </si>
  <si>
    <t>The Chinese State in Ming Society</t>
  </si>
  <si>
    <t>Citizenship and the Nation-State in Greece and Turkey</t>
  </si>
  <si>
    <t>The Changing Face of European Identity : A Seven-Nation Study of (Supra)National Attachments</t>
  </si>
  <si>
    <t>Asian Anthropology</t>
  </si>
  <si>
    <t>Competition Policy in East Asia</t>
  </si>
  <si>
    <t>Chinese Capitalism and the Modernist Vision</t>
  </si>
  <si>
    <t>Monetary Policy and Unemployment : The US, Euro-Area and Japan</t>
  </si>
  <si>
    <t>Learning Through Collaborative Research : The Six Nation Education Research Project</t>
  </si>
  <si>
    <t>Cyberhenge : Modern Pagans on the Internet</t>
  </si>
  <si>
    <t>A Past Without Shadow : Constructing the Past in German Books for Children</t>
  </si>
  <si>
    <t>British Foreign Secretaries in an Uncertain World, 1919-1939</t>
  </si>
  <si>
    <t>Dictionary of Native American Literature</t>
  </si>
  <si>
    <t>Information Security Management Handbook</t>
  </si>
  <si>
    <t>Close Relationships : Key Readings</t>
  </si>
  <si>
    <t>Encyclopedia of Linguistics</t>
  </si>
  <si>
    <t>Handbook of Professional and Ethical Practice for Psychologists, Counsellors and Psychotherapists</t>
  </si>
  <si>
    <t>The Self and Memory : Self and Memory</t>
  </si>
  <si>
    <t>Applied Neuropsychology of Attention : Theory, Diagnosis and Rehabilitation</t>
  </si>
  <si>
    <t>The Cognitive Neuroscience of Social Behaviour</t>
  </si>
  <si>
    <t>The Social Psychology of Ethnic Identity</t>
  </si>
  <si>
    <t>Journalism and Democracy in Asia</t>
  </si>
  <si>
    <t>Exchange Rate Economics : Theories and Evidence</t>
  </si>
  <si>
    <t>The New Left and The 1960s : Collected Papers of Herbert Marcuse, Volume 3</t>
  </si>
  <si>
    <t>Ecocriticism</t>
  </si>
  <si>
    <t>History of Popular Culture : More of Everything, Faster and Brighter</t>
  </si>
  <si>
    <t>Linguistics Encyclopedia</t>
  </si>
  <si>
    <t>Difference</t>
  </si>
  <si>
    <t>Encyclopedia of Contemporary Chinese Culture</t>
  </si>
  <si>
    <t>Cognitive Development</t>
  </si>
  <si>
    <t>Probability Theory and Mathematical Statistics for Engineers</t>
  </si>
  <si>
    <t>Encyclopedia of Leisure and Outdoor Recreation</t>
  </si>
  <si>
    <t>Supporting Lifelong Learning : Volume III: Making Policy Work</t>
  </si>
  <si>
    <t>Taoism : The Enduring Tradition</t>
  </si>
  <si>
    <t>Introducing Corpora in Translation Studies</t>
  </si>
  <si>
    <t>SPSS Explained</t>
  </si>
  <si>
    <t>Philosophy of Psychology : A Contemporary Introduction</t>
  </si>
  <si>
    <t>Researching New Religious Movements : Responses and Redefinitions</t>
  </si>
  <si>
    <t>Introducing Metaphor</t>
  </si>
  <si>
    <t>Metaphor</t>
  </si>
  <si>
    <t>Planning Twentieth Century Capital Cities</t>
  </si>
  <si>
    <t>Basic German : A Grammar and Workbook</t>
  </si>
  <si>
    <t>Education and the Historic Environment</t>
  </si>
  <si>
    <t>The Imaginary : A Phenomenological Psychology of the Imagination</t>
  </si>
  <si>
    <t>Thinking Through Rituals : Philosophical Perspectives</t>
  </si>
  <si>
    <t>Cyberprotest : New Media, Citizens and Social Movements</t>
  </si>
  <si>
    <t>Colloquial English : A Course for Non-Native Speakers</t>
  </si>
  <si>
    <t>Language, Society and Power : An Introduction</t>
  </si>
  <si>
    <t>Marx for the 21st Century</t>
  </si>
  <si>
    <t>Innovation Diffusion in the New Economy : The Tacit Component</t>
  </si>
  <si>
    <t>Foundations of Paul Samuelson's Revealed Preference Theory : A Study by the Method of Rational Reconstruction</t>
  </si>
  <si>
    <t>The World of Perception</t>
  </si>
  <si>
    <t>Aborigines of Taiwan : The Puyuma: from Headhunting to the Modern World</t>
  </si>
  <si>
    <t>Analysing Political Discourse : Theory and Practice</t>
  </si>
  <si>
    <t>Trust the Text : Language, Corpus and Discourse</t>
  </si>
  <si>
    <t>Coastal Planning and Management</t>
  </si>
  <si>
    <t>Mental Health Social Work : Evidence-Based Practice</t>
  </si>
  <si>
    <t>Making Shakespeare : From Stage to Page</t>
  </si>
  <si>
    <t>Language in Theory : A Resource Book for Students</t>
  </si>
  <si>
    <t>Land Rights, Ethno-Nationality and Sovereignty in History</t>
  </si>
  <si>
    <t>The Beauty Industry : Gender, Culture, Pleasure</t>
  </si>
  <si>
    <t>Developing a Constitution for Europe</t>
  </si>
  <si>
    <t>Sustainable Urban Development Volume 1 : The Framework and Protocols for Environmental Assessment</t>
  </si>
  <si>
    <t>International Corporate Governance : A Comparative Approach</t>
  </si>
  <si>
    <t>Phenomenology and Imagination in Husserl and Heidegger</t>
  </si>
  <si>
    <t>Fiscal Deficits in the Pacific Region</t>
  </si>
  <si>
    <t>Uncertainty in Economic Theory</t>
  </si>
  <si>
    <t>Turkey and European Integration : Accession Prospects and Issues</t>
  </si>
  <si>
    <t>Financial Globalization and the Emerging Market Economy</t>
  </si>
  <si>
    <t>Trust and Toleration</t>
  </si>
  <si>
    <t>The Concise Encyclopedia of Western Philosophy</t>
  </si>
  <si>
    <t>Politics and Economics in the History of the European Union</t>
  </si>
  <si>
    <t>Media, War and Terrorism : Responses from the Middle East and Asia</t>
  </si>
  <si>
    <t>Diasporic Chinese Ventures : The Life and Work of Wang Gungwu</t>
  </si>
  <si>
    <t>State and Society in 21st Century China : Crisis, Contention and Legitimation</t>
  </si>
  <si>
    <t>Thinking Organization</t>
  </si>
  <si>
    <t>Filial Piety in Chinese Thought and History</t>
  </si>
  <si>
    <t>Domestic Politics, International Bargaining and China's Territorial Disputes</t>
  </si>
  <si>
    <t>Tourism, Ethnic Diversity and the City</t>
  </si>
  <si>
    <t>Statistical Methods for Organizational Research : Theory and Practice</t>
  </si>
  <si>
    <t>Philosophy of Law : An Introduction</t>
  </si>
  <si>
    <t>Economic Development and Social Change</t>
  </si>
  <si>
    <t>Postcolonial Studies : A Materialist Critique</t>
  </si>
  <si>
    <t>Grammaticalization and Language Change in Chinese : A Formal View</t>
  </si>
  <si>
    <t>Rethinking the Welfare State : Government by Voucher</t>
  </si>
  <si>
    <t>Culture</t>
  </si>
  <si>
    <t>Institutional Change in Southeast Asia</t>
  </si>
  <si>
    <t>Geopolitics of European Union Enlargement : The Fortress Empire</t>
  </si>
  <si>
    <t>Dramatists and Their Manuscripts in the Age of Shakespeare, Jonson, Middleton and Heywood : Authorship, Authority and the Playhouse</t>
  </si>
  <si>
    <t>Information Warfare in Business : Strategies of Control and Resistance in the Network Society</t>
  </si>
  <si>
    <t>Research Methods</t>
  </si>
  <si>
    <t>Social Identity</t>
  </si>
  <si>
    <t>Strategic Issues in International Retailing : Concepts and Cases</t>
  </si>
  <si>
    <t>Global Staffing</t>
  </si>
  <si>
    <t>Advanced Mathematical Economics</t>
  </si>
  <si>
    <t>Japan and National Anthropology: a Critique</t>
  </si>
  <si>
    <t>Ancient Ethics</t>
  </si>
  <si>
    <t>The Constitution of Consciousness : A Study in Analytic Phenomenology</t>
  </si>
  <si>
    <t>The Cultured Landscape : Designing the Environment in the 21st Century</t>
  </si>
  <si>
    <t>The Heart of Asia : A History of Russian Turkestan and the Central Asian Khanates from the Earliest Times</t>
  </si>
  <si>
    <t>Diasporas and Interculturalism in Asian Performing Arts : Translating Traditions</t>
  </si>
  <si>
    <t>The China Threat : Perceptions, Myths and Reality</t>
  </si>
  <si>
    <t>Soviet Operational and Tactical Combat in Manchuria 1945 : 'August Storm'</t>
  </si>
  <si>
    <t>The Turkish Economy in Crisis : Critical Perspectives on the 2000-1 Crises</t>
  </si>
  <si>
    <t>Rural Development in Transitional China : The New Agriculture</t>
  </si>
  <si>
    <t>Social Power and the Turkish State</t>
  </si>
  <si>
    <t>The Practical Guide to HIPAA Privacy and Security Compliance</t>
  </si>
  <si>
    <t>Attention, Perception and Memory : An Integrated Introduction</t>
  </si>
  <si>
    <t>Art Therapy for Groups : A Handbook of Themes and Exercises</t>
  </si>
  <si>
    <t>Eating Disorders : A Parents' Guide, Second Edition</t>
  </si>
  <si>
    <t>Between Couch and Piano : Psychoanalysis, Music, Art and Neuroscience</t>
  </si>
  <si>
    <t>Positive Psychology : The Science of Happiness and Human Strengths</t>
  </si>
  <si>
    <t>Brunner-Routledge</t>
  </si>
  <si>
    <t>Emotion in Social Relations : Cultural, Group, and Interpersonal Processes</t>
  </si>
  <si>
    <t>Connectionist Models in Cognitive Psychology</t>
  </si>
  <si>
    <t>Quantitative Psychological Research : The Complete Student's Companion</t>
  </si>
  <si>
    <t>The Development of the Social Self</t>
  </si>
  <si>
    <t>Attention in Action : Advances from Cognitive Neuroscience</t>
  </si>
  <si>
    <t>Dance As Education : Towards a National Dance Culture</t>
  </si>
  <si>
    <t>Logic : An Introduction</t>
  </si>
  <si>
    <t>Issues in Modern Foreign Languages Teaching</t>
  </si>
  <si>
    <t>Introduction to Discourse Analysis : Theory and Method</t>
  </si>
  <si>
    <t>Building Structures : From Concepts to Design</t>
  </si>
  <si>
    <t>Macroeconomic Policies and Poverty</t>
  </si>
  <si>
    <t>Routledge Dictionary of Economics</t>
  </si>
  <si>
    <t>Working Memory and Thinking : Current Issues in Thinking and Reasoning</t>
  </si>
  <si>
    <t>Buddhist Meditation : An Anthology of Texts from the Pali Canon</t>
  </si>
  <si>
    <t>Human Rights in Asia : A Comparative Legal Study of Twelve Asian Jurisdictions, France and the USA</t>
  </si>
  <si>
    <t>Culture and the Real : Theorizing Cultural Criticism</t>
  </si>
  <si>
    <t>International Human Resource Management in Chinese Multinationals</t>
  </si>
  <si>
    <t>History and Theory in Anthropology</t>
  </si>
  <si>
    <t>American Literary Realism, Critical Theory, and Intellectual Prestige, 1880–1995</t>
  </si>
  <si>
    <t>Schism and Solidarity in Social Movements : The Politics of Labor in the French Third Republic</t>
  </si>
  <si>
    <t>Social Processes in Children's Learning</t>
  </si>
  <si>
    <t>Alliteration and Sound Change in Early English</t>
  </si>
  <si>
    <t>Tönnies: Community and Civil Society</t>
  </si>
  <si>
    <t>A History of the English Bible as Literature</t>
  </si>
  <si>
    <t>Environmental Dilemmas and Policy Design</t>
  </si>
  <si>
    <t>Motives for Language Change</t>
  </si>
  <si>
    <t>Ethics, Exegesis and Philosophy : Interpretation after Levinas</t>
  </si>
  <si>
    <t>Security, Identity and Interests : A Sociology of International Relations</t>
  </si>
  <si>
    <t>Allegories of Union in Irish and English Writing, 1790–1870 : Politics, History, and the Family from Edgeworth to Arnold</t>
  </si>
  <si>
    <t>Children's Discourse : Person, Space and Time across Languages</t>
  </si>
  <si>
    <t>Analysis of Panels and Limited Dependent Variable Models</t>
  </si>
  <si>
    <t>Virgil on the Nature of Things : The Georgics, Lucretius and the Didactic Tradition</t>
  </si>
  <si>
    <t>World Lexicon of Grammaticalization</t>
  </si>
  <si>
    <t>The Economics of Football</t>
  </si>
  <si>
    <t>Race, Citizenship, and Law in American Literature</t>
  </si>
  <si>
    <t>English Corpus Linguistics : An Introduction</t>
  </si>
  <si>
    <t>The Anthropological Lens : Harsh Light, Soft Focus</t>
  </si>
  <si>
    <t>Religious Conviction in Liberal Politics</t>
  </si>
  <si>
    <t>A Theory of Economic Growth : Dynamics and Policy in Overlapping Generations</t>
  </si>
  <si>
    <t>Bilinguality and Bilingualism</t>
  </si>
  <si>
    <t>Democracy, Revolution, and Monarchism in Early American Literature</t>
  </si>
  <si>
    <t>Social Connections in China : Institutions, Culture, and the Changing Nature of Guanxi</t>
  </si>
  <si>
    <t>International Law in Antiquity</t>
  </si>
  <si>
    <t>Turbulent Combustion</t>
  </si>
  <si>
    <t>The Economics of Contracts : Theories and Applications</t>
  </si>
  <si>
    <t>Shakespeare and the Force of Modern Performance</t>
  </si>
  <si>
    <t>Institutional Change and Political Continuity in Post-Soviet Central Asia : Power, Perceptions, and Pacts</t>
  </si>
  <si>
    <t>International Organizations and the Analysis of Economic Policy, 1919–1950 : 1919-1949</t>
  </si>
  <si>
    <t>Theoretical Philosophy after 1781</t>
  </si>
  <si>
    <t>Culture and Conquest in Mongol Eurasia</t>
  </si>
  <si>
    <t>Environmental Politics in Japan, Germany, and the United States</t>
  </si>
  <si>
    <t>A History of Women's Writing in Russia</t>
  </si>
  <si>
    <t>Global Political Economy and Post-1989 Change : The Place of the Central European Transition</t>
  </si>
  <si>
    <t>Palgrave Macmillan Limited</t>
  </si>
  <si>
    <t>Palgrave Macmillan</t>
  </si>
  <si>
    <t>Distorted Economy</t>
  </si>
  <si>
    <t>Politics of Lying : Implications for Democracy</t>
  </si>
  <si>
    <t>Romantic Victorians : English Literature, 1824-1840</t>
  </si>
  <si>
    <t>Strategic Choices in Reforming Public Service Employment : An International Handbook</t>
  </si>
  <si>
    <t>Social Theory of the WTO : Trading Cultures</t>
  </si>
  <si>
    <t>George Orwell Chronology</t>
  </si>
  <si>
    <t>Critical History of Economics : Missed Opportunities</t>
  </si>
  <si>
    <t>Social Movements in France : Towards a New Citizenship</t>
  </si>
  <si>
    <t>Continua of Biliteracy : An Ecological Framework for Educational Policy, Research, and Practice in Multilingual Settings</t>
  </si>
  <si>
    <t>Channel View Publications</t>
  </si>
  <si>
    <t>Multilingual Matters</t>
  </si>
  <si>
    <t>Easy Step by Step Guide to Writing Advertising Copy</t>
  </si>
  <si>
    <t>Rowmark</t>
  </si>
  <si>
    <t>Fossilization in Adult Second Language Acquisition</t>
  </si>
  <si>
    <t>Age, Accent and Experience in Second Language Acquisition : An Integrated Approach to Critical Period Inquiry</t>
  </si>
  <si>
    <t>Critical Pedagogy : Political Approaches to Languages and Intercultural Communication</t>
  </si>
  <si>
    <t>SPSS 12 Made Simple</t>
  </si>
  <si>
    <t>Dialects</t>
  </si>
  <si>
    <t>The Art of Strategic Therapy</t>
  </si>
  <si>
    <t>Technology, Tradition and Survival : Aspects of Material Culture in the Middle East and Central Asia</t>
  </si>
  <si>
    <t>Political Organization in Central Asia and Azerbaijan : Sources and Documents</t>
  </si>
  <si>
    <t>Democracy and Pluralism in Muslim Eurasia</t>
  </si>
  <si>
    <t>Religion, Politics and Ideology in the Third Reich : Selected Essays</t>
  </si>
  <si>
    <t>Turkey and the European Union : Domestic Politics, Economic Integration and International Dynamics</t>
  </si>
  <si>
    <t>The Food Chemistry Laboratory : A Manual for Experimental Foods, Dietetics, and Food Scientists, Second Edition</t>
  </si>
  <si>
    <t>Advanced Engineering Mathematics with MATLAB, Second Edition</t>
  </si>
  <si>
    <t>Youth, Education and Risk : Facing the Future</t>
  </si>
  <si>
    <t>Issues in Religious Education</t>
  </si>
  <si>
    <t>The European Union As a Global Actor</t>
  </si>
  <si>
    <t>Macroeconomic Foundations of Macroeconomics</t>
  </si>
  <si>
    <t>An Introduction to Vygotsky</t>
  </si>
  <si>
    <t>The Labour Theory of Value : Economics or Ethics</t>
  </si>
  <si>
    <t>Literary Radicalism in India : Gender, Nation and the Transition to Independence</t>
  </si>
  <si>
    <t>Introduction to Environmental Impact Assessment</t>
  </si>
  <si>
    <t>Speech Sounds</t>
  </si>
  <si>
    <t>History of English</t>
  </si>
  <si>
    <t>Health, Economic Development and Household Poverty : From Understanding to Action</t>
  </si>
  <si>
    <t>Good Style : Writing for Science and Technology</t>
  </si>
  <si>
    <t>Effective Learning and Teaching in Modern Languages</t>
  </si>
  <si>
    <t>Worlds of Capitalism : Institutions, Economic Performance and Governance in the Era of Globalization</t>
  </si>
  <si>
    <t>Creativity : Theory, History, Practice</t>
  </si>
  <si>
    <t>Wittgenstein and Levinas : Ethical and Religious Thought</t>
  </si>
  <si>
    <t>Law of the Sea in East Asia : Issues and Prospects</t>
  </si>
  <si>
    <t>Directors of Urban Change in Asia</t>
  </si>
  <si>
    <t>Ethics for International Business : Decision-Making in a Global Political Economy</t>
  </si>
  <si>
    <t>Trade, Growth and Inequality in the Era of Globalization</t>
  </si>
  <si>
    <t>The Changing Economic Geography of Globalization</t>
  </si>
  <si>
    <t>The IMF, World Bank and Policy Reform</t>
  </si>
  <si>
    <t>Citizenship in a Global World : European Questions and Turkish Experiences</t>
  </si>
  <si>
    <t>Early Christian Literature : Christ and Culture in the Second and Third Centuries</t>
  </si>
  <si>
    <t>Descartes : The Project of Pure Enquiry</t>
  </si>
  <si>
    <t>Neoliberalism: National and Regional Experiments with Global Ideas</t>
  </si>
  <si>
    <t>The Student's Guide to Writing Economics</t>
  </si>
  <si>
    <t>Before You See Your First Client : 55 Things Counselors, Therapists and Human Service Workers Need to Know</t>
  </si>
  <si>
    <t>Herbal and Traditional Medicine : Biomolecular and Clinical Aspects</t>
  </si>
  <si>
    <t>Family Therapy Techniques : Integrating and Tailoring Treatment</t>
  </si>
  <si>
    <t>Becoming Alive : Psychoanalysis and Vitality</t>
  </si>
  <si>
    <t>The Boundary Element Method : Applications in Sound and Vibration</t>
  </si>
  <si>
    <t>Tropical Residual Soils Engineering</t>
  </si>
  <si>
    <t>Air Pollution and Cultural Heritage</t>
  </si>
  <si>
    <t>Post-Launch Calibration of Satellite Sensors : Proceedings of the International Workshop on Radiometric and Geometric Calibration, December 2003, Mississippi, USA</t>
  </si>
  <si>
    <t>Cultural Studies: a Critical Introduction</t>
  </si>
  <si>
    <t>Adaptive Digital Filters</t>
  </si>
  <si>
    <t>Energy Management Systems and Direct Digital Control</t>
  </si>
  <si>
    <t>Marcel Dekker Incorporated</t>
  </si>
  <si>
    <t>Marcel Dekker Inc</t>
  </si>
  <si>
    <t>Small-scale Cogeneration Handbook</t>
  </si>
  <si>
    <t>Combined Heating, Cooling and Power Handbook : Technologies and Applications</t>
  </si>
  <si>
    <t>Dairy Technology : Principles of Milk Properties and Processes</t>
  </si>
  <si>
    <t>Mechanical Life Cycle Handbook : Good Environmental Design and Manufacturing</t>
  </si>
  <si>
    <t>Handbook of Global Economic Policy</t>
  </si>
  <si>
    <t>Lead-Free Soldering in Electronics : Science, Technology, and Environmental Impact</t>
  </si>
  <si>
    <t>New Technologies for Energy Efficiency</t>
  </si>
  <si>
    <t>Efficiency and Sustainability in the Energy and Chemical Industries : Scientific Principles and Case Studies</t>
  </si>
  <si>
    <t>Using the Financial and Business Literature</t>
  </si>
  <si>
    <t>Environmental Fluid Mechanics</t>
  </si>
  <si>
    <t>Food Process Design</t>
  </si>
  <si>
    <t>Physical Chemistry of Foods</t>
  </si>
  <si>
    <t>Gas Turbine Handbook : Principles and Practice</t>
  </si>
  <si>
    <t>Linear Control System Analysis and Design : Fifth Edition, Revised and Expanded</t>
  </si>
  <si>
    <t>Food Lipids : Chemistry, Nutrition, and Biotechnology, Second Edition</t>
  </si>
  <si>
    <t>Probability Applications in Mechanical Design</t>
  </si>
  <si>
    <t>Fiber Optic Sensors</t>
  </si>
  <si>
    <t>Image Recognition and Classification : Algorithms, Systems, and Applications</t>
  </si>
  <si>
    <t>Handbook of Optical Engineering</t>
  </si>
  <si>
    <t>Pattern Recognition and Image Preprocessing, Second Edition, Revised and Expanded</t>
  </si>
  <si>
    <t>Plant Biotechnology and Transgenic Plants</t>
  </si>
  <si>
    <t>Optical Remote Sensing : Science and Technology</t>
  </si>
  <si>
    <t>Polymer Gels and Networks</t>
  </si>
  <si>
    <t>Colloidal Biomolecules, Biomaterials, and Biomedical Applications</t>
  </si>
  <si>
    <t>Signal Processing for Intelligent Sensor Systems</t>
  </si>
  <si>
    <t>Handbook of State Government Administration</t>
  </si>
  <si>
    <t>Manual for Intelligent Energy Systems</t>
  </si>
  <si>
    <t>Postharvest Physiology and Pathology of Vegetables</t>
  </si>
  <si>
    <t>Image Processing Technologies : Algorithms, Sensors, and Applications</t>
  </si>
  <si>
    <t>Power Converter Circuits</t>
  </si>
  <si>
    <t>Matrix Analysis of Structural Dynamics : Applications and Earthquake Engineering</t>
  </si>
  <si>
    <t>Global Water Dynamics : Shallow and Deep Groundwater, Petroleum Hydrology, Hydrothermal Fluids, and Landscaping</t>
  </si>
  <si>
    <t>Handbook of Energy Audits</t>
  </si>
  <si>
    <t>Characterization of Cereals and Flours : Properties, Analysis and Applications</t>
  </si>
  <si>
    <t>Gear Noise and Vibration</t>
  </si>
  <si>
    <t>Earthly Delights : Corinna Chapman's Murder Mysteries 1</t>
  </si>
  <si>
    <t>Allen &amp; Unwin</t>
  </si>
  <si>
    <t>Semantic Relations and the Lexicon : Antonymy, Synonymy and other Paradigms</t>
  </si>
  <si>
    <t>Time</t>
  </si>
  <si>
    <t>Languages in Contact : The Partial Restructuring of Vernaculars</t>
  </si>
  <si>
    <t>Antitrust Law : Economic Theory and Common Law Evolution</t>
  </si>
  <si>
    <t>Vico: The First New Science</t>
  </si>
  <si>
    <t>Food and Society in Classical Antiquity</t>
  </si>
  <si>
    <t>The Films of Federico Fellini</t>
  </si>
  <si>
    <t>Byron and Romanticism</t>
  </si>
  <si>
    <t>Understanding Cinema : A Psychological Theory of Moving Imagery</t>
  </si>
  <si>
    <t>Semiparametric Regression for the Applied Econometrician</t>
  </si>
  <si>
    <t>Thinking in Education</t>
  </si>
  <si>
    <t>Realism and Christian Faith : God, Grammar, and Meaning</t>
  </si>
  <si>
    <t>Applied Environmental Economics : A GIS Approach to Cost-Benefit Analysis</t>
  </si>
  <si>
    <t>Decision Making Using Game Theory : An Introduction for Managers</t>
  </si>
  <si>
    <t>United States Practice in International Law: Volume 1, 1999–2001</t>
  </si>
  <si>
    <t>Marriage, Violence and the Nation in the American Literary West</t>
  </si>
  <si>
    <t>International Law from Below : Development, Social Movements and Third World Resistance</t>
  </si>
  <si>
    <t>Grammar, Gesture, and Meaning in American Sign Language</t>
  </si>
  <si>
    <t>Logit Models from Economics and Other Fields</t>
  </si>
  <si>
    <t>Modernism and the Ideology of History : Literature, Politics, and the Past</t>
  </si>
  <si>
    <t>A History of Inner Asia</t>
  </si>
  <si>
    <t>Heidegger's Analytic : Interpretation, Discourse and Authenticity in Being and Time</t>
  </si>
  <si>
    <t>Word : A Cross-linguistic Typology</t>
  </si>
  <si>
    <t>Red Capitalists in China : The Party, Private Entrepreneurs, and Prospects for Political Change</t>
  </si>
  <si>
    <t>Film Structure and the Emotion System</t>
  </si>
  <si>
    <t>Adam Smith's Marketplace of Life</t>
  </si>
  <si>
    <t>The Films of Woody Allen</t>
  </si>
  <si>
    <t>The Films of Ingmar Bergman</t>
  </si>
  <si>
    <t>Analysis of Panel Data</t>
  </si>
  <si>
    <t>Virginia Woolf, the Intellectual, and the Public Sphere</t>
  </si>
  <si>
    <t>A History of Korean Literature</t>
  </si>
  <si>
    <t>Tolerance and Coercion in Islam : Interfaith Relations in the Muslim Tradition</t>
  </si>
  <si>
    <t>Conflict of Norms in Public International Law : How WTO Law Relates to other Rules of International Law</t>
  </si>
  <si>
    <t>European Conquest and the Rights of Indigenous Peoples : The Moral Backwardness of International Society</t>
  </si>
  <si>
    <t>International Perspectives on Consumers' Access to Justice</t>
  </si>
  <si>
    <t>Law and Nature</t>
  </si>
  <si>
    <t>The Divergent Dynamics of Economic Growth : Studies in Adaptive Economizing, Technological Change, and Economic Development</t>
  </si>
  <si>
    <t>Fiction, Famine, and the Rise of Economics in Victorian Britain and Ireland</t>
  </si>
  <si>
    <t>International Trade and Business Law Review : Volume VIII</t>
  </si>
  <si>
    <t>Routledge Cavendish</t>
  </si>
  <si>
    <t>Jurisprudence of Jurisdiction</t>
  </si>
  <si>
    <t>Legal Method and Reasoning</t>
  </si>
  <si>
    <t>Routledge-Cavendish</t>
  </si>
  <si>
    <t>The Regulation of Cyberspace : Control in the Online Environment</t>
  </si>
  <si>
    <t>Human Rights Obligations of the World Bank and the IMF</t>
  </si>
  <si>
    <t>The Political Economy of Desire : International Law, Development and the Nation State</t>
  </si>
  <si>
    <t>South Pacific Contract Law</t>
  </si>
  <si>
    <t>Modern Legal Theory and Judicial Impartiality</t>
  </si>
  <si>
    <t>Corporate and Personal Insolvency Law</t>
  </si>
  <si>
    <t>Reform of UK Company Law</t>
  </si>
  <si>
    <t>The Russian Roots of Nazism : White Émigrés and the Making of National Socialism, 1917–1945</t>
  </si>
  <si>
    <t>Gilles Deleuze : An Introduction</t>
  </si>
  <si>
    <t>Constructing the U.S. Rapprochement with China, 1961–1974 : From 'Red Menace' to 'Tacit Ally'</t>
  </si>
  <si>
    <t>Introduction to the Mathematical and Statistical Foundations of Econometrics</t>
  </si>
  <si>
    <t>The Economics of Exchange Rates</t>
  </si>
  <si>
    <t>International Law</t>
  </si>
  <si>
    <t>Economic Dynamics : Phase Diagrams and their Economic Application</t>
  </si>
  <si>
    <t>English as a Global Language</t>
  </si>
  <si>
    <t>BBQ and Campfire Recipe Book</t>
  </si>
  <si>
    <t>Summersdale Cookery</t>
  </si>
  <si>
    <t>Compact Book of Being Beautiful</t>
  </si>
  <si>
    <t>Bio-inspired Emergent Control Of Locomotion Systems</t>
  </si>
  <si>
    <t>World Scientific Publishing Company</t>
  </si>
  <si>
    <t>World Scientific</t>
  </si>
  <si>
    <t>Novel Compounds From Natural Products In The New Millennium: Potential And Challenges</t>
  </si>
  <si>
    <t>The Law of Energy for Sustainable Development</t>
  </si>
  <si>
    <t>Principles of the Institutional Law of International Organizations</t>
  </si>
  <si>
    <t>RNA Interference Technology : From Basic Science to Drug Development</t>
  </si>
  <si>
    <t>Imperialism, Sovereignty and the Making of International Law</t>
  </si>
  <si>
    <t>Discourse : A Critical Introduction</t>
  </si>
  <si>
    <t>Mozart's COSI FAN TUTTE : Opera Classics Library Series</t>
  </si>
  <si>
    <t>Opera Journeys Publishing</t>
  </si>
  <si>
    <t>Opera Classics Library Series</t>
  </si>
  <si>
    <t>Rossini's THE BARBER OF SEVILLE : Opera Classics Library Series</t>
  </si>
  <si>
    <t>Encyclopedia of Distance Learning</t>
  </si>
  <si>
    <t>Computational Web Intelligence : Intelligent Technology for Web Applications</t>
  </si>
  <si>
    <t>World Scientific Publishing Co Pte Ltd</t>
  </si>
  <si>
    <t>How Chinese Learn Mathematics: Perspectives From Insiders</t>
  </si>
  <si>
    <t>Advanced Project Management : A Complete Guide to the Key Processes, Models and Techniques</t>
  </si>
  <si>
    <t>Kogan Page</t>
  </si>
  <si>
    <t>Course Management Systems for Learning : Beyond Accidental Pedagogy</t>
  </si>
  <si>
    <t>Digital Watermarking for Digital Media</t>
  </si>
  <si>
    <t>Challenges and Potential of a Collaborative Approach to Education Reform</t>
  </si>
  <si>
    <t>RAND Corporation, The</t>
  </si>
  <si>
    <t>RAND Corporation</t>
  </si>
  <si>
    <t>Value and Virtue in a Godless Universe</t>
  </si>
  <si>
    <t>Lessing: Philosophical and Theological Writings</t>
  </si>
  <si>
    <t>Conversation and Cognition</t>
  </si>
  <si>
    <t>Epistemology and Practice : Durkheim's The Elementary Forms of Religious Life</t>
  </si>
  <si>
    <t>Becoming Literate in the City : The Baltimore Early Childhood Project</t>
  </si>
  <si>
    <t>Metaphor in Culture : Universality and Variation</t>
  </si>
  <si>
    <t>The International Protection of Internally Displaced Persons</t>
  </si>
  <si>
    <t>Decisions for War, 1914–1917</t>
  </si>
  <si>
    <t>The Middle East in International Relations : Power, Politics and Ideology</t>
  </si>
  <si>
    <t>Economic Policy in the Age of Globalisation</t>
  </si>
  <si>
    <t>Community Media : People, Places, and Communication Technologies</t>
  </si>
  <si>
    <t>Resource Book on TRIPS and Development</t>
  </si>
  <si>
    <t>Cumans and Tatars : Oriental Military in the Pre-Ottoman Balkans, 1185–1365</t>
  </si>
  <si>
    <t>Laws of Fear : Beyond the Precautionary Principle</t>
  </si>
  <si>
    <t>2600 Phrases for Effective Performance Reviews : Ready-to-use Words and Phrases That Really Get Results</t>
  </si>
  <si>
    <t>AMACOM</t>
  </si>
  <si>
    <t>John F. Kennedy on Leadership : The Lessons and Legacy of a President</t>
  </si>
  <si>
    <t>Preparing for the Project Management Professional (PMP) Certification Exam</t>
  </si>
  <si>
    <t>First-Time Manager</t>
  </si>
  <si>
    <t>Winning the Interview Game : Everything You Need to Know to Land the Job</t>
  </si>
  <si>
    <t>Your Successful Project Management Career</t>
  </si>
  <si>
    <t>Easy Step by Step Guide to Communicating with More Confidence : How to Influence and Persuade People</t>
  </si>
  <si>
    <t>A Companion to Contemporary Britain 1939 - 2000 : 1939-2000</t>
  </si>
  <si>
    <t>John Wiley &amp; Sons, Incorporated</t>
  </si>
  <si>
    <t>Wiley-Blackwell</t>
  </si>
  <si>
    <t>The Geography of the Internet Industry : Venture Capital, Dot-Coms, and Local Knowledge</t>
  </si>
  <si>
    <t>Kant's Critique of Pure Reason : An Orientation to the Central Theme</t>
  </si>
  <si>
    <t>Models and Methods in Social Network Analysis</t>
  </si>
  <si>
    <t>The Wealth of Ideas : A History of Economic Thought</t>
  </si>
  <si>
    <t>Achieving Success in Second Language Acquisition</t>
  </si>
  <si>
    <t>Africa since 1800</t>
  </si>
  <si>
    <t>Terence and the Language of Roman Comedy</t>
  </si>
  <si>
    <t>London Literature, 1300–1380</t>
  </si>
  <si>
    <t>The State and Life Chances in Urban China : Redistribution and Stratification, 1949–1994</t>
  </si>
  <si>
    <t>Legal Reason : The Use of Analogy in Legal Argument</t>
  </si>
  <si>
    <t>Immigrants at the Margins : Law, Race, and Exclusion in Southern Europe</t>
  </si>
  <si>
    <t>Social Movements and Organization Theory</t>
  </si>
  <si>
    <t>A Unified Theory of Party Competition : A Cross-National Analysis Integrating Spatial and Behavioral Factors</t>
  </si>
  <si>
    <t>Introduction to Color Imaging Science</t>
  </si>
  <si>
    <t>The Economics of Mobile Telecommunications</t>
  </si>
  <si>
    <t>Identification and Inference for Econometric Models : Essays in Honor of Thomas Rothenberg</t>
  </si>
  <si>
    <t>Intellectual Property : Economic and Legal Dimensions of Rights and Remedies</t>
  </si>
  <si>
    <t>Quest for Identity : America since 1945</t>
  </si>
  <si>
    <t>Shakespeare's Tragedies : Violation and Identity</t>
  </si>
  <si>
    <t>Intelligent Watermarking Techniques : Series On Innovative Intelligence</t>
  </si>
  <si>
    <t>Who rules the net? : Internet Governance and Jurisdiction</t>
  </si>
  <si>
    <t>Cato Institute</t>
  </si>
  <si>
    <t>Cato Books</t>
  </si>
  <si>
    <t>How to Be a Sitcom Writer : Secrets from the Inside</t>
  </si>
  <si>
    <t>Summersdale Self-Help</t>
  </si>
  <si>
    <t>World Hospitality and Tourism Trends</t>
  </si>
  <si>
    <t>Emerald Publishing Limited</t>
  </si>
  <si>
    <t>Emerald Group Publishing Limited</t>
  </si>
  <si>
    <t>A Behavioral Approach to Asset Pricing</t>
  </si>
  <si>
    <t>Elsevier Science &amp; Technology</t>
  </si>
  <si>
    <t>Academic Press</t>
  </si>
  <si>
    <t>The Camera Assistant's Manual</t>
  </si>
  <si>
    <t>Focal Press</t>
  </si>
  <si>
    <t>The Adult Learner : The Definitive Classic in Adult Education and Human Resource Development</t>
  </si>
  <si>
    <t>Economics of Tourism Destinations</t>
  </si>
  <si>
    <t>The Business of Streaming and Digital Media</t>
  </si>
  <si>
    <t>Global Responsibility</t>
  </si>
  <si>
    <t>Corporate Governance</t>
  </si>
  <si>
    <t>Action Learning, Action Research And Process Management</t>
  </si>
  <si>
    <t>Tourism And Hospitality Management In The Caribbean</t>
  </si>
  <si>
    <t>Assessing And Examining Research Award</t>
  </si>
  <si>
    <t>USB Complete : Everything You Need to Develop USB Peripherals</t>
  </si>
  <si>
    <t>Christianity : A Very Short Introduction</t>
  </si>
  <si>
    <t>Oxford University Press</t>
  </si>
  <si>
    <t>The Economics of the Environment and Natural Resources</t>
  </si>
  <si>
    <t>Environmental Toxicity Testing</t>
  </si>
  <si>
    <t>Art As Performance</t>
  </si>
  <si>
    <t>Blackwell Companion to Postmodern Theology</t>
  </si>
  <si>
    <t>Wiley</t>
  </si>
  <si>
    <t>Services Research In A Cross-Cultural/Cross-National Context</t>
  </si>
  <si>
    <t>Living the Brand : How to Transform Every Member of Your Organization into a Brand Champion</t>
  </si>
  <si>
    <t>50 Best Jobs for Your Personality</t>
  </si>
  <si>
    <t>JIST Publishing</t>
  </si>
  <si>
    <t>Park Avenue</t>
  </si>
  <si>
    <t>The Advanced Digital Photographer's Workbook : Professionals Creating and Outputting World-Class Images</t>
  </si>
  <si>
    <t>HR - the Business Partner</t>
  </si>
  <si>
    <t>Interest Rate Risk Management</t>
  </si>
  <si>
    <t>CIMA Publishing</t>
  </si>
  <si>
    <t>Corporate Social Responsibility : A Case Study Guide for Management Accountants</t>
  </si>
  <si>
    <t>Translation Research and Interpreting Research : Traditions, Gaps and Synergies</t>
  </si>
  <si>
    <t>Developing in Two Languages : Korean Children in America</t>
  </si>
  <si>
    <t>The English-Vernacular Divide : Postcolonial Language Politics and Practice</t>
  </si>
  <si>
    <t>Music and Tourism : On the Road Again</t>
  </si>
  <si>
    <t>Interpretation : Techniques and Exercises</t>
  </si>
  <si>
    <t>Spelling Trouble? Language, Ideology and the Reform of German Orthography : Language Ideology and the Reform of German Orthography</t>
  </si>
  <si>
    <t>Distance Education and Languages : Evolution and Change</t>
  </si>
  <si>
    <t>Cultural and Linguistic Policy Abroad : Italian Experience</t>
  </si>
  <si>
    <t>Language Decline and Death in Africa : Causes, Consequences and Challenges</t>
  </si>
  <si>
    <t>Second Language Writing Systems</t>
  </si>
  <si>
    <t>Decolonisation, Globalisation : Language-in-Education Policy and Practice</t>
  </si>
  <si>
    <t>Before Writing : Rethinking the Paths to Literacy</t>
  </si>
  <si>
    <t>Building an Ethical School : A Practical Response to the Moral Crisis in Schools</t>
  </si>
  <si>
    <t>Bullying : Effective Strategies for Long-Term Change</t>
  </si>
  <si>
    <t>Christianity and Sexuality in the Early Modern World : Regulating Desire, Reforming Practice</t>
  </si>
  <si>
    <t>Citizenship, Democracy and Justice in the New Europe : Political Theory and the Integration Process</t>
  </si>
  <si>
    <t>Cognitive-Behaviour Therapy for People with Learning Disabilities</t>
  </si>
  <si>
    <t>Cultural Work : Understanding the Cultural Industries</t>
  </si>
  <si>
    <t>Design Management Case Studies</t>
  </si>
  <si>
    <t>Environment and Philosophy</t>
  </si>
  <si>
    <t>Global Warming and the Built Environment</t>
  </si>
  <si>
    <t>Spon Press</t>
  </si>
  <si>
    <t>The Great Powers and the End of the Ottoman Empire</t>
  </si>
  <si>
    <t>Information, Management and Participation : A New Approach from Public Health in Brazil</t>
  </si>
  <si>
    <t>Inside Schools : Ethnography in Schools</t>
  </si>
  <si>
    <t>International Action Research : Educational Reform</t>
  </si>
  <si>
    <t>Israel, Turkey and Greece : Uneasy Relations in the East Mediterranean</t>
  </si>
  <si>
    <t>Nationalism and Internationalism in Imperial Japan : Autonomy, Asian Brotherhood, or World Citizenship?</t>
  </si>
  <si>
    <t>The Nature of God : An Introduction to the Philosophy of Religion</t>
  </si>
  <si>
    <t>Philosophy of Mind</t>
  </si>
  <si>
    <t>Resources, Technology and Strategy</t>
  </si>
  <si>
    <t>Social Economics : Premises, Findings and Policies</t>
  </si>
  <si>
    <t>Telecommunications Regulation : Culture, Chaos and Interdependence Inside the Regulatory Process</t>
  </si>
  <si>
    <t>The Person in Social Psychology</t>
  </si>
  <si>
    <t>Third World Political Ecology : An Introduction</t>
  </si>
  <si>
    <t>OECD Economic Surveys : Turkey - Volume 2004 Issue 15</t>
  </si>
  <si>
    <t>Organization for Economic Cooperation &amp; Development</t>
  </si>
  <si>
    <t>OECD</t>
  </si>
  <si>
    <t>Annual Report on the OECD Guidelines for Multinational Enterprises : 2004 Edition:Encouraging the Contribution of Business to the Environment</t>
  </si>
  <si>
    <t>Applications of Information Systems to Homeland Security and Defense : A Critical Analysis</t>
  </si>
  <si>
    <t>Gifts of the Muse : Reframing the Debate about the Benefits of the Arts</t>
  </si>
  <si>
    <t>International Justice and the Third World : Studies in the Philosophy of Development</t>
  </si>
  <si>
    <t>Four Phenomenological Philosophers : Husserl, Heidegger, Sartre, Merleau-Ponty</t>
  </si>
  <si>
    <t>Ancient Concepts of Philosophy</t>
  </si>
  <si>
    <t>Teachers Investigate Their Work : An Introduction to Action Research across the Professions</t>
  </si>
  <si>
    <t>Modern Britain</t>
  </si>
  <si>
    <t>Politics of Sustainable Development</t>
  </si>
  <si>
    <t>The Handbook of Psychodrama</t>
  </si>
  <si>
    <t>Constructing Local Environmental Agendas : People, Places and Participation</t>
  </si>
  <si>
    <t>Graduate Citizens : Issues of Citizenship and Higher Education</t>
  </si>
  <si>
    <t>Colloquial French 2 : The Next Step in Language Learning</t>
  </si>
  <si>
    <t>Aggression and Depression Assessed Through Art : Using Draw-A-Story to Identify Children and Adolescents at Risk</t>
  </si>
  <si>
    <t>Science in Elite Sport</t>
  </si>
  <si>
    <t>The European Revolutions, 1848–1851</t>
  </si>
  <si>
    <t>The Cambridge Encyclopedia of Child Development</t>
  </si>
  <si>
    <t>Fundamentals of Wireless Communication</t>
  </si>
  <si>
    <t>Space-Time Coding : Theory and Practice</t>
  </si>
  <si>
    <t>Assessing the Value of E-Learning Systems</t>
  </si>
  <si>
    <t>Dialect Change : Convergence and Divergence in European Languages</t>
  </si>
  <si>
    <t>God vs. the Gavel : Religion and the Rule of Law</t>
  </si>
  <si>
    <t>Taking Power : On the Origins of Third World Revolutions</t>
  </si>
  <si>
    <t>Advances in Quantitative Analysis of Finance and Accounting : New Series</t>
  </si>
  <si>
    <t>Data Mining in Time Series Database(V57)</t>
  </si>
  <si>
    <t>Interpreting Christian History : The Challenge of the Churches' Past</t>
  </si>
  <si>
    <t>European Trade Policies and Developing Countries</t>
  </si>
  <si>
    <t>Expert Resumes for Teachers and Educators</t>
  </si>
  <si>
    <t>Competition Policy and Law in China, Hong Kong and Taiwan</t>
  </si>
  <si>
    <t>Prediction of Turbulent Flows</t>
  </si>
  <si>
    <t>Ethics Done Right : Practical Reasoning as a Foundation for Moral Theory</t>
  </si>
  <si>
    <t>Law and Globalization from Below : Towards a Cosmopolitan Legality</t>
  </si>
  <si>
    <t>Heidegger on Ontotheology : Technology and the Politics of Education</t>
  </si>
  <si>
    <t>Understanding the Divorce Cycle : The Children of Divorce in their Own Marriages</t>
  </si>
  <si>
    <t>A Crazy Occupation : Eyewitness to the Intifada</t>
  </si>
  <si>
    <t>A History of Literary Criticism : From Plato to the Present</t>
  </si>
  <si>
    <t>Sustainable Development : Understanding the Green Debates</t>
  </si>
  <si>
    <t>A Companion to Shakespeare and Performance</t>
  </si>
  <si>
    <t>Language, Frogs and Savants : More Linguistic Problems, Puzzles and Polemics</t>
  </si>
  <si>
    <t>Dictionary Of Energy Efficiency Technologies</t>
  </si>
  <si>
    <t>The Open Classroom : Distance Learning in Schools</t>
  </si>
  <si>
    <t>Human Factors Methods for Design : Making Systems Human-Centered</t>
  </si>
  <si>
    <t>Through Writing to Reading : Classroom Strategies for Supporting Literacy</t>
  </si>
  <si>
    <t>Object Relations, the Self and the Group</t>
  </si>
  <si>
    <t>Counselling in General Practice</t>
  </si>
  <si>
    <t>Language, Literature and Critical Practice : Ways of Analysing Text</t>
  </si>
  <si>
    <t>Experimental Design and Statistics</t>
  </si>
  <si>
    <t>German Business Situations</t>
  </si>
  <si>
    <t>Inflation and Unemployment : Contributions to a New Macroeconomic Approach</t>
  </si>
  <si>
    <t>Improving Literacy in the Primary School</t>
  </si>
  <si>
    <t>Personality Development in Adolescence : A Cross National and Lifespan Perspective</t>
  </si>
  <si>
    <t>Critical Multiculturalism : Rethinking Multicultural and Antiracist Education</t>
  </si>
  <si>
    <t>Moral Panics</t>
  </si>
  <si>
    <t>Aesthetics and the Environment : The Appreciation of Nature, Art and Architecture</t>
  </si>
  <si>
    <t>Personality</t>
  </si>
  <si>
    <t>Virtual Futures : Cyberotics, Technology and Posthuman Pragmatism</t>
  </si>
  <si>
    <t>Financial Integration and Development : Liberalization and Reform in Sub-Saharan Africa</t>
  </si>
  <si>
    <t>Reconceptualizing Teaching Practice : Developing Competence Through Self-Study</t>
  </si>
  <si>
    <t>Intonation in Swahili</t>
  </si>
  <si>
    <t>Political Communication in a New Era : A Cross-National Perspective</t>
  </si>
  <si>
    <t>Living with Tourism : Negotiating Identities in a Turkish Village</t>
  </si>
  <si>
    <t>Inflation and Wages in Underdeveloped Countries : India, Peru, and Turkey, 1939-1960</t>
  </si>
  <si>
    <t>The Cognitive Neuroscience of Memory : Encoding and Retrieval</t>
  </si>
  <si>
    <t>Category Specificity in Brain and Mind</t>
  </si>
  <si>
    <t>Small and Medium Sized Enterprises</t>
  </si>
  <si>
    <t>The Translator As Communicator</t>
  </si>
  <si>
    <t>On Language Change : The Invisible Hand in Language</t>
  </si>
  <si>
    <t>Learning Autonomy in Post-16 Education : The Policy and Practice of Formative Assessment</t>
  </si>
  <si>
    <t>Teaching Academic Writing : A Toolkit for Higher Education</t>
  </si>
  <si>
    <t>Cultural Theory: the Key Thinkers</t>
  </si>
  <si>
    <t>Encyclopedia of 20th-Century Technology</t>
  </si>
  <si>
    <t>Speaking of Dance : Twelve Contemporary Choreographers on Their Craft</t>
  </si>
  <si>
    <t>Walter Benjamin, Religion and Aesthetics : Rethinking Religion Through the Arts</t>
  </si>
  <si>
    <t>Site Matters : Design Concepts, Histories and Strategies</t>
  </si>
  <si>
    <t>Banking And Corporate Financial Services Professional Practice Guide</t>
  </si>
  <si>
    <t>Cavendish Publishing Limited</t>
  </si>
  <si>
    <t>Japanese Legal System : Text, Cases and Materials</t>
  </si>
  <si>
    <t>Sourcebook on Public International Law</t>
  </si>
  <si>
    <t>Aristotle and the Science of Nature : Unity without Uniformity</t>
  </si>
  <si>
    <t>Hardwired Behavior : What Neuroscience Reveals about Morality</t>
  </si>
  <si>
    <t>The Wealth of Nature : Environmental History and the Ecological Imagination</t>
  </si>
  <si>
    <t>Oxford University Press USA - OSO</t>
  </si>
  <si>
    <t>A Historical Guide to Mark Twain</t>
  </si>
  <si>
    <t>Oxford University Press, Incorporated</t>
  </si>
  <si>
    <t>Kennedy's Quest for Victory : American Foreign Policy, 1961-1963</t>
  </si>
  <si>
    <t>Stone Cottage : Pound, Yeats, and Modernism</t>
  </si>
  <si>
    <t>Oxford University Press (US)</t>
  </si>
  <si>
    <t>Gender and Discourse</t>
  </si>
  <si>
    <t>Writing from the Margins : Power and Pedagogy for Teachers of Composition</t>
  </si>
  <si>
    <t>Writing with Power : Techniques for Mastering the Writing Process</t>
  </si>
  <si>
    <t>Encountering the World : Toward an Ecological Psychology</t>
  </si>
  <si>
    <t>Semantics, Culture, and Cognition : Universal Human Concepts in Culture-Specific Configurations</t>
  </si>
  <si>
    <t>Rethinking Liberal Education</t>
  </si>
  <si>
    <t>American Theatre A Chronicle of Comedy and Drama 1969–2000 : A Chronicle of Comedy and Drama, 1969-2000</t>
  </si>
  <si>
    <t>Understanding and Controlling the German Cockroach</t>
  </si>
  <si>
    <t>A Book of Irish Verse</t>
  </si>
  <si>
    <t>A Student's Guide to Studying Psychology</t>
  </si>
  <si>
    <t>Aboriginal Woman Sacred and Profane : Sacred and Profane</t>
  </si>
  <si>
    <t>Campaign Contributions and Legislative Voting : A New Approach</t>
  </si>
  <si>
    <t>Colloquial Scottish Gaelic : The Complete Course for Beginners</t>
  </si>
  <si>
    <t>Colloquial Swahili : The Complete Course for Beginners</t>
  </si>
  <si>
    <t>Colonialism and Neocolonialism</t>
  </si>
  <si>
    <t>Counselling : The Skills of Finding Solutions to Problems</t>
  </si>
  <si>
    <t>Dynamic Economic Models in Discrete Time : Theory and Empirical Applications</t>
  </si>
  <si>
    <t>Do You Know What You Look Like? : Interpersonal Relationships in Education</t>
  </si>
  <si>
    <t>Environment and Society</t>
  </si>
  <si>
    <t>Financial Econometrics</t>
  </si>
  <si>
    <t>Forensic Psychiatry, Race and Culture</t>
  </si>
  <si>
    <t>Gender, Language and Discourse</t>
  </si>
  <si>
    <t>Globalisation, Global Justice and Social Work</t>
  </si>
  <si>
    <t>Industrial Organization : Competition, Growth and Structural Change</t>
  </si>
  <si>
    <t>Investment, Growth and Employment : Perspectives for Policy</t>
  </si>
  <si>
    <t>Language, Communication and Education</t>
  </si>
  <si>
    <t>Learning about Learning : Resources for Supporting Effective Learning</t>
  </si>
  <si>
    <t>Learning from the Japanese City : West Meets East in Urban Design</t>
  </si>
  <si>
    <t>Multicultural Research : Race, Class, Gender and Sexual Orientation</t>
  </si>
  <si>
    <t>Particle Size Analysis in Pharmaceutics and Other Industries : Theory and Practice</t>
  </si>
  <si>
    <t>Pragmatics and Discourse : A Resource Book for Students</t>
  </si>
  <si>
    <t>Principles of Abilities and Human Learning</t>
  </si>
  <si>
    <t>Psychoanalytic Approaches to Myth</t>
  </si>
  <si>
    <t>Reasoning and Thinking</t>
  </si>
  <si>
    <t>Silicon Literacies : Communication, Innovation and Education in the Electronic Age</t>
  </si>
  <si>
    <t>Spanish Business Situations : A Spoken Language Guide</t>
  </si>
  <si>
    <t>Spiritual and Religious Education</t>
  </si>
  <si>
    <t>Suicide : A Study in Sociology</t>
  </si>
  <si>
    <t>The Regency of Tunis and the Ottoman Porte, 1777-1814 : Army and Government of a North-African Eyâlet at the End of the Eighteenth Century</t>
  </si>
  <si>
    <t>The Routledge Anthology of Cross-Gendered Verse</t>
  </si>
  <si>
    <t>Thinking about Exhibitions</t>
  </si>
  <si>
    <t>Thinking about Literacy : Young Children and Their Language</t>
  </si>
  <si>
    <t>Women and Aging : Transcending the Myths</t>
  </si>
  <si>
    <t>Beowulf : The Critical Heritage</t>
  </si>
  <si>
    <t>Between Understanding and Trust : The Public, Science and Technology</t>
  </si>
  <si>
    <t>Culture and Human Development : The Importance of Cross-Cultural Research for the Social Sciences</t>
  </si>
  <si>
    <t>Family Stressors : Interventions for Stress and Trauma</t>
  </si>
  <si>
    <t>Jean-François Lyotard</t>
  </si>
  <si>
    <t>Learning to Teach Music in the Secondary School : A Companion to School Experience</t>
  </si>
  <si>
    <t>Learning to Teach RE in the Secondary School : A Companion to School Experience</t>
  </si>
  <si>
    <t>Macroeconomic Policy</t>
  </si>
  <si>
    <t>New Visions in Performance : The Impact of Digital Technologies</t>
  </si>
  <si>
    <t>Shakespeare and Modern Theatre : The Performance of Modernity</t>
  </si>
  <si>
    <t>The Culture Industry : Selected Essays on Mass Culture</t>
  </si>
  <si>
    <t>Learning Along the Way : Professional Development by and for Teachers</t>
  </si>
  <si>
    <t>Stenhouse Publishers</t>
  </si>
  <si>
    <t>Stenhouse</t>
  </si>
  <si>
    <t>Applied Transport Economics : Policy, Management and Decision Making</t>
  </si>
  <si>
    <t>Assessment Methods in Recruitment, Selection &amp; Performance : A Manager's Guide to Psychometric Testing, Interviews and Assessment Centres</t>
  </si>
  <si>
    <t>Effective Media Relations : How to Get Results</t>
  </si>
  <si>
    <t>Mobile Revolution : The Making of Mobile Services Worldwide</t>
  </si>
  <si>
    <t>Effective Writing Skills for Public Relations</t>
  </si>
  <si>
    <t>100-Mile Walk : A Father and Son on a Quest to Find the Essence of Leadership</t>
  </si>
  <si>
    <t>7 Hidden Reasons Employees Leave : How to Recognize the Subtle Signs and Act Before It’s Too Late</t>
  </si>
  <si>
    <t>The Bible on Leadership : From Moses to Matthew : Management Lessons for Contemporary Leaders</t>
  </si>
  <si>
    <t>Blueprint for Project Recovery--A Project Management Guide : The Complete Process for Getting Derailed Projects Back on Track</t>
  </si>
  <si>
    <t>Branding Unbound : The Future of Advertising, Sales, and the Brand Experience in the Wireless Age</t>
  </si>
  <si>
    <t>Building on the Promise of Diversity : How We Can Move to the Next Level in Our Workplaces, Our Communities, and Our Society</t>
  </si>
  <si>
    <t>Building Your eBay Traffic the Smart Way : Use Froogle, Datafeeds, Cross-Selling, Advanced Listing Strategies, and More to Boost Your Sales on the Web’s #1 Auction Site</t>
  </si>
  <si>
    <t>Creating a Total Rewards Strategy : A Toolkit for Designing Business-Based Plans</t>
  </si>
  <si>
    <t>Discipline Miracle : The Clinically Proven System for Raising Happy, Healthy, and Well-Behaved Kids</t>
  </si>
  <si>
    <t>Effective Succession Planning : Ensuring Leadership Continuity and Building Talent from Within</t>
  </si>
  <si>
    <t>Elements of Resume Style : Essential Rules and Eye-Opening Advice for Writing Resumes and Cover Letters That Work</t>
  </si>
  <si>
    <t>Facility Manager's Emergency Preparedness Handbook</t>
  </si>
  <si>
    <t>First in Thirst : How Gatorade Turned the Science of Sweat into a Cultural Phenomenon</t>
  </si>
  <si>
    <t>Franchising &amp; Licensing : Two Powerful Ways to Grow Your Business in Any Economy</t>
  </si>
  <si>
    <t>High-Impact Interview Questions : 701 Behavior-Based Questions to Find the Right Person for Every Job</t>
  </si>
  <si>
    <t>How to Negotiate Like a Child : Unleash the Little Monster Within to Get Everything You Want</t>
  </si>
  <si>
    <t>Investing in Your Company's Human Capital : Strategies to Avoid Spending Too Little  -- or Too Much</t>
  </si>
  <si>
    <t>I've Seen a Lot of Famous People Naked, and They've Got Nothing on You! : Business Secrets from the Ultimate Street-Smart Entrepreneur</t>
  </si>
  <si>
    <t>Kids Who Think Outside the Box : Helping Your Unique Child Thrive in a Cookie-Cutter World</t>
  </si>
  <si>
    <t>Knock Your Socks Off Prospecting : How to Cold Call, Get Qualified Leads, and Make More Money</t>
  </si>
  <si>
    <t>Leading Leaders : How to Manage Smart, Talented, Rich, and Powerful People</t>
  </si>
  <si>
    <t>Manager's Question and Answer Book : 101 Important Questions-with Practical Answers to Make You a Better Manager</t>
  </si>
  <si>
    <t>Mergers and Acquisitions from A to Z</t>
  </si>
  <si>
    <t>Personal Brilliance : Mastering the Everyday Habits That Create a Lifetime of Success</t>
  </si>
  <si>
    <t>The Real-time Contact Center : Strategies, Tactics, and Technologies for Building a Profitable Service and Sales Operation</t>
  </si>
  <si>
    <t>Recruiting, Interviewing, Selecting &amp; Orienting Newf Employees</t>
  </si>
  <si>
    <t>Roadmap to Strategic HR : Turning a Great Idea into a Business Reality</t>
  </si>
  <si>
    <t>Secrets of Special Ops Leadership : Dare the Impossible, Achieve the Extraordinary</t>
  </si>
  <si>
    <t>Selling to Anyone Over the Phone</t>
  </si>
  <si>
    <t>Soldier, Statesman, Peacemaker : Leadership Lessons from George C. Marshall</t>
  </si>
  <si>
    <t>StreetSmart Negotiator : How to Outwit, Outmaneuver, and Outlast Your Opponents</t>
  </si>
  <si>
    <t>Survival Guide for Selling a Home</t>
  </si>
  <si>
    <t>Survival Guide for Working with Bad Bosses : Dealing with Bullies, Idiots, Back-Stabbers, and Other Managers from Hell</t>
  </si>
  <si>
    <t>Time Mastery : How Temporal Intelligence Will Make You a Stronger, More Effective Leader</t>
  </si>
  <si>
    <t>TurboCoach : A Powerful System for Achieving Breakthrough Career Success</t>
  </si>
  <si>
    <t>Why Men Earn More : The Startling Truth Behind the Pay Gap -- and What Women Can Do About It</t>
  </si>
  <si>
    <t>500 Tips for TESOL Teachers</t>
  </si>
  <si>
    <t>Action Learning, Action Research : Improving the Quality of Teaching and Learning</t>
  </si>
  <si>
    <t>Advances in Water Science Methodologies</t>
  </si>
  <si>
    <t>After Postmodernism : Education, Politics and Identity</t>
  </si>
  <si>
    <t>China's Economic Relations with the West and Japan, 1949-1979 : Grain, Trade and Diplomacy</t>
  </si>
  <si>
    <t>Computer Science Education Research</t>
  </si>
  <si>
    <t>Environment and Tourism</t>
  </si>
  <si>
    <t>Environmental Culture : The Ecological Crisis of Reason</t>
  </si>
  <si>
    <t>Financial Market Risk : Measurement and Analysis</t>
  </si>
  <si>
    <t>Implicit Learning and Consciousness : An Empirical, Philosophical and Computational Consensus in the Making</t>
  </si>
  <si>
    <t>Key Concepts in Cultural Theory</t>
  </si>
  <si>
    <t>Managerial Economics : A Game Theoretic Approach</t>
  </si>
  <si>
    <t>Methods of Environmental Impact Assessment</t>
  </si>
  <si>
    <t>Moral Realities : An Essay in Philosophical Psychology</t>
  </si>
  <si>
    <t>Negotiating Domesticity : Spatial Productions of Gender in Modern Architecture</t>
  </si>
  <si>
    <t>Philosophy of Science : A Contemporary Introduction</t>
  </si>
  <si>
    <t>Practical Handbook on Image Processing for Scientific and Technical Applications</t>
  </si>
  <si>
    <t>Project and Cost Engineers' Handbook</t>
  </si>
  <si>
    <t>Reshaping Museum Space</t>
  </si>
  <si>
    <t>Speaking the Unspeakable : The Ethics of Dual Relationships in Counselling and Psychotherapy</t>
  </si>
  <si>
    <t>Success with Languages</t>
  </si>
  <si>
    <t>Teacher Thinking and Professional Action</t>
  </si>
  <si>
    <t>Social History of Art, Volume 4 : Naturalism, Impressionism, the Film Age</t>
  </si>
  <si>
    <t>Unsaturated Soils - Advances in Testing, Modelling and Engineering Applications : Proceedings of the Second International Workshop on Unsaturated Soils, 23-25 June 2004, Anacapri, Italy</t>
  </si>
  <si>
    <t>Working with Texts : A Core Book for Language Analysis</t>
  </si>
  <si>
    <t>Your Research Project : How to Manage It</t>
  </si>
  <si>
    <t>Inventing a Classroom : Life in a Bilingual, Whole Language Learning Community</t>
  </si>
  <si>
    <t>Information and Communication Technologies in Everyday Life : A Concise Introduction and Research Guide</t>
  </si>
  <si>
    <t>Bloomsbury Publishing</t>
  </si>
  <si>
    <t>A&amp;C Black Academic and Professional</t>
  </si>
  <si>
    <t>Energy Conservation in Buildings : A Guide to Part l of the Building Regulations</t>
  </si>
  <si>
    <t>The Handbook of Second Language Acquisition</t>
  </si>
  <si>
    <t>Anthropologies of Modernity : Foucault, Governmentality, and Life Politics</t>
  </si>
  <si>
    <t>A Brief History of Happiness</t>
  </si>
  <si>
    <t>A Companion to Pragmatism</t>
  </si>
  <si>
    <t>User-Centered Computer Aided Language Learning</t>
  </si>
  <si>
    <t>Correlation Pattern Recognition</t>
  </si>
  <si>
    <t>Property Law : Commentary and Materials</t>
  </si>
  <si>
    <t>Embodiment and Cognitive Science</t>
  </si>
  <si>
    <t>Natural Resources and Economic Development</t>
  </si>
  <si>
    <t>Handbook of International Law</t>
  </si>
  <si>
    <t>Power</t>
  </si>
  <si>
    <t>The Cambridge Handbook of Age and Ageing</t>
  </si>
  <si>
    <t>Cognition and Multi-Agent Interaction : From Cognitive Modeling to Social Simulation</t>
  </si>
  <si>
    <t>Introductory Econometrics : Using Monte Carlo Simulation with Microsoft Excel</t>
  </si>
  <si>
    <t>Frameworks for Thinking : A Handbook for Teaching and Learning</t>
  </si>
  <si>
    <t>Non-Governmental Organisations in International Law</t>
  </si>
  <si>
    <t>Principles of Transnational Civil Procedure</t>
  </si>
  <si>
    <t>Rethinking Bank Regulation : Till Angels Govern</t>
  </si>
  <si>
    <t>Language and Mind</t>
  </si>
  <si>
    <t>Creativity: When East Meets West</t>
  </si>
  <si>
    <t>Knowledge Management : Through the Technology Glass</t>
  </si>
  <si>
    <t>Accounting Principles for Lawyers</t>
  </si>
  <si>
    <t>Levinas and Theology : An Introduction for Theologians</t>
  </si>
  <si>
    <t>Economic Development</t>
  </si>
  <si>
    <t>Networking Wireless Sensors</t>
  </si>
  <si>
    <t>Theories of Judgment : Psychology, Logic, Phenomenology</t>
  </si>
  <si>
    <t>The Economics of Input-Output Analysis</t>
  </si>
  <si>
    <t>Intellectual Property for Managers and Investors : A Guide to Evaluating, Protecting and Exploiting IP</t>
  </si>
  <si>
    <t>Searle and Foucault on Truth</t>
  </si>
  <si>
    <t>The Law and Economics of Cybersecurity</t>
  </si>
  <si>
    <t>Explanatory Nonmonotonic Reasoning</t>
  </si>
  <si>
    <t>Cellular Neural Networks, Multi-Scroll Chaos and Synchronization</t>
  </si>
  <si>
    <t>Energy In The 21st Century</t>
  </si>
  <si>
    <t>Doing Business with China</t>
  </si>
  <si>
    <t>Blue Ibex Ltd.</t>
  </si>
  <si>
    <t>Investing in China : The Emerging Venture Capital Industry</t>
  </si>
  <si>
    <t>Organisations and the Business Environment</t>
  </si>
  <si>
    <t>Microwave Differential Circuit Design Using Mixed Mode S-Parameters</t>
  </si>
  <si>
    <t>Artech House</t>
  </si>
  <si>
    <t>Artech House Books</t>
  </si>
  <si>
    <t>Concepts in Film Theory : Seven Generations of an American Family</t>
  </si>
  <si>
    <t>Nursing Theories &amp; Nursing Practices</t>
  </si>
  <si>
    <t>F. A. Davis Company</t>
  </si>
  <si>
    <t>Societies, corporations, and the nation state : Annals of the International Institute of Sociology</t>
  </si>
  <si>
    <t>BRILL</t>
  </si>
  <si>
    <t>decade of democracy in Africa</t>
  </si>
  <si>
    <t>Leaving words to remember : Greek mourning and the advent of literacy</t>
  </si>
  <si>
    <t>Taste of modernity : Sufism, Salafiyya, and Arabism in late Ottoman Damascus</t>
  </si>
  <si>
    <t>guilds of Ottoman Jerusalem</t>
  </si>
  <si>
    <t>Brill's Companion to Cicero : Oratory and Rhetoric</t>
  </si>
  <si>
    <t>Brill's Companion to Ovid</t>
  </si>
  <si>
    <t>Capitalism after postmodernism : Neo-conservatism, legitimacy and the theory of public capital</t>
  </si>
  <si>
    <t>Forest related perspectives for regional development in Europe</t>
  </si>
  <si>
    <t>International law and the environment : Variations on a theme</t>
  </si>
  <si>
    <t>Recharacterizing restructuring : Law, distribution and gender in market reform</t>
  </si>
  <si>
    <t>Indian diaspora in Central Asia and its trade, 1550-1900</t>
  </si>
  <si>
    <t>Worlds of welfare, worlds of consent? : Public opinion on the welfare state</t>
  </si>
  <si>
    <t>Achieving justice : Comparative public opinion on income distribution</t>
  </si>
  <si>
    <t>Cicero's Style : A Synopsis</t>
  </si>
  <si>
    <t>Circumambulations in South Asian history : Essays in honour of Dirk H.A. Kolff</t>
  </si>
  <si>
    <t>Confronting terrorism : European experiences, threat perceptions, and policies</t>
  </si>
  <si>
    <t>Crucial images in the presentation of a Kurdish national identity : Heroes and Patriots, Traitors and Foes</t>
  </si>
  <si>
    <t>Handbook of Christianity in Japan</t>
  </si>
  <si>
    <t>Juvenile delinquency in Japan : Reconsidering the "crisis"</t>
  </si>
  <si>
    <t>Medieval and Renaissance Humanism : Rhetoric, Representation, and Reform</t>
  </si>
  <si>
    <t>Muslim networks and transnational communities in and across Europe</t>
  </si>
  <si>
    <t>Participatory learning : Religious education in a globalizing society</t>
  </si>
  <si>
    <t>Private entrepreneurs in China and Vietnam : Social and political functioning of strategic groups</t>
  </si>
  <si>
    <t>Semitic papyrology in context : A climate of creativity papers from a New York University conference marking the retirement of Baruch A. Levine</t>
  </si>
  <si>
    <t>Sociology and ideology</t>
  </si>
  <si>
    <t>cultural diversity of European unity : Findings, explanations and reflections from the European values study</t>
  </si>
  <si>
    <t>moral fabric in contemporary societies</t>
  </si>
  <si>
    <t>political economy of Lebanon, 1948-2002 : The limits of laissez-faire</t>
  </si>
  <si>
    <t>Anti-terrorist measures and human rights</t>
  </si>
  <si>
    <t>Conversion to Islam in the Balkans : Kisve bahasi petitions and Ottoman social life, 1670-1730</t>
  </si>
  <si>
    <t>Guild dynamics in seventeenth-century Istanbul : Fluidity and leverage</t>
  </si>
  <si>
    <t>Pre-industrial Korea and Japan in environmental perspective</t>
  </si>
  <si>
    <t>new dialectic and Marx's Capital</t>
  </si>
  <si>
    <t>vocation of reason : Studies in critical theory and social science in the age of Max Weber</t>
  </si>
  <si>
    <t>Tocqueville in the Ottoman Empire : Rival paths to the modern state</t>
  </si>
  <si>
    <t>Entrepreneurship and Innovations in E-Business : An Integrative Perspective</t>
  </si>
  <si>
    <t>Integration of ICT in Smart Organizations</t>
  </si>
  <si>
    <t>Web Semantics &amp; Ontology</t>
  </si>
  <si>
    <t>Advances in Applied Artificial Intelligence</t>
  </si>
  <si>
    <t>Outsourcing and Offshoring in the 21st Century : A Socio-Economic Perspective</t>
  </si>
  <si>
    <t>Cases on Database Technologies and Applications</t>
  </si>
  <si>
    <t>Encyclopedia of E-Commerce, E-Government, and Mobile Commerce</t>
  </si>
  <si>
    <t>Advanced Geotechnical Analyses : Developments in Soil Mechanics and Foundation Engineering - 4</t>
  </si>
  <si>
    <t>Transformational Growth and the Business Cycle</t>
  </si>
  <si>
    <t>International English Usage</t>
  </si>
  <si>
    <t>Dictionary of Modern Colloquial French</t>
  </si>
  <si>
    <t>Accounting Research And The Public Interest</t>
  </si>
  <si>
    <t>Consumer Food Safety</t>
  </si>
  <si>
    <t>Cybernetic Intelligence</t>
  </si>
  <si>
    <t>Digital Histories</t>
  </si>
  <si>
    <t>E-learning @ The Workplace</t>
  </si>
  <si>
    <t>Engineering Education In Sustainable Development</t>
  </si>
  <si>
    <t>Engineering Structures : Nonclinical Analysis Optimal Design And Identification</t>
  </si>
  <si>
    <t>Innovation, Diffusion And Adoption Processes</t>
  </si>
  <si>
    <t>Open Source Software</t>
  </si>
  <si>
    <t>Performance Measurement And Performance Management</t>
  </si>
  <si>
    <t>Journal</t>
  </si>
  <si>
    <t>Channels of Discourse, Reassembled : Television and Contemporary Criticism</t>
  </si>
  <si>
    <t>Media Effects and Beyond : Culture, Socialization and Lifestyles</t>
  </si>
  <si>
    <t>Interest Rates and Budget Deficits : A Study of the Advanced Economies</t>
  </si>
  <si>
    <t>Dream, Phantasy and Art</t>
  </si>
  <si>
    <t>A History of Child Psychoanalysis</t>
  </si>
  <si>
    <t>Museum Ethics : Theory and Practice</t>
  </si>
  <si>
    <t>Budgetary Policy Modelling : Public Expenditures</t>
  </si>
  <si>
    <t>German/English Business Glossary</t>
  </si>
  <si>
    <t>Language and Thought of the Child : Selected Works Vol 5</t>
  </si>
  <si>
    <t>Philosophers on Education : New Historical Perspectives</t>
  </si>
  <si>
    <t>Colloquial Icelandic : The Complete Course for Beginners</t>
  </si>
  <si>
    <t>Politics in the Republic of Ireland</t>
  </si>
  <si>
    <t>Colloquial Hebrew : The Complete Course for Beginners</t>
  </si>
  <si>
    <t>The Macroeconomics of Monetary Union : An Analysis of the CFA Franc Zone</t>
  </si>
  <si>
    <t>Economic Development in Pacific Asia</t>
  </si>
  <si>
    <t>Studies in Turkic and Mongolic Linguistics</t>
  </si>
  <si>
    <t>Making Realism Work : Realist Social Theory and Empirical Research</t>
  </si>
  <si>
    <t>Radiation Acoustics</t>
  </si>
  <si>
    <t>Hegel</t>
  </si>
  <si>
    <t>Accessible Housing : Quality, Disability and Design</t>
  </si>
  <si>
    <t>The Shorter Routledge Encyclopedia of Philosophy</t>
  </si>
  <si>
    <t>On the Human Condition</t>
  </si>
  <si>
    <t>Reassessing Gender and Achievement : Questioning Contemporary Key Debates</t>
  </si>
  <si>
    <t>Understanding Teaching Excellence in Higher Education : Towards a Critical Approach</t>
  </si>
  <si>
    <t>Critical Thinking : A Concise Guide</t>
  </si>
  <si>
    <t>Colloquial Croatian</t>
  </si>
  <si>
    <t>Philosophy of the Arts : An Introduction to Aesthetics</t>
  </si>
  <si>
    <t>Turkey and the War on Terror : 'for Forty Years We Fought Alone'</t>
  </si>
  <si>
    <t>A Teaching Assistant's Guide to Managing Behaviour in the Classroom</t>
  </si>
  <si>
    <t>The New Individualism : The Emotional Costs of Globalization REVISED EDITION</t>
  </si>
  <si>
    <t>A Teaching Assistant's Guide to Primary Education</t>
  </si>
  <si>
    <t>Debates in ESOL Teaching and Learning : Cultures, Communities and Classrooms</t>
  </si>
  <si>
    <t>Discourse in Action : Introducing Mediated Discourse Analysis</t>
  </si>
  <si>
    <t>Basic Spanish : A Grammar and Workbook</t>
  </si>
  <si>
    <t>Stories for Circle Time and Assembly : Developing Literacy Skills and Classroom Values</t>
  </si>
  <si>
    <t>The Scope of Tolerance : Studies on the Costs of Free Expression and Freedom of the Press</t>
  </si>
  <si>
    <t>European Union : Power and Policy-Making</t>
  </si>
  <si>
    <t>Construction Collaboration Technologies : An Extranet Evolution</t>
  </si>
  <si>
    <t>Construction Project Management : An Integrated Approach</t>
  </si>
  <si>
    <t>Russia and the European Union : Prospects for a New Relationship</t>
  </si>
  <si>
    <t>Christianity, Islam and Nationalism in Indonesia</t>
  </si>
  <si>
    <t>The Legalization of Human Rights : Multidisciplinary Perspectives on Human Rights and Human Rights Law</t>
  </si>
  <si>
    <t>Feminist Critique of Education : Fifteen Years of Gender Development</t>
  </si>
  <si>
    <t>The Changing Village Environment in Southeast Asia : Applied Anthropology and Environmental Reclamation in the Northern Philippines</t>
  </si>
  <si>
    <t>China and International Institutions : Alternate Paths to Global Power</t>
  </si>
  <si>
    <t>Turkey's Kurds : A Theoretical Analysis of the PKK and Abdullah Ocalan</t>
  </si>
  <si>
    <t>Small Firms and Innovation Policy in Japan</t>
  </si>
  <si>
    <t>Chinese Identities, Ethnicity and Cosmopolitanism</t>
  </si>
  <si>
    <t>Teaching with Emotional Intelligence : A Step-by-Step Guide for Higher and Further Education Professionals</t>
  </si>
  <si>
    <t>Planning the Good Community : New Urbanism in Theory and Practice</t>
  </si>
  <si>
    <t>Doing Research/Reading Research : Re-Interrogating Education</t>
  </si>
  <si>
    <t>Designing the Learning-Centred School : A Cross-Cultural Perspective</t>
  </si>
  <si>
    <t>Phytochemicals in Health and Disease</t>
  </si>
  <si>
    <t>Rethinking Architecture : A Reader in Cultural Theory</t>
  </si>
  <si>
    <t>Critical Reasoning : A Practical Introduction</t>
  </si>
  <si>
    <t>Changing Higher Education : The Development of Learning and Teaching</t>
  </si>
  <si>
    <t>Architecture, Animal, Human : The Asymmetrical Condition</t>
  </si>
  <si>
    <t>Guide To Energy Management</t>
  </si>
  <si>
    <t>Human Development : An Introduction to the Psychodynamics of Growth, Maturity and Ageing</t>
  </si>
  <si>
    <t>Advances in Personality Psychology : Volume II</t>
  </si>
  <si>
    <t>Communication in Organizations : Basic Skills and Conversation Models</t>
  </si>
  <si>
    <t>Educational Evaluation, Assessment and Monitoring : A Systematic Approach</t>
  </si>
  <si>
    <t>Prevention: What Works with Children and Adolescents?</t>
  </si>
  <si>
    <t>Understanding Celebrity</t>
  </si>
  <si>
    <t>SAGE Publications</t>
  </si>
  <si>
    <t>SAGE Publications Ltd</t>
  </si>
  <si>
    <t>Advertising : A Cultural Economy</t>
  </si>
  <si>
    <t>Early Childhood Education : Society and Culture</t>
  </si>
  <si>
    <t>The Experience of Culture</t>
  </si>
  <si>
    <t>Understanding Qualitative Research and Ethnomethodology</t>
  </si>
  <si>
    <t>The Body in Culture, Technology and Society</t>
  </si>
  <si>
    <t>Corporate Financial Reporting : Theory and Practice</t>
  </si>
  <si>
    <t>Research Methods in Accounting</t>
  </si>
  <si>
    <t>Communication, Technology and Cultural Change</t>
  </si>
  <si>
    <t>Knowing Capitalism</t>
  </si>
  <si>
    <t>The Challenges of Educational Leadership</t>
  </si>
  <si>
    <t>Expressionism and Modernism in the American Theatre : Bodies, Voices, Words</t>
  </si>
  <si>
    <t>From Modernism to Postmodernism : American Poetry and Theory in the Twentieth Century</t>
  </si>
  <si>
    <t>Britain, Soviet Russia and the Collapse of the Versailles Order, 1919–1939</t>
  </si>
  <si>
    <t>Educating English Language Learners : A Synthesis of Research Evidence</t>
  </si>
  <si>
    <t>Negotiating Trade : Developing Countries in the WTO and NAFTA</t>
  </si>
  <si>
    <t>The Economics of Franchising</t>
  </si>
  <si>
    <t>The Economics of Education : Human Capital, Family Background and Inequality</t>
  </si>
  <si>
    <t>Making Technology Work : Applications in Energy and the Environment</t>
  </si>
  <si>
    <t>Analyzing Race Talk : Multidisciplinary Perspectives on the Research Interview</t>
  </si>
  <si>
    <t>Thin Film Materials : Stress, Defect Formation and Surface Evolution</t>
  </si>
  <si>
    <t>Design and Construction in Romanesque Architecture : First Romanesque Architecture and the Pointed Arch in Burgundy and Northern Italy</t>
  </si>
  <si>
    <t>Globalization and State Transformation in China</t>
  </si>
  <si>
    <t>A Systematic Theory of Argumentation : The pragma-dialectical approach</t>
  </si>
  <si>
    <t>Film Production Management</t>
  </si>
  <si>
    <t>Digital Intermediates for Film and Video</t>
  </si>
  <si>
    <t>The Producer's Business Handbook</t>
  </si>
  <si>
    <t>A Companion to Modernist Literature and Culture</t>
  </si>
  <si>
    <t>Tourism Ethics</t>
  </si>
  <si>
    <t>Early Trilingualism : A Focus on Questions</t>
  </si>
  <si>
    <t>Language and Culture : Global Flows and Local Complexity</t>
  </si>
  <si>
    <t>Language and Aging in Multilingual Contexts</t>
  </si>
  <si>
    <t>Artificial Intelligence in Second Language Learning : Raising Error Awareness</t>
  </si>
  <si>
    <t>Theatrical Translation and Film Adaptation : A Practitioner's View</t>
  </si>
  <si>
    <t>Language, Space and Power : A Critical Look at Bilingual Education</t>
  </si>
  <si>
    <t>Raising Bilingual-Biliterate Children in Monolingual Cultures</t>
  </si>
  <si>
    <t>Studies of Fossilization in Second Language Acquisition</t>
  </si>
  <si>
    <t>Motivation, Language Attitudes and Globalisation : A Hungarian Perspective</t>
  </si>
  <si>
    <t>Power and Identity in the Creative Writing Classroom : The Authority Project</t>
  </si>
  <si>
    <t>Directions in Applied Linguistics : Essays in Honor of Robert B. Kaplan</t>
  </si>
  <si>
    <t>Foreign Language Teachers and Intercultural Competence : An Investigation in 7 Countries of Foreign Language Teachers' Views and Teaching Practices</t>
  </si>
  <si>
    <t>Language Diversity in the Pacific : Endangerment and Survival</t>
  </si>
  <si>
    <t>Bilingual Minds : Emotional Experience, Expression, and Representation</t>
  </si>
  <si>
    <t>Cross-linguistic Influences in the Second Language Lexicon</t>
  </si>
  <si>
    <t>North America : A Tourism Handbook</t>
  </si>
  <si>
    <t>Language Learners in Study Abroad Contexts</t>
  </si>
  <si>
    <t>The Tourism Area Life Cycle, Vol.2 : Conceptual and Theoretical Issues</t>
  </si>
  <si>
    <t>The Tourism Area Life Cycle, Vol. 1 : Applications and Modifications</t>
  </si>
  <si>
    <t>50-Plus Market : Why the Future Is Age-neutral When It Comes to Marketing and Branding Strategies</t>
  </si>
  <si>
    <t>Cheap : The Real Cost of the Global Trend for Bargains, Discounts and Consumer Choice</t>
  </si>
  <si>
    <t>Diversity Training Handbook : A Practical Guide to Understanding and Changing Attitudes</t>
  </si>
  <si>
    <t>Job Evaluation : A Guide to Achieving Equal Pay</t>
  </si>
  <si>
    <t>Mentoring In Action : A Practical Guide for Managers</t>
  </si>
  <si>
    <t>Outsourcing Handbook : How to Implement a Successful Outsourcing Process</t>
  </si>
  <si>
    <t>Performance Management : Key Strategies and Practical Guidelines</t>
  </si>
  <si>
    <t>Tools for Teaching Computer Networking and Hardware Concepts</t>
  </si>
  <si>
    <t>Enhancing Learning Through Technology</t>
  </si>
  <si>
    <t>Advanced Topics in Global Information Management, Volume 5</t>
  </si>
  <si>
    <t>Handbook of Research in Mobile Business : Technical, Methodological, and Social Perspectives</t>
  </si>
  <si>
    <t>Cases on Telecommunications and Networking</t>
  </si>
  <si>
    <t>Emergent Economies, Divergent Paths : Economic Organization and International Trade in South Korea and Taiwan</t>
  </si>
  <si>
    <t>A History of the English Language</t>
  </si>
  <si>
    <t>Descartes: A Biography</t>
  </si>
  <si>
    <t>The Elements of Justice</t>
  </si>
  <si>
    <t>Peer Relationships in Cultural Context</t>
  </si>
  <si>
    <t>Language, Culture, and Society : Key Topics in Linguistic Anthropology</t>
  </si>
  <si>
    <t>Globalization and the Future of Labour Law</t>
  </si>
  <si>
    <t>Performance Analysis of Communications Networks and Systems</t>
  </si>
  <si>
    <t>Law and Justice in the Courts of Classical Athens</t>
  </si>
  <si>
    <t>Social Performance : Symbolic Action, Cultural Pragmatics, and Ritual</t>
  </si>
  <si>
    <t>Territoriality and Conflict in an Era of Globalization</t>
  </si>
  <si>
    <t>Comparative Law in a Global Context : The Legal Systems of Asia and Africa</t>
  </si>
  <si>
    <t>The Constitution for Europe : A Legal Analysis</t>
  </si>
  <si>
    <t>Spray Simulation : Modeling and Numerical Simulation of Sprayforming metals</t>
  </si>
  <si>
    <t>Word and World : Practice and the Foundations of Language</t>
  </si>
  <si>
    <t>The Economics of Self-Employment and Entrepreneurship</t>
  </si>
  <si>
    <t>Mind World : Essays in Phenomenology and Ontology</t>
  </si>
  <si>
    <t>Young Person's Career Skills Handbook</t>
  </si>
  <si>
    <t>Intermediate Chinese : A Grammar and Workbook</t>
  </si>
  <si>
    <t>Routledge Dictionary of Language and Linguistics</t>
  </si>
  <si>
    <t>Sport and Exercise Psychology: the Key Concepts</t>
  </si>
  <si>
    <t>An Introduction to Sociology : Feminist Perspectives</t>
  </si>
  <si>
    <t>War, Politics and Society in Early Modern China, 900-1795</t>
  </si>
  <si>
    <t>Understanding Architecture : An Introduction to Architecture and Architectural History</t>
  </si>
  <si>
    <t>The Geography of Tourism and Recreation : Environment, Place and Space</t>
  </si>
  <si>
    <t>Human Learning : An Holistic Approach</t>
  </si>
  <si>
    <t>Successful Writing for Qualitative Researchers</t>
  </si>
  <si>
    <t>Brand Culture</t>
  </si>
  <si>
    <t>Vernacular Architecture in the 21st Century : Theory, Education and Practice</t>
  </si>
  <si>
    <t>Effective Teacher's Guide to Dyslexia and other Specific Learning Difficulties : Practical strategies</t>
  </si>
  <si>
    <t>A New Vision for Housing</t>
  </si>
  <si>
    <t>Visual Worlds</t>
  </si>
  <si>
    <t>Reconstituting the Global Liberal Order : Legitimacy, Regulation and Security</t>
  </si>
  <si>
    <t>The Routledge Companion to Historical Studies</t>
  </si>
  <si>
    <t>China's Rise, Taiwan's Dilemma's and International Peace</t>
  </si>
  <si>
    <t>Natural Symbols in South East Asia</t>
  </si>
  <si>
    <t>Energy from the Biomass : Third EC Conference</t>
  </si>
  <si>
    <t>Educational Research : Principles, Policies and Practices</t>
  </si>
  <si>
    <t>Copyright Fair Use Image Debat : The Great Image Debate</t>
  </si>
  <si>
    <t>Leibniz</t>
  </si>
  <si>
    <t>Introducing Language in Use : A Course Book</t>
  </si>
  <si>
    <t>State Terrorism and Political Identity in Indonesia : Fatally Belonging</t>
  </si>
  <si>
    <t>Pump Users Handbook Life Extension</t>
  </si>
  <si>
    <t>Living in the Borderland : The Evolution of Consciousness and the Challenge of Healing Trauma</t>
  </si>
  <si>
    <t>Best Career &amp; Education Websites, 5th Edition : A Quick Guide to Online Job Search</t>
  </si>
  <si>
    <t>Textual Metonymy : A Semiotic Approach</t>
  </si>
  <si>
    <t>Defining Literary Criticism : Scholarship, Authority and the Possession of Literary Knowledge, 1880-2002</t>
  </si>
  <si>
    <t>Media Audiences and Identity : Self-Construction in the Fan Experience</t>
  </si>
  <si>
    <t>Kant's Transcendental Imagination</t>
  </si>
  <si>
    <t>Optimality Theory and Pragmatics</t>
  </si>
  <si>
    <t>Women and Religion in Sixteenth-Century France</t>
  </si>
  <si>
    <t>Boys and Foreign Language Learning : Real Boys Don't Do Languages</t>
  </si>
  <si>
    <t>War and Social Theory : World, Value and Identity</t>
  </si>
  <si>
    <t>The Sociology of African American Language : A Language Planning Perspective</t>
  </si>
  <si>
    <t>Creative Marketing : An Extended Metaphor for Marketing in a New Age</t>
  </si>
  <si>
    <t>Keats and Romantic Celticism</t>
  </si>
  <si>
    <t>Shakespeare, Spenser and the Matter of Britain</t>
  </si>
  <si>
    <t>Literature in Language Education</t>
  </si>
  <si>
    <t>Tragedy and Scepticism in Shakespeare's England</t>
  </si>
  <si>
    <t>A Henry James Chronology</t>
  </si>
  <si>
    <t>Minority Languages in Europe : Frameworks, Status, Prospects</t>
  </si>
  <si>
    <t>Mind, Metaphor and Language Teaching</t>
  </si>
  <si>
    <t>Gothic and the Comic Turn</t>
  </si>
  <si>
    <t>Europeanization, European Integration and Financial Services : Developing Theoretical Frameworks and Methodological Perspectives</t>
  </si>
  <si>
    <t>Europeanization and Regionalization in the EU's Enlargement to Central and Eastern Europe : The Myth of Conditionality</t>
  </si>
  <si>
    <t>Linguistic Meaning, Truth Conditions and Relevance</t>
  </si>
  <si>
    <t>Language and Identity : National, Ethnic, Religious</t>
  </si>
  <si>
    <t>The Victorian Woman Question in Contemporary Feminist Fiction</t>
  </si>
  <si>
    <t>Cleft Constructions in Japanese Syntax</t>
  </si>
  <si>
    <t>Force of Language</t>
  </si>
  <si>
    <t>Nationality Between Poststructuralism and Postcolonial Theory : A New Cosmopolitanism</t>
  </si>
  <si>
    <t>Language and Gender in the Fairy Tale Tradition : A Linguistic Analysis of Old and New Story-Telling</t>
  </si>
  <si>
    <t>Identity, Interests and Attitudes to European Integration</t>
  </si>
  <si>
    <t>Language Development and Education : Children with Varying Language Experiences</t>
  </si>
  <si>
    <t>Representing Women and Female Desire from Arcadia to Jane Eyre</t>
  </si>
  <si>
    <t>Metaphor and Political Discourse : Analogical Reasoning in Debates about Europe</t>
  </si>
  <si>
    <t>Literature and Religion in Mid-Victorian England : From Dickens to Eliot</t>
  </si>
  <si>
    <t>Economic and Management Perspectives on Intellectual Property Rights</t>
  </si>
  <si>
    <t>Superpower Struggles : Mighty America, Faltering Europe, Rising Asia</t>
  </si>
  <si>
    <t>The Future of Development Financing : Challenges and Strategic Choices</t>
  </si>
  <si>
    <t>Competition and Growth : Innovations and Selection in Industry Evolution</t>
  </si>
  <si>
    <t>Argument Encoding in Japanese Conversation</t>
  </si>
  <si>
    <t>A Cultural Approach to Discourse</t>
  </si>
  <si>
    <t>The Media and Peace : From Vietnam to the 'War on Terror'</t>
  </si>
  <si>
    <t>Learner Autonomy Across Cultures : Language Education Perspectives</t>
  </si>
  <si>
    <t>Studies in Modern Childhood : Society, Agency, Culture</t>
  </si>
  <si>
    <t>Qualitative Inquiry in Tesol</t>
  </si>
  <si>
    <t>Education As Social Action : Knowledge, Identity and Power</t>
  </si>
  <si>
    <t>Skepticism, Modernity and Critical Theory : Critical Theory in Philosophical Context</t>
  </si>
  <si>
    <t>Nonprofit Organizations : Challenges and Collaboration</t>
  </si>
  <si>
    <t>Natural Rights and the Birth of Romanticism in The 1790s</t>
  </si>
  <si>
    <t>Intonation and Stress : Evidence from Hungarian</t>
  </si>
  <si>
    <t>Positioning Gender in Discourse : A Feminist Methodology</t>
  </si>
  <si>
    <t>Capitalism with Derivatives : A Political Economy of Financial Derivatives, Capital and Class</t>
  </si>
  <si>
    <t>Land, Nation and Culture, 1740-1840 : Thinking the Republic of Taste</t>
  </si>
  <si>
    <t>Identity, Crime and Legal Responsibility in Eighteenth-Century England</t>
  </si>
  <si>
    <t>Towards better regulation! Work in progress in developed and emerging markets</t>
  </si>
  <si>
    <t>Investment analysis and portfolio management strategies</t>
  </si>
  <si>
    <t>Derivaties and risk management</t>
  </si>
  <si>
    <t>Empirical studies in corporate finance and governance</t>
  </si>
  <si>
    <t>Quantitative Methods applied to Asset Management</t>
  </si>
  <si>
    <t>How free is the radio spectrum</t>
  </si>
  <si>
    <t>Qualitative methods in management research</t>
  </si>
  <si>
    <t>Complexity and IT design and evolution</t>
  </si>
  <si>
    <t>Temporary work and human resources management</t>
  </si>
  <si>
    <t>Cybernetics and public administration</t>
  </si>
  <si>
    <t>E-Government</t>
  </si>
  <si>
    <t>Performance measurement in the 21st century : From performance measurement to performance management</t>
  </si>
  <si>
    <t>Website usability : Research and case studies</t>
  </si>
  <si>
    <t>Digital library usability studies</t>
  </si>
  <si>
    <t>Electronic document and records management systems</t>
  </si>
  <si>
    <t>Fundamentals of Laser Dynamics</t>
  </si>
  <si>
    <t>Cambridge International Science Publishing</t>
  </si>
  <si>
    <t>Physics of Solid State Lasers</t>
  </si>
  <si>
    <t>Teaching Literature : A Companion</t>
  </si>
  <si>
    <t>Art and the State : The Visual Arts in Comparative Perspective</t>
  </si>
  <si>
    <t>Morality and Social Criticism : The Force of Reasons in Discursive Practice</t>
  </si>
  <si>
    <t>Insider's View on Corporate Governance : The Role of the Company Secretary</t>
  </si>
  <si>
    <t>Dress, Distress and Desire : Clothing and the Female Body in Eighteenth-Century Literature</t>
  </si>
  <si>
    <t>Admiral Lord Nelson : Context and Legacy</t>
  </si>
  <si>
    <t>Financial Exclusion</t>
  </si>
  <si>
    <t>Legacy of Supranationalism</t>
  </si>
  <si>
    <t>Myths about Doing Business in China</t>
  </si>
  <si>
    <t>War and State Formation in Ancient China and Early Modern Europe</t>
  </si>
  <si>
    <t>Calvin and the Bible</t>
  </si>
  <si>
    <t>Creativity and Reason in Cognitive Development</t>
  </si>
  <si>
    <t>Is Nature Enough? : Meaning and Truth in the Age of Science</t>
  </si>
  <si>
    <t>Secession : International Law Perspectives</t>
  </si>
  <si>
    <t>Archaeology, Society and Identity in Modern Japan</t>
  </si>
  <si>
    <t>Critical Lessons : What our Schools Should Teach</t>
  </si>
  <si>
    <t>A Theory of Argument</t>
  </si>
  <si>
    <t>Science and Ethics</t>
  </si>
  <si>
    <t>Religion in an Expanding Europe</t>
  </si>
  <si>
    <t>Goodness and Justice : A Consequentialist Moral Theory</t>
  </si>
  <si>
    <t>Rightful Resistance in Rural China</t>
  </si>
  <si>
    <t>Design for a New Europe</t>
  </si>
  <si>
    <t>Knowledge Entanglements : An International and Multidisciplinary Approach</t>
  </si>
  <si>
    <t>Tennyson's Scepticism</t>
  </si>
  <si>
    <t>Future of Retail Banking : Delivering Value to Global Customer</t>
  </si>
  <si>
    <t>How to Write Great Copy : Learn the Unwritten Rules of Copywriting</t>
  </si>
  <si>
    <t>Kogan Page, Limited</t>
  </si>
  <si>
    <t>Choosing &amp; Using Consultants &amp; Advisors : A Best Practice Guide to Making the Right Decision and Getting Good Value</t>
  </si>
  <si>
    <t>Next Big Investment Boom, The : Learn the Secrets of Investing from a Master and How to Profit from Commodities</t>
  </si>
  <si>
    <t>Understanding Consumer Choice</t>
  </si>
  <si>
    <t>The EU's Transformative Power : Europeanization Through Conditionality in Central and Eastern Europe</t>
  </si>
  <si>
    <t>Religion and Technology in the 21st Century : Faith in the E-World</t>
  </si>
  <si>
    <t>Digital Multimedia Perception and Design</t>
  </si>
  <si>
    <t>Digital Crime and Forensic Science in Cyberspace</t>
  </si>
  <si>
    <t>Cases on Information Technology and Business Process Reengineering</t>
  </si>
  <si>
    <t>Cases on Information Technology Planning, Design and Implementation</t>
  </si>
  <si>
    <t>Cases on Information Technology and Organizational Politics &amp; Culture</t>
  </si>
  <si>
    <t>Optimal Knowledge Management : Wisdom Management Systems Concepts and Applications</t>
  </si>
  <si>
    <t>Advances in Image and Video Segmentation</t>
  </si>
  <si>
    <t>The Theatre of Joseph Conrad : Reconstructed Fictions</t>
  </si>
  <si>
    <t>Resolving the Innovation Paradox : Enhancing Growth in Technology Companies</t>
  </si>
  <si>
    <t>Metaphor and Iconicity : A Cognitive Approach to Analyzing Texts</t>
  </si>
  <si>
    <t>Cultural Constructions of Madness in Eighteenth-Century Writing : Representing the Insane</t>
  </si>
  <si>
    <t>Economics of the Modern Construction Sector</t>
  </si>
  <si>
    <t>Program Evaluation in Language Education</t>
  </si>
  <si>
    <t>The Digital City : The American Metropolis and Information Technology</t>
  </si>
  <si>
    <t>Collaborative Advantage : How Organisations Win by Working Together</t>
  </si>
  <si>
    <t>Force of Reason and the Logic of Force</t>
  </si>
  <si>
    <t>Singapore : Wealth, Power and the Culture of Control</t>
  </si>
  <si>
    <t>Sport, Culture and Society : An Introduction</t>
  </si>
  <si>
    <t>A Boal Companion : Dialogues on Theatre and Cultural Politics</t>
  </si>
  <si>
    <t>Agency and Change : Rethinking Change Agency in Organizations</t>
  </si>
  <si>
    <t>On Education</t>
  </si>
  <si>
    <t>Language Policy : Hidden Agendas and New Approaches</t>
  </si>
  <si>
    <t>Anthropology: the Basics</t>
  </si>
  <si>
    <t>Approximate Bodies : Gender and Power in Early Modern Drama and Anatomy</t>
  </si>
  <si>
    <t>Brands : Meaning and Value in Media Culture</t>
  </si>
  <si>
    <t>Basic Italian : A Grammar and Workbook</t>
  </si>
  <si>
    <t>Modernism and the Language of Philosophy</t>
  </si>
  <si>
    <t>Adult Learning in the Digital Age : Information Technology and the Learning Society</t>
  </si>
  <si>
    <t>Practical Reasoning and Ethical Decision</t>
  </si>
  <si>
    <t>A Guide to Coursework in Psychology</t>
  </si>
  <si>
    <t>Colonial Encounters in New World Writing, 1500-1786 : Performing America</t>
  </si>
  <si>
    <t>Geographies of Globalization</t>
  </si>
  <si>
    <t>Creative Problem Solving for Managers : Developing Skills for Decision-Making and Innovation</t>
  </si>
  <si>
    <t>Project Planning, and Control</t>
  </si>
  <si>
    <t>Childhood in World History</t>
  </si>
  <si>
    <t>Energy Management in Buildings</t>
  </si>
  <si>
    <t>The Future of Visual Anthropology : Engaging the Senses</t>
  </si>
  <si>
    <t>Understanding Children's Literature</t>
  </si>
  <si>
    <t>Urban Geography</t>
  </si>
  <si>
    <t>Effective Teacher's Guide to Moderate, Severe and Profound Learning Difficulties : Practical strategies</t>
  </si>
  <si>
    <t>Investigating Classroom Discourse</t>
  </si>
  <si>
    <t>Chinese Citizenship : Views from the Margins</t>
  </si>
  <si>
    <t>Symmetry and Complexity : The Spirit and Beauty of Nonlinear Science</t>
  </si>
  <si>
    <t>Graph-Theoretic Techniques for Web Content Mining</t>
  </si>
  <si>
    <t>Systemic Financial Crises: Resolving Large Bank Insolvencies</t>
  </si>
  <si>
    <t>Marketing Identities Through Language : English and Global Imagery in French Advertising</t>
  </si>
  <si>
    <t>Critical Reading in Language Education</t>
  </si>
  <si>
    <t>Outsourcing Success : The Management Imperative</t>
  </si>
  <si>
    <t>Customer Loyalty : A Guide for Time Travelers</t>
  </si>
  <si>
    <t>Critical Discourse Analysis : Theory and Interdisciplinarity</t>
  </si>
  <si>
    <t>Economic Capital and Financial Risk Management for Financial Services Firms and Conglomerates</t>
  </si>
  <si>
    <t>Asian Brand Strategy : How Asia Builds Strong Brands</t>
  </si>
  <si>
    <t>Trade, Investment and Competition in International Banking</t>
  </si>
  <si>
    <t>British Foreign Policy under New Labour, 1997-2005</t>
  </si>
  <si>
    <t>Exchange Traded Funds As an Investment Option</t>
  </si>
  <si>
    <t>International Loan Documentation</t>
  </si>
  <si>
    <t>Language Testing and Validation : An Evidence-Based Approach</t>
  </si>
  <si>
    <t>British Women Writers and Race, 1788-1818 : Narrations of Modernity</t>
  </si>
  <si>
    <t>British Romanticism and Continental Influences : Writing in an Age of Europhobia</t>
  </si>
  <si>
    <t>British Women Writers and the Profession of Literary Criticism, 1789-1832</t>
  </si>
  <si>
    <t>Reading the Body in the Eighteenth-Century Novel</t>
  </si>
  <si>
    <t>The Reenchantment of Nineteenth-Century Fiction : Dickens, Thackeray, George Eliot, and Serialization</t>
  </si>
  <si>
    <t>Theory of Culture-Specific Total Quality Management : Quality Management in Chinese Regions</t>
  </si>
  <si>
    <t>Extent of the Literal : Metaphor, Polysemy and Theories of Concepts</t>
  </si>
  <si>
    <t>Analysing Sign Language Poetry</t>
  </si>
  <si>
    <t>Third Way Economics : Theory and Evaluation</t>
  </si>
  <si>
    <t>Party Politics in Germany : A Comparative Politics Approach</t>
  </si>
  <si>
    <t>Children's Voices : Talk, Knowledge and Identity</t>
  </si>
  <si>
    <t>Sales Force Design for Strategic Advantage</t>
  </si>
  <si>
    <t>Sport Business Future</t>
  </si>
  <si>
    <t>Cultures of Environmentalism : Empirical Studies in Environmental Sociology</t>
  </si>
  <si>
    <t>Adventures in Paleontology : 36 Classroom Fossil Activities</t>
  </si>
  <si>
    <t>National Science Teachers Association</t>
  </si>
  <si>
    <t>Linking Science and Literacy in the K-8 Classroom</t>
  </si>
  <si>
    <t>Technology-Based Inquiry for Middle School : An NSTA Press Journals Collection</t>
  </si>
  <si>
    <t>Assessment in Science : Practical Experiences and Education Research</t>
  </si>
  <si>
    <t>Mathematics of Economics and Business</t>
  </si>
  <si>
    <t>Urban Ethic : Design in the Contemporary City</t>
  </si>
  <si>
    <t>Japan and China in the World Political Economy</t>
  </si>
  <si>
    <t>The Cambridge Guide to English Usage</t>
  </si>
  <si>
    <t>Stochastic Optimization in Continuous Time</t>
  </si>
  <si>
    <t>Leibniz and his Correspondents</t>
  </si>
  <si>
    <t>Boundaries and Belonging : States and Societies in the Struggle to Shape Identities and Local Practices</t>
  </si>
  <si>
    <t>Making Sense : Small-Group Comprehension Lessons for English Language Learners</t>
  </si>
  <si>
    <t>Designing Economic Mechanisms</t>
  </si>
  <si>
    <t>Democracy and the Rule of Law in Classical Athens : Essays on Law, Society, and Politics</t>
  </si>
  <si>
    <t>Economic Autonomy and Democracy : Hybrid Regimes in Russia and Kyrgyzstan</t>
  </si>
  <si>
    <t>Change Processes in Relationships : A Relational-Historical Research Approach</t>
  </si>
  <si>
    <t>Aesthetics and Cognition in Kant's Critical Philosophy</t>
  </si>
  <si>
    <t>The Relationship Rights of Children</t>
  </si>
  <si>
    <t>The European Foundation : A New Legal Approach</t>
  </si>
  <si>
    <t>Routledge Philosophy Guidebook to Derrida on Deconstruction</t>
  </si>
  <si>
    <t>Tourism and Global Environmental Change : Ecological, Economic, Social and Political Interrelationships</t>
  </si>
  <si>
    <t>Changing Language Education Through CALL</t>
  </si>
  <si>
    <t>Environmental Design : An Introduction for Architects and Engineers</t>
  </si>
  <si>
    <t>China in War and Revolution, 1895-1949</t>
  </si>
  <si>
    <t>Education, Religion and Society : Essays in Honour of John M. Hull</t>
  </si>
  <si>
    <t>Taiwan's Security : History and Prospects</t>
  </si>
  <si>
    <t>Language and Region</t>
  </si>
  <si>
    <t>Education Reform and Education Policy in East Asia</t>
  </si>
  <si>
    <t>Trends in Enterprise Knowledge Management</t>
  </si>
  <si>
    <t>ISTE</t>
  </si>
  <si>
    <t>Nanophotonics</t>
  </si>
  <si>
    <t>Carbon Nanotubes : Properties and Applications</t>
  </si>
  <si>
    <t>Chaos in Automatic Control</t>
  </si>
  <si>
    <t>Coatings Technology Handbook</t>
  </si>
  <si>
    <t>Compliant Mechanisms : Design of Flexure Hinges</t>
  </si>
  <si>
    <t>Developments in Pressure-Sensitive Products</t>
  </si>
  <si>
    <t>Digital Video Image Quality and Perceptual Coding</t>
  </si>
  <si>
    <t>EDA for IC Implementation, Circuit Design, and Process Technology</t>
  </si>
  <si>
    <t>E-Learning Standards : A Guide to Purchasing, Developing, and Deploying Standards-Conformant E-Learning</t>
  </si>
  <si>
    <t>Electric Relays : Principles and Applications</t>
  </si>
  <si>
    <t>Electromagnetic Theory and Applications for Photonic Crystals</t>
  </si>
  <si>
    <t>Embedded Systems Handbook</t>
  </si>
  <si>
    <t>Energy-Efficient Electric Motors, Revised and Expanded</t>
  </si>
  <si>
    <t>Engineering Thin Films and Nanostructures with Ion Beams</t>
  </si>
  <si>
    <t>Environmental Impacts of Treated Wood</t>
  </si>
  <si>
    <t>Environmental Technology Resources Handbook</t>
  </si>
  <si>
    <t>Essential DC/DC Converters</t>
  </si>
  <si>
    <t>Essentials of Pharmacy Law</t>
  </si>
  <si>
    <t>Food Plant Design</t>
  </si>
  <si>
    <t>Food Polysaccharides and Their Applications</t>
  </si>
  <si>
    <t>Fuzzy Controller Design : Theory and Applications</t>
  </si>
  <si>
    <t>Guide to Optimal Operational Risk and BASEL II</t>
  </si>
  <si>
    <t>Auerbach Publishers, Incorporated</t>
  </si>
  <si>
    <t>Handbook of Industrial and Systems Engineering</t>
  </si>
  <si>
    <t>Handbook of Optical Interconnects</t>
  </si>
  <si>
    <t>Handbook of Photomask Manufacturing Technology</t>
  </si>
  <si>
    <t>Handbook of Railway Vehicle Dynamics</t>
  </si>
  <si>
    <t>Harmonics and Power Systems</t>
  </si>
  <si>
    <t>High Temperature Air Combustion : From Energy Conservation to Pollution Reduction</t>
  </si>
  <si>
    <t>Human Behavior Learning and Transfer</t>
  </si>
  <si>
    <t>Integer Programming : Theory and Practice</t>
  </si>
  <si>
    <t>Kinetics, Transport, and Structure in Hard and Soft Materials</t>
  </si>
  <si>
    <t>Knowledge Management, Business Intelligence, and Content Management : The IT Practitioner's Guide</t>
  </si>
  <si>
    <t>Logic Design of NanoICS</t>
  </si>
  <si>
    <t>Low-Power CMOS Circuits : Technology, Logic Design and CAD Tools</t>
  </si>
  <si>
    <t>Mems : Applications</t>
  </si>
  <si>
    <t>Mems : Design and Fabrication</t>
  </si>
  <si>
    <t>Mems : Introduction and Fundamentals</t>
  </si>
  <si>
    <t>Microelectronics</t>
  </si>
  <si>
    <t>Microfabrication and Nanomanufacturing</t>
  </si>
  <si>
    <t>Modeling of Combustion Systems : A Practical Approach</t>
  </si>
  <si>
    <t>Multiphase Flow Handbook</t>
  </si>
  <si>
    <t>Multi-Sensor Image Fusion and Its Applications</t>
  </si>
  <si>
    <t>Nanomaterials Handbook</t>
  </si>
  <si>
    <t>New Materials, Processes, and Methods Technology</t>
  </si>
  <si>
    <t>Occupational Exposure Assessment for Air Contaminants</t>
  </si>
  <si>
    <t>Passive, Active, and Digital Filters</t>
  </si>
  <si>
    <t>Patent Laws for Scientists and Engineers</t>
  </si>
  <si>
    <t>Physics of Optoelectronics</t>
  </si>
  <si>
    <t>The Power Electronics Handbook</t>
  </si>
  <si>
    <t>Product Design for the Environment : A Life Cycle Approach</t>
  </si>
  <si>
    <t>Protective Relaying for Power Generation Systems</t>
  </si>
  <si>
    <t>Risk Assessment and Decision Making in Business and Industry : A Practical Guide, Second Edition</t>
  </si>
  <si>
    <t>Satellite Monitoring of Inland and Coastal Water Quality : Retrospection, Introspection, Future Directions</t>
  </si>
  <si>
    <t>Silicon Nanoelectronics</t>
  </si>
  <si>
    <t>Smart Dust : Sensor Network Applications, Architecture and Design</t>
  </si>
  <si>
    <t>Structured Catalysts and Reactors</t>
  </si>
  <si>
    <t>Trace Environmental Quantitative Analysis : Principles, Techniques and Applications, Second Edition</t>
  </si>
  <si>
    <t>Uncertainty Modeling and Analysis in Engineering and the Sciences</t>
  </si>
  <si>
    <t>WiMAX : Taking Wireless to the MAX</t>
  </si>
  <si>
    <t>Wind and Solar Power Systems : Design, Analysis, and Operation, Second Edition</t>
  </si>
  <si>
    <t>Agile Virtual Enterprises : Implementation and Management Support</t>
  </si>
  <si>
    <t>Reading with Meaning : Teaching Comprehension in the Primary Grades</t>
  </si>
  <si>
    <t>The Contemporary British Novel</t>
  </si>
  <si>
    <t>Edinburgh University Press</t>
  </si>
  <si>
    <t>Media and Ethnic Minorities</t>
  </si>
  <si>
    <t>Media Talk : Spoken Discourse on TV and Radio</t>
  </si>
  <si>
    <t>Cognitive Linguistics : An Introduction</t>
  </si>
  <si>
    <t>Linguistic Awareness in Multilinguals : English as a Third Language</t>
  </si>
  <si>
    <t>Citizenship in Britain : A History</t>
  </si>
  <si>
    <t>Modern North American Criticism and Theory : A Critical Guide</t>
  </si>
  <si>
    <t>Language and Politics</t>
  </si>
  <si>
    <t>Freedom of Speech : Rights and Liberties under the Law</t>
  </si>
  <si>
    <t>ABC-CLIO</t>
  </si>
  <si>
    <t>Asia : A Continental Overview of Environmental Issues</t>
  </si>
  <si>
    <t>China : A Global Studies Handbook</t>
  </si>
  <si>
    <t>Handbook of Chinese Mythology</t>
  </si>
  <si>
    <t>Civil Liberties in America : A Reference Handbook</t>
  </si>
  <si>
    <t>Britain and the Americas : Culture, Politics, and History</t>
  </si>
  <si>
    <t>Chinese Religions in Contemporary Societies</t>
  </si>
  <si>
    <t>Arabian Nights Encyclopedia</t>
  </si>
  <si>
    <t>Phonological Development and Disorders in Children : A Multilingual Perspective</t>
  </si>
  <si>
    <t>Developing Minority Language Resources : The Case of Spanish in California</t>
  </si>
  <si>
    <t>Age and the Rate of Foreign Language Learning</t>
  </si>
  <si>
    <t>Linguistic Landscape : A New Approach to Multilingualism</t>
  </si>
  <si>
    <t>Language Loyalty, Continuity and Change : Joshua A. Fishman's Contributions to International Sociolinguistics</t>
  </si>
  <si>
    <t>Imagining Multilingual Schools : Languages in Education and Glocalization</t>
  </si>
  <si>
    <t>USB Mass Storage : Designing and Programming Devices and Embedded Hosts</t>
  </si>
  <si>
    <t>Adventure Guide to Thailand</t>
  </si>
  <si>
    <t>Enhancing Organizational Performance : A Toolbox for Self-assessment</t>
  </si>
  <si>
    <t>International Development Research Centre</t>
  </si>
  <si>
    <t>IDRC</t>
  </si>
  <si>
    <t>E-Commerce in the Asian Context : Selected Case Studies</t>
  </si>
  <si>
    <t>An Introduction to Third World Theologies</t>
  </si>
  <si>
    <t>Data Envelopment Analysis : Theory and Techniques for Economics and Operations Research</t>
  </si>
  <si>
    <t>Culture, Biology, and Anthropological Demography</t>
  </si>
  <si>
    <t>The Phonology of Tone and Intonation</t>
  </si>
  <si>
    <t>Kernel Methods for Pattern Analysis</t>
  </si>
  <si>
    <t>Theatre and Empowerment : Community Drama on the World Stage</t>
  </si>
  <si>
    <t>Phonetically Based Phonology</t>
  </si>
  <si>
    <t>Creative Conflict in African American Thought</t>
  </si>
  <si>
    <t>Longitudinal and Panel Data : Analysis and Applications in the Social Sciences</t>
  </si>
  <si>
    <t>Morphology and Lexical Semantics</t>
  </si>
  <si>
    <t>Novel Relations : The Transformation of Kinship in English Literature and Culture, 1748–1818</t>
  </si>
  <si>
    <t>Chomsky : Ideas and Ideals</t>
  </si>
  <si>
    <t>The Eastern Origins of Western Civilisation</t>
  </si>
  <si>
    <t>Applied Time Series Econometrics</t>
  </si>
  <si>
    <t>Literature and Science : Social Impact and Interaction</t>
  </si>
  <si>
    <t>Ocean Politics and Policy : A Reference Handbook</t>
  </si>
  <si>
    <t>Traditional Festivals : A Multicultural Encyclopedia</t>
  </si>
  <si>
    <t>Unreasonable Searches and Seizures : Rights and Liberties under the Law</t>
  </si>
  <si>
    <t>Organizational Assessment : A Framework for Improving Performance</t>
  </si>
  <si>
    <t>Designing and Conducting Health Systems Research Projects : Volume I:Proposal Development and Fieldwork</t>
  </si>
  <si>
    <t>Reading Virginia Woolf</t>
  </si>
  <si>
    <t>Media Policy and Globalization</t>
  </si>
  <si>
    <t>Film's Musical Moments</t>
  </si>
  <si>
    <t>Christian Philosophy A-Z</t>
  </si>
  <si>
    <t>Adam Smith, Radical and Egalitarian : An Interpretation for the 21st Century</t>
  </si>
  <si>
    <t>Practical Research Methods for Media and Cultural Studies : Making People Count</t>
  </si>
  <si>
    <t>Starting with Comprehension : Reading Strategies for the Youngest Learners</t>
  </si>
  <si>
    <t>Words, Words, Words : Teaching Vocabulary in Grades 4-12</t>
  </si>
  <si>
    <t>Beauty Up : Exploring Contemporary Japanese Body Aesthetics</t>
  </si>
  <si>
    <t>University of California Press</t>
  </si>
  <si>
    <t>Corporate Governance : Beyond the Boardroom</t>
  </si>
  <si>
    <t>Critical issues of partnerships between higher education and public schools</t>
  </si>
  <si>
    <t>Issues in investment analysis</t>
  </si>
  <si>
    <t>Law, Justice and Democracy in Europe</t>
  </si>
  <si>
    <t>Learning styles in education and training</t>
  </si>
  <si>
    <t>New perspectives on partnership</t>
  </si>
  <si>
    <t>Research into regeneration : gaps in our knowledge base</t>
  </si>
  <si>
    <t>Special issue : Synchronous methods and applications in e-learning</t>
  </si>
  <si>
    <t>Design and manufacturing special issue : Special Issue</t>
  </si>
  <si>
    <t>World Trade : Cancun, Hong Kong and Beyond:A Review of Current WTO Regulations and Practice</t>
  </si>
  <si>
    <t>Kazakhstan's Dynamic Economy : A Business and Investment Review</t>
  </si>
  <si>
    <t>China's Peaceful Rise : Speeches of Zheng Bijian 1997-2005</t>
  </si>
  <si>
    <t>Brookings Institution Press</t>
  </si>
  <si>
    <t>Democracy at Risk : How Political Choices Undermine Citizen Participation, and What We Can Do About It</t>
  </si>
  <si>
    <t>Financial Crises : Lessons from the Past, Preparation for the Future</t>
  </si>
  <si>
    <t>Getting Choice Right : Ensuring Equity and Efficiency in Education Policy</t>
  </si>
  <si>
    <t>Organizing U.S. Foreign Aid : Confronting the Challenges of the Twenty-First Century</t>
  </si>
  <si>
    <t>Taking the High Road : A Metropolitan Agenda for Transportation Reform</t>
  </si>
  <si>
    <t>Crescent of Crisis : U.S.-European Strategy for the Greater Middle East</t>
  </si>
  <si>
    <t>Toward an Evolutionary Regime for Spectrum Governance : Licensing or Unrestricted Entry?</t>
  </si>
  <si>
    <t>Brookings Institution Press and AEI</t>
  </si>
  <si>
    <t>Untying the Knot : Making Peace in the Taiwan Strait</t>
  </si>
  <si>
    <t>History in the Media : Film and Television</t>
  </si>
  <si>
    <t>Revolutionary Movements in World History : From 1750 to the Present</t>
  </si>
  <si>
    <t>Combinatorial and High-Throughput Discovery and Optimization of Catalysts and Materials</t>
  </si>
  <si>
    <t>Information Security : Design, Implementation, Measurement, and Compliance</t>
  </si>
  <si>
    <t>Supply Chain Cost Control Using Activity-Based Management</t>
  </si>
  <si>
    <t>Applied Microphotonics</t>
  </si>
  <si>
    <t>Geoenvironmental Sustainability</t>
  </si>
  <si>
    <t>Sensors and Actuators in Mechatronics : Design and Applications</t>
  </si>
  <si>
    <t>A Vision for Universal Preschool Education</t>
  </si>
  <si>
    <t>International Relations : The Path Not Taken</t>
  </si>
  <si>
    <t>The Aesthetics of the Oppressed</t>
  </si>
  <si>
    <t>Attending Krishna's Image : Chaitanya Vaishnava Murti-Seva As Devotional Truth</t>
  </si>
  <si>
    <t>Beyond Enlightenment : Buddhism, Religion, Modernity</t>
  </si>
  <si>
    <t>Biodiversity and Conservation</t>
  </si>
  <si>
    <t>Buddhist Thought and Applied Psychological Research : Transcending the Boundaries</t>
  </si>
  <si>
    <t>Cinema Studies : The Key Concepts</t>
  </si>
  <si>
    <t>Citizenship and Ethnic Conflict : Challenging the Nation-State</t>
  </si>
  <si>
    <t>Citizenship and Moral Education : Values in Action</t>
  </si>
  <si>
    <t>Consuming Books : The Marketing and Consumption of Literature</t>
  </si>
  <si>
    <t>Contemporary Issues in Financial Reporting : A User-Oriented Approach</t>
  </si>
  <si>
    <t>Copayments and the Demand for Prescription Drugs</t>
  </si>
  <si>
    <t>Developing Countries and the Doha Development Agenda of the WTO</t>
  </si>
  <si>
    <t>Early Christianity</t>
  </si>
  <si>
    <t>Elearning: the Key Concepts</t>
  </si>
  <si>
    <t>English for Academic Purposes</t>
  </si>
  <si>
    <t>Financial Crises : Socio-Economic Causes and Institutional Context</t>
  </si>
  <si>
    <t>Fundamentals of Geosynthetic Engineering</t>
  </si>
  <si>
    <t>Housing Transformations : Shaping the Space of Twenty-First Century Living</t>
  </si>
  <si>
    <t>Institutional Change in Japan</t>
  </si>
  <si>
    <t>Intelligence, Destiny and Education : The Ideological Roots of Intelligence Testing</t>
  </si>
  <si>
    <t>Japan's Relations with China : Facing a Rising Power</t>
  </si>
  <si>
    <t>Managing Development : Globalization, Economic Restructuring and Social Policy</t>
  </si>
  <si>
    <t>Mobile Technologies of the City</t>
  </si>
  <si>
    <t>Multiculturalism, Muslims and Citizenship : A European Approach</t>
  </si>
  <si>
    <t>New Voices on Adam Smith</t>
  </si>
  <si>
    <t>Religions in Global Society</t>
  </si>
  <si>
    <t>Religions of South Asia : An Introduction</t>
  </si>
  <si>
    <t>Remaking Media : The Struggle to Democratize Public Communication</t>
  </si>
  <si>
    <t>The European Union's Roles in International Politics : Concepts and Analysis</t>
  </si>
  <si>
    <t>The Modern Period Room : The Construction of the Exhibited Interior 1870-1950</t>
  </si>
  <si>
    <t>The Routledge Companion to Decolonization</t>
  </si>
  <si>
    <t>The Social and Political Thought of George Orwell : A Reassessment</t>
  </si>
  <si>
    <t>The Sports Coach As Educator : Re-Conceptualising Sports Coaching</t>
  </si>
  <si>
    <t>Translation and Conflict : A Narrative Account</t>
  </si>
  <si>
    <t>Translocal China : Linkages, Identities and the Reimagining of Space</t>
  </si>
  <si>
    <t>US-China Relations in the 21st Century : Power Transition and Peace</t>
  </si>
  <si>
    <t>Britain Since 1945 : A Political History</t>
  </si>
  <si>
    <t>Childcare, Choice and Class Practices : Middle Class Parents and Their Children</t>
  </si>
  <si>
    <t>Designing Video and Multimedia for Open and Flexible Learning</t>
  </si>
  <si>
    <t>E-Learning and Disability in Higher Education : Accessibility Research and Practice</t>
  </si>
  <si>
    <t>Immaterial Architecture</t>
  </si>
  <si>
    <t>Hutchinson Dictionary of Symbols in Art</t>
  </si>
  <si>
    <t>Helicon Publishing</t>
  </si>
  <si>
    <t>Hutchinson Dictionary of World Religions</t>
  </si>
  <si>
    <t>Up Close &amp; Personal : Customer Relationship Marketing at Work</t>
  </si>
  <si>
    <t>Secure Online Business Handbook : A Practical Guide to Risk Management and Business Continuity</t>
  </si>
  <si>
    <t>Group Trainer's Handbook : Designing and Delivering Training for Groups</t>
  </si>
  <si>
    <t>Handbook of Management Techniques : A Comprehensive Guide To Achieving Managerial Excellence and Improved Decision Making</t>
  </si>
  <si>
    <t>Capabilities for Strategic Advantage : Leading Through Technological Innovation</t>
  </si>
  <si>
    <t>Encounters in the Victorian Press : Editors, Authors, Readers</t>
  </si>
  <si>
    <t>Fieldwork in Transforming Societies : Understanding Methodology from Experience</t>
  </si>
  <si>
    <t>Varieties of Capitalism, Varieties of Approaches</t>
  </si>
  <si>
    <t>The Handbook of Electoral System Choice</t>
  </si>
  <si>
    <t>Financial Developments in National and International Markets</t>
  </si>
  <si>
    <t>Financial Liberalization : Beyond Orthodox Concerns</t>
  </si>
  <si>
    <t>Inside Knowledge : Streetwise in Asia</t>
  </si>
  <si>
    <t>Organizational Stress</t>
  </si>
  <si>
    <t>Object-Oriented Design Knowledge : Principles, Heuristics and Best Practices</t>
  </si>
  <si>
    <t>Imitation-Based Approach to Modeling Homogenous Agents Societies</t>
  </si>
  <si>
    <t>Contemporary Issues in End User Computing</t>
  </si>
  <si>
    <t>Functional and Object Oriented Analysis and Design : An Integrated Methodology</t>
  </si>
  <si>
    <t>Artificial Cognition Systems</t>
  </si>
  <si>
    <t>Managing IT Professionals in the Internet Age</t>
  </si>
  <si>
    <t>Advances in Computer-Supported Learning</t>
  </si>
  <si>
    <t>Information Technology and Indigenous People</t>
  </si>
  <si>
    <t>Race Against Time : The Crisis in Urban Schooling</t>
  </si>
  <si>
    <t>Greenwood Publishing Group</t>
  </si>
  <si>
    <t>Self-Reflective Renewal in Schools : Local Lessons from a National Initiative</t>
  </si>
  <si>
    <t>Technology and Offshore Outsourcing Strategies</t>
  </si>
  <si>
    <t>Global Governance in the Twenty-first Century</t>
  </si>
  <si>
    <t>Enron and World Finance : A Case Study in Ethics</t>
  </si>
  <si>
    <t>Teachers Exploring Tasks in English Language Teaching</t>
  </si>
  <si>
    <t>Seeking Growth under Financial Volatility</t>
  </si>
  <si>
    <t>Understanding the Language Classroom</t>
  </si>
  <si>
    <t>Chorleywood Bread Process</t>
  </si>
  <si>
    <t>Woodhead Publishing India PVT. LTD</t>
  </si>
  <si>
    <t>Woodhead Publishing Limited</t>
  </si>
  <si>
    <t>Organising Knowledge : Methods and Case Studies</t>
  </si>
  <si>
    <t>Kant</t>
  </si>
  <si>
    <t>Fifty Key Literary Theorists</t>
  </si>
  <si>
    <t>Integrated Strategies in Architecture</t>
  </si>
  <si>
    <t>Shakespeare : The Basics</t>
  </si>
  <si>
    <t>Language and Sexuality Reader</t>
  </si>
  <si>
    <t>Environmental Sustainability : A Consumption Approach</t>
  </si>
  <si>
    <t>Developing Your Teaching : Ideas, Insight and Action</t>
  </si>
  <si>
    <t>Ageing in Singapore : Service Needs and the State</t>
  </si>
  <si>
    <t>Planning on the Edge</t>
  </si>
  <si>
    <t>Urban Structure Matters : Residential Location, Car Dependence and Travel Behaviour</t>
  </si>
  <si>
    <t>Life after... Art and Design : A Practical Guide to Life after Your Degree</t>
  </si>
  <si>
    <t>Coaching to Solutions : A Manager's Tool Kit for Performance Delivery</t>
  </si>
  <si>
    <t>International Encyclopedia of Hospitality Management</t>
  </si>
  <si>
    <t>ISO 14001 Environmental Certification Step by Step : Revised Edition</t>
  </si>
  <si>
    <t>Butterworth-Heinemann</t>
  </si>
  <si>
    <t>Business Law in the Global Market Place : The Effects on International Business</t>
  </si>
  <si>
    <t>International Cultural Tourism : Management, Implications and Cases</t>
  </si>
  <si>
    <t>Quality Tourism Experiences</t>
  </si>
  <si>
    <t>Painter IX Creativity : Digital Artists Handbook</t>
  </si>
  <si>
    <t>Brand New Justice : How Branding Places and Products Can Help the Developing World</t>
  </si>
  <si>
    <t>Underwater Photographer : Digital and Traditional Techniques</t>
  </si>
  <si>
    <t>Quality and Operations Management</t>
  </si>
  <si>
    <t>Programming with Quartz : 2D and PDF Graphics in Mac OS X</t>
  </si>
  <si>
    <t>Morgan Kaufmann</t>
  </si>
  <si>
    <t>ISO 9000 Quality Systems Handbook</t>
  </si>
  <si>
    <t>Teaching Photography : Tools for the Imaging Educator</t>
  </si>
  <si>
    <t>Accounting in a Nutshell : Accounting for the non-specialist</t>
  </si>
  <si>
    <t>Building a Values-Driven Organization : A Whole System Approach to Cultural Transformation</t>
  </si>
  <si>
    <t>Emotion and Reason in Consumer Behavior</t>
  </si>
  <si>
    <t>Managing People and Organizations in Changing Contexts</t>
  </si>
  <si>
    <t>Fredric Jameson : A Critical Reader</t>
  </si>
  <si>
    <t>How Not to Come Second : The Art of Winning Business Pitches</t>
  </si>
  <si>
    <t>Cyan Communications</t>
  </si>
  <si>
    <t>Cyan Books</t>
  </si>
  <si>
    <t>Introduction to Project Finance</t>
  </si>
  <si>
    <t>Introduction to Marketing Concepts</t>
  </si>
  <si>
    <t>Hedge Fund Investment Management</t>
  </si>
  <si>
    <t>Economics of Recreation, Leisure and Tourism</t>
  </si>
  <si>
    <t>Tapestry Conservation: Principles and Practice</t>
  </si>
  <si>
    <t>Geotourism : Sustainability, Impacts and Management</t>
  </si>
  <si>
    <t>Making Marketing Happen : How Great Companies Make Strategic Planning Work</t>
  </si>
  <si>
    <t>Heritage Marketing</t>
  </si>
  <si>
    <t>Practical Financial Modelling : A Guide to Current Practice</t>
  </si>
  <si>
    <t>Management of Event Operations : Management of Event Operations</t>
  </si>
  <si>
    <t>Leadership Training</t>
  </si>
  <si>
    <t>Customer Service Training</t>
  </si>
  <si>
    <t>New Employee Orientation Training</t>
  </si>
  <si>
    <t>Leading Change Training</t>
  </si>
  <si>
    <t>New Supervisor Training</t>
  </si>
  <si>
    <t>Mindfulness-Based Treatment Approaches : Clinician's Guide to Evidence Base and Applications</t>
  </si>
  <si>
    <t>Cruise Operations Management</t>
  </si>
  <si>
    <t>Administering Special Education : In Pursuit of Dignity and Autonomy</t>
  </si>
  <si>
    <t>JAI Press Inc.</t>
  </si>
  <si>
    <t>Learning to Think Strategically</t>
  </si>
  <si>
    <t>Human Resource Management in the Hospitality Industry : An Introductory Guide</t>
  </si>
  <si>
    <t>Accounting and Financial Analysis in the Hospitality Industry</t>
  </si>
  <si>
    <t>Digital Collage and Painting</t>
  </si>
  <si>
    <t>Introducing Information Management : The Business Approach</t>
  </si>
  <si>
    <t>ISO 9001:2000 Audit Procedures</t>
  </si>
  <si>
    <t>Developing and Maintaining a Design-Tech Portfolio</t>
  </si>
  <si>
    <t>Marketing Due Diligence : Reconnecting Strategy to Share Price</t>
  </si>
  <si>
    <t>Mobile Marketing : Achieving Competitive Advantage Through Wireless Technology</t>
  </si>
  <si>
    <t>Coaching : Evoking Excellence in Others</t>
  </si>
  <si>
    <t>Handbook of Computational Economics : Agent-Based Computational Economics</t>
  </si>
  <si>
    <t>North Holland</t>
  </si>
  <si>
    <t>Focused Issue on Managing Knowledge Assets and Organizational Learning</t>
  </si>
  <si>
    <t>Handbook of Economic Forecasting</t>
  </si>
  <si>
    <t>Dazzle 'Em with Style : The Art of Oral Scientific Presentation</t>
  </si>
  <si>
    <t>IFRS, Fair Value and Corporate Governance : The Impact on Budgets, Balance Sheets and Management Accounts</t>
  </si>
  <si>
    <t>Managing World Heritage Sites</t>
  </si>
  <si>
    <t>Introduction to Financial Technology</t>
  </si>
  <si>
    <t>Essentials of Lean Six Sigma</t>
  </si>
  <si>
    <t>Corporate Reputations, Branding and People Management : A Strategic Approach to HR</t>
  </si>
  <si>
    <t>Risk Management for IT Projects : How to Deal with over 150 Issues and Risks</t>
  </si>
  <si>
    <t>Managing Markets and Customers</t>
  </si>
  <si>
    <t>Enterprise Planning and Development : Small Business and Enterprise Start-up Survival and Growth</t>
  </si>
  <si>
    <t>The Impact of Comparative Education Research on Institutional Theory</t>
  </si>
  <si>
    <t>Ultimate Classroom Control Handbook</t>
  </si>
  <si>
    <t>Contrastive Analysis in Language : Identifying Linguistic Units of Comparison</t>
  </si>
  <si>
    <t>Environmental Management and Decision Making for Business</t>
  </si>
  <si>
    <t>Peace and Security Across the Taiwan Strait</t>
  </si>
  <si>
    <t>Teaching, Technology, Textuality : Approaches to New Media</t>
  </si>
  <si>
    <t>Technology Transfer Via Foreign Direct Investment in Central and Eastern Europe : Theory, Method of Research and Empirical Evidence</t>
  </si>
  <si>
    <t>From Text to Literature : New Analytic and Pragmatic Approaches</t>
  </si>
  <si>
    <t>The Politics of Childhood : International Perspectives, Contemporary Developments</t>
  </si>
  <si>
    <t>Understanding Change : Models, Methodologies and Metaphors</t>
  </si>
  <si>
    <t>Principles of European Constitutional Law</t>
  </si>
  <si>
    <t>Hart Publishing Limited</t>
  </si>
  <si>
    <t>Hart Publishing</t>
  </si>
  <si>
    <t>A Global Ethic for Global Politics and Economics</t>
  </si>
  <si>
    <t>A Historical Guide to Edgar Allan Poe</t>
  </si>
  <si>
    <t>A Historical Guide to Nathaniel Hawthorne</t>
  </si>
  <si>
    <t>Theory of Ellipsis</t>
  </si>
  <si>
    <t>Acts of Naming : The Family Plot in Fiction</t>
  </si>
  <si>
    <t>American Madonna : Images of the Divine Woman in Literary Culture</t>
  </si>
  <si>
    <t>Analytical Studies in World Music : includes CD</t>
  </si>
  <si>
    <t>Breaking Robert's Rules : The New Way to Run Your Meeting, Build Consensus, and Get Results</t>
  </si>
  <si>
    <t>Buddha in the Crown : Avalokitesvara in the Buddhist Traditions of Sri Lanka</t>
  </si>
  <si>
    <t>Causation and Persistence : A Theory of Causation</t>
  </si>
  <si>
    <t>Chomsky's Minimalism</t>
  </si>
  <si>
    <t>Classical Form : A Theory of Formal Functions for the Instrumental Music of Haydn, Mozart, and Beethoven</t>
  </si>
  <si>
    <t>Codes and Consequences : Choosing Linguistic Varieties</t>
  </si>
  <si>
    <t>Cognition and Emotion</t>
  </si>
  <si>
    <t>Cognitive Foundations of Grammar</t>
  </si>
  <si>
    <t>Comparative Syntax of the Balkan Languages</t>
  </si>
  <si>
    <t>PC's, Phones, and the Internet : Domesticating Information Technology</t>
  </si>
  <si>
    <t>Coping with Aging</t>
  </si>
  <si>
    <t>Critical Architecture and Contemporary Culture</t>
  </si>
  <si>
    <t>University of California Humanities Research Institute</t>
  </si>
  <si>
    <t>Cross-Cultural Encounters and Conflicts</t>
  </si>
  <si>
    <t>Dance Anecdotes : Stories from the Worlds of Ballet, Broadway, the Ballroom, and Modern Dance</t>
  </si>
  <si>
    <t>Duns Scotus</t>
  </si>
  <si>
    <t>Dynamic Economics : Optimization by the Lagrange Method</t>
  </si>
  <si>
    <t>Eclecticism and Modern Hindu Discourse</t>
  </si>
  <si>
    <t>Evaluation in Social Work : The Art and Science of Practice</t>
  </si>
  <si>
    <t>Face, Harmony, and Social Structure : An Analysis of Organizational Behavior Across Cultures</t>
  </si>
  <si>
    <t>Figurative Language and Thought</t>
  </si>
  <si>
    <t>Foundations of Evidence-Based Social Work Practice : Process and Practice in Action</t>
  </si>
  <si>
    <t>Handbook of Adult Development and Learning : A Handbook of Theory, Research, and Practice</t>
  </si>
  <si>
    <t>Handbook of Social Work in Health and Aging</t>
  </si>
  <si>
    <t>Infotopia : How Many Minds Produce Knowledge</t>
  </si>
  <si>
    <t>Integrating Mission and Strategy for Nonprofit Organizations</t>
  </si>
  <si>
    <t>Islamic Da`wah in the West : Muslim Missionary Activity and the Dynamics of Conversion to Islam</t>
  </si>
  <si>
    <t>Judgments over Time : The Interplay of Thoughts, Feelings, and Behaviors</t>
  </si>
  <si>
    <t>Language in Time : The Rhythm and Tempo of Spoken Interaction</t>
  </si>
  <si>
    <t>Law 101 : Everything You Need to Know about the American Legal System</t>
  </si>
  <si>
    <t>Limits to Parallel Computation : P-Completeness Theory</t>
  </si>
  <si>
    <t>Literary Culture and U.S Imperialism : From the Revolution to World War II</t>
  </si>
  <si>
    <t>Schooling the Rustbelt Kids : Making the Difference in Changing Times</t>
  </si>
  <si>
    <t>101 Ways to Advertise Your Business</t>
  </si>
  <si>
    <t>101 Ways to Really Satisfy Your Customers</t>
  </si>
  <si>
    <t>Expertise in Second Language Learning and Teaching</t>
  </si>
  <si>
    <t>Animation</t>
  </si>
  <si>
    <t>Pocket Essentials</t>
  </si>
  <si>
    <t>Future Directions in Distance Learning and Communication Technologies</t>
  </si>
  <si>
    <t>Verification, Validation and Testing in Software Engineering</t>
  </si>
  <si>
    <t>Globalized E-Learning Cultural Challenges : Cultural Challenges</t>
  </si>
  <si>
    <t>Supply Chain Management : Issues in the New Era of Collaboration and Competition</t>
  </si>
  <si>
    <t>Information Communication Technologies and Emerging Business Strategies</t>
  </si>
  <si>
    <t>Integrating Security and Software Engineering : Advances and Future Vision</t>
  </si>
  <si>
    <t>Flexible Learning in an Information Society</t>
  </si>
  <si>
    <t>Handbook of Research on Electronic Surveys and Measurements</t>
  </si>
  <si>
    <t>Diseases &amp; Disorders - A Nursing Therapeutic Manual : A Nursing Therapeutic Manual</t>
  </si>
  <si>
    <t>Career Success Strategies for Nurse Educators</t>
  </si>
  <si>
    <t>People, Land, and Water : Participatory Development Communication for Natural Resource Management</t>
  </si>
  <si>
    <t>Mozart's Da Ponte Operas : The Marriage of Figaro, Don Giovanni, Cosi fan tutte</t>
  </si>
  <si>
    <t>MENC Handbook of Musical Cognition and Development</t>
  </si>
  <si>
    <t>Microeconomics : Optimization, Experiments, and Behavior</t>
  </si>
  <si>
    <t>Models for Intensive Longitudinal Data</t>
  </si>
  <si>
    <t>Muslim Women in America : The Challenge of Islamic Identity Today</t>
  </si>
  <si>
    <t>My Way : Essays on Moral Responsibility</t>
  </si>
  <si>
    <t>Play = Learning : How Play Motivates and Enhances Children's Cognitive and Social-Emotional Growth</t>
  </si>
  <si>
    <t>Reasoning Practically</t>
  </si>
  <si>
    <t>Rebellious Nuns : The Troubled History of a Mexican Convent, 1752-1863</t>
  </si>
  <si>
    <t>Rite Out of Place : Ritual, Media, and the Arts</t>
  </si>
  <si>
    <t>Ritual : Perspectives and Dimensions</t>
  </si>
  <si>
    <t>Sensational Designs : The Cultural Work of American Fiction, 1790-1860</t>
  </si>
  <si>
    <t>Sign Language Interpreting and Interpreter Education : Directions for Research and Practice</t>
  </si>
  <si>
    <t>Stochastic Dynamic Macroeconomics : Theory and Empirical Evidence</t>
  </si>
  <si>
    <t>Talk Is Cheap : Sarcasm, Alienation, and the Evolution of Language</t>
  </si>
  <si>
    <t>The Accidental Investment Banker : Inside the Decade That Transformed Wall Street</t>
  </si>
  <si>
    <t>Coupling Convention : Sex, Text, and Tradition in Black Women's Fiction</t>
  </si>
  <si>
    <t>The Faces of the Goddess</t>
  </si>
  <si>
    <t>The Flesh Made Word : Female Figures and Women's Bodies</t>
  </si>
  <si>
    <t>The Invisible God : The Earliest Christians on Art</t>
  </si>
  <si>
    <t>Psychology of Writing</t>
  </si>
  <si>
    <t>The Resilient City : How Modern Cities Recover from Disaster</t>
  </si>
  <si>
    <t>What's It All About? : Philosophy and the Meaning of Life</t>
  </si>
  <si>
    <t>World Christianity and Marxism</t>
  </si>
  <si>
    <t>Popular Choice and Managed Democracy : The Russian Elections of 1999 and 2000</t>
  </si>
  <si>
    <t>Educating Citizens : International Perspectives on Civic Values and School Choice</t>
  </si>
  <si>
    <t>British or American English? : A Handbook of Word and Grammar Patterns</t>
  </si>
  <si>
    <t>The Constitutionalist Revolution : An Essay on the History of England, 1450–1642</t>
  </si>
  <si>
    <t>Brazil since 1980</t>
  </si>
  <si>
    <t>Lean Evolution : Lessons from the Workplace</t>
  </si>
  <si>
    <t>Socratic Virtue : Making the Best of the Neither-Good-Nor-Bad</t>
  </si>
  <si>
    <t>Global e-commerce : Impacts of National Environment and Policy</t>
  </si>
  <si>
    <t>Medical Malpractice and the U.S. Health Care System</t>
  </si>
  <si>
    <t>Evolutionary Ethics and Contemporary Biology</t>
  </si>
  <si>
    <t>The Cambridge Introduction to Jane Austen</t>
  </si>
  <si>
    <t>Subjects and Universal Grammar : An Explanatory Theory</t>
  </si>
  <si>
    <t>Planning Algorithms</t>
  </si>
  <si>
    <t>Action Learning, Leadership and Organizational Development in Public Services</t>
  </si>
  <si>
    <t>American Pacificism : Oceania in the U. S. Imagination</t>
  </si>
  <si>
    <t>An Introduction to Philosophy of Education</t>
  </si>
  <si>
    <t>Architecture in Words : Theatre, Language and the Sensuous Space of Architecture</t>
  </si>
  <si>
    <t>Assessing Skills and Practice</t>
  </si>
  <si>
    <t>Assessment and Measurement of Regional Integration</t>
  </si>
  <si>
    <t>Children and Young People Who Sexually Abuse Others : Current Developments and Practice Responses</t>
  </si>
  <si>
    <t>China As the World Factory</t>
  </si>
  <si>
    <t>Chinese: an Essential Grammar</t>
  </si>
  <si>
    <t>Clusters and Regional Development : Critical Reflections and Explorations</t>
  </si>
  <si>
    <t>Communication in Construction Teams</t>
  </si>
  <si>
    <t>Companion to the European Union</t>
  </si>
  <si>
    <t>Concrete Mix Design, Quality Control and Specification</t>
  </si>
  <si>
    <t>Contemporary Environmental Politics : From Margins to Mainstream</t>
  </si>
  <si>
    <t>Corporate Strategy : A Feminist Perspective</t>
  </si>
  <si>
    <t>Critical Issues in Contemporary China</t>
  </si>
  <si>
    <t>Democratisation, Governance and Regionalism in East and Southeast Asia : A Comparative Study</t>
  </si>
  <si>
    <t>Early Mystics in Turkish Literature</t>
  </si>
  <si>
    <t>Entrepreneurship and Dynamics in the Knowledge Economy</t>
  </si>
  <si>
    <t>Environmental Management for Sustainable Development</t>
  </si>
  <si>
    <t>Ethics and the Market : Insights from Social Economics</t>
  </si>
  <si>
    <t>European Union and the Making of a Wider Northern Europe</t>
  </si>
  <si>
    <t>Food, Morals and Meaning : The Pleasure and Anxiety of Eating</t>
  </si>
  <si>
    <t>Geography of Transport Systems</t>
  </si>
  <si>
    <t>Human Relationship Skills : Coaching and Self-Coaching</t>
  </si>
  <si>
    <t>Introducing Electronic Text Analysis : A Practical Guide for Language and Literary Studies</t>
  </si>
  <si>
    <t>Introducing Sociolinguistics</t>
  </si>
  <si>
    <t>Introduction to Geopolitics : Tensions, Conflicts and Resolutions</t>
  </si>
  <si>
    <t>Investigating Media Discourse</t>
  </si>
  <si>
    <t>Investigating Workplace Discourse</t>
  </si>
  <si>
    <t>Japan on Display : Photography and the Emperor</t>
  </si>
  <si>
    <t>Judson Dance Theater : Performative Traces</t>
  </si>
  <si>
    <t>Key Debates in New Political Economy</t>
  </si>
  <si>
    <t>Learning Cities, Learning Regions, Learning Communities : Lifelong Learning and Local Government</t>
  </si>
  <si>
    <t>Managing IT Outsourcing : Governance in Global Partnerships</t>
  </si>
  <si>
    <t>Mining and Its Impact on the Environment</t>
  </si>
  <si>
    <t>Money and Exchange : Folktales and Reality</t>
  </si>
  <si>
    <t>Money and Markets : Essays in Honor of Leland B. Yeager</t>
  </si>
  <si>
    <t>Nationalisms in Japan</t>
  </si>
  <si>
    <t>New Departures in Marxian Theory</t>
  </si>
  <si>
    <t>Overcoming Barriers to Student Understanding : Threshold Concepts and Troublesome Knowledge</t>
  </si>
  <si>
    <t>Party Politics in Taiwan : Party Change and the Democratic Evolution of Taiwan, 1991-2004</t>
  </si>
  <si>
    <t>Person-Centred Therapy : A Clinical Philosophy</t>
  </si>
  <si>
    <t>Primitive : Original Matters in Architecture</t>
  </si>
  <si>
    <t>Race, Culture, and Education : The Selected Works of James A. Banks</t>
  </si>
  <si>
    <t>Regional Development in the Knowledge Economy</t>
  </si>
  <si>
    <t>Romantic Representations of British India</t>
  </si>
  <si>
    <t>School Inspection and Self-Evaluation : Working with the New Relationship</t>
  </si>
  <si>
    <t>Shakespeare, Authority, Sexuality : Unfinished Business in Cultural Materialism</t>
  </si>
  <si>
    <t>Strategies for Sustainable Architecture</t>
  </si>
  <si>
    <t>The Chinese Particle Le : Discourse Construction and Pragmatic Marking in Chinese</t>
  </si>
  <si>
    <t>Urban Design Futures</t>
  </si>
  <si>
    <t>The United States Contested : American Unilateralism and European Discontent</t>
  </si>
  <si>
    <t>The United States in World History</t>
  </si>
  <si>
    <t>Translation and Identity</t>
  </si>
  <si>
    <t>Understanding Macroeconomic Theory</t>
  </si>
  <si>
    <t>Measuring Risk Aversion</t>
  </si>
  <si>
    <t>Now Publishers Inc</t>
  </si>
  <si>
    <t>90-Minute College Major Matcher : Choose Your Best Major for a Great Career</t>
  </si>
  <si>
    <t>Top 100 Computer and Technical Careers : Your Complete Guidebook to Major Jobs in Many Fields at All Training Levels</t>
  </si>
  <si>
    <t>Carbon Nanomaterials : Second Edition</t>
  </si>
  <si>
    <t>Nanotubes and Nanofibers</t>
  </si>
  <si>
    <t>Innovation Through Collaboration : Innovation Through Collaboration</t>
  </si>
  <si>
    <t>Performance Measurement and Management Control : Improving Organizations and Society</t>
  </si>
  <si>
    <t>Hutchinson Dictionary of World History</t>
  </si>
  <si>
    <t>Chinese Women Writers and the Feminist Imagination, 1905-1948</t>
  </si>
  <si>
    <t>Religion in the Media Age</t>
  </si>
  <si>
    <t>An Introduction to Sustainable Development</t>
  </si>
  <si>
    <t>The Routledge Companion to Sociolinguistics</t>
  </si>
  <si>
    <t>Culture and Development in a Globalizing World : Geographies, Actors and Paradigms</t>
  </si>
  <si>
    <t>Cold War Literature : Writing the Global Conflict</t>
  </si>
  <si>
    <t>Planning at the Landscape Scale</t>
  </si>
  <si>
    <t>Tourism, Religion and Spiritual Journeys</t>
  </si>
  <si>
    <t>Interactions in Online Education : Implications for Theory and Practice</t>
  </si>
  <si>
    <t>Urban Sound Environment</t>
  </si>
  <si>
    <t>Representing the Other in Modern Japanese Literature : A Critical Approach</t>
  </si>
  <si>
    <t>Selling Rights</t>
  </si>
  <si>
    <t>Developing Creativity in Higher Education : An Imaginative Curriculum</t>
  </si>
  <si>
    <t>Decolonizing Cultures in the Pacific : Reading History and Trauma in Contemporary Fiction</t>
  </si>
  <si>
    <t>Examples in Structural Analysis</t>
  </si>
  <si>
    <t>Academic Writing : A Handbook for International Students</t>
  </si>
  <si>
    <t>Creating Child Friendly Cities : New Perspectives and Prospects</t>
  </si>
  <si>
    <t>Educational Design Research</t>
  </si>
  <si>
    <t>Constructing a Mind : A New Base for Psychoanalytic Theory</t>
  </si>
  <si>
    <t>Aggression and Destructiveness : Psychoanalytic Perspectives</t>
  </si>
  <si>
    <t>Brain Injury Treatment : Theories and Practices</t>
  </si>
  <si>
    <t>Living and Studying Abroad : Research and Practice</t>
  </si>
  <si>
    <t>Cultural Tourism in a Changing World : Politics, Participation and (Re)presentation</t>
  </si>
  <si>
    <t>Managing Translation Services</t>
  </si>
  <si>
    <t>Tourism in the Middle East : Continuity, Change and Transformation</t>
  </si>
  <si>
    <t>Festivals, Tourism and Social Change : Remaking Worlds</t>
  </si>
  <si>
    <t>Education for Intercultural Citizenship : Concepts and Comparisons</t>
  </si>
  <si>
    <t>Language Planning and Policy in the Pacific, Vol 1 : Fiji, The Philippines, and Vanuatu</t>
  </si>
  <si>
    <t>Matched Sampling for Causal Effects</t>
  </si>
  <si>
    <t>Force: Dynamic Life Drawing for Animators</t>
  </si>
  <si>
    <t>Handbook of the Economics of Art and Culture</t>
  </si>
  <si>
    <t>On Camera : How To Report, Anchor &amp; Interview</t>
  </si>
  <si>
    <t>Reinventing Lean : Introducing Lean Management into the Supply Chain</t>
  </si>
  <si>
    <t>Scene Painting Projects for Theatre</t>
  </si>
  <si>
    <t>Scenic Design and Lighting Techniques : A Basic Guide for Theatre</t>
  </si>
  <si>
    <t>The Director's Idea : The Path to Great Directing</t>
  </si>
  <si>
    <t>The Cambridge Introduction to W.B. Yeats</t>
  </si>
  <si>
    <t>Language and Ethnicity</t>
  </si>
  <si>
    <t>Grammars of Space : Explorations in Cognitive Diversity</t>
  </si>
  <si>
    <t>Science and Policy in Natural Resource Management : Understanding System Complexity</t>
  </si>
  <si>
    <t>The New Law and Economic Development : A Critical Appraisal</t>
  </si>
  <si>
    <t>Don't Call It Sprawl : Metropolitan Structure in the 21st Century</t>
  </si>
  <si>
    <t>Toxic Torts : Science, Law and the Possibility of Justice</t>
  </si>
  <si>
    <t>The United Nations Development Programme : A Better Way?</t>
  </si>
  <si>
    <t>From Gutenberg to Google : Electronic Representations of Literary Texts</t>
  </si>
  <si>
    <t>Charging Ahead : The Growth and Regulation of Payment Card Markets around the World</t>
  </si>
  <si>
    <t>Language and the Internet</t>
  </si>
  <si>
    <t>Value Added Tax : A Comparative Approach</t>
  </si>
  <si>
    <t>The Limits of Leviathan : Contract Theory and the Enforcement of International Law</t>
  </si>
  <si>
    <t>International Law and its Others</t>
  </si>
  <si>
    <t>Christianization and Communication in Late Antiquity : John Chrysostom and his Congregation in Antioch</t>
  </si>
  <si>
    <t>The Constitution of Law : Legality in a Time of Emergency</t>
  </si>
  <si>
    <t>Law as a Means to an End : Threat to the Rule of Law</t>
  </si>
  <si>
    <t>Gear Geometry and Applied Theory</t>
  </si>
  <si>
    <t>The United States and the Rule of Law in International Affairs</t>
  </si>
  <si>
    <t>Literature, Nationalism, and Memory in Early Modern England and Wales</t>
  </si>
  <si>
    <t>Syngress Force Emerging Threat Analysis : From Mischief to Malicious</t>
  </si>
  <si>
    <t>Elsevier Science &amp; Technology Books</t>
  </si>
  <si>
    <t>Syngress</t>
  </si>
  <si>
    <t>Hack the Stack : Using Snort and Ethereal to Master the 8 Layers of an Insecure Network</t>
  </si>
  <si>
    <t>WarDriving and Wireless Penetration Testing</t>
  </si>
  <si>
    <t>NGO Accountability, Volume 19, Issue 3</t>
  </si>
  <si>
    <t>Consumer food safety information, Volume 108, Issue 9</t>
  </si>
  <si>
    <t>Benchmarking in Total Quality Management , Volume 13, Issue 4</t>
  </si>
  <si>
    <t>Corporate Responsibility and Competitiveness, Volume 6, Issue 4</t>
  </si>
  <si>
    <t>Corporate marketing, Volume 40, Issue 7\8 : Insights and integration drawn from corporate branding, identity, communication and visual identification</t>
  </si>
  <si>
    <t>Consumer empowerment, Volume 40, Issue 9\10 : Consumer Empowerment</t>
  </si>
  <si>
    <t>Supply chain management theory and practice, Volume 26, Issue 7 : The emergence of an academic discipline?</t>
  </si>
  <si>
    <t>agile supply chain, Volume 36, Issue 6</t>
  </si>
  <si>
    <t>Contingencies of Performance Measurement in the Public Sector, Volume 55, Issue 6</t>
  </si>
  <si>
    <t>Applying transdisciplinary case studies as a means of organizing sustainability learning, Volume 7, Issue 3</t>
  </si>
  <si>
    <t>Issues and advances in international marketing research, Volume 23, Issue 4</t>
  </si>
  <si>
    <t>New perspectives on international entrepreneurship, Volume 23, Issue 5</t>
  </si>
  <si>
    <t>Next generation mobile telecommunications networks, Volume 8, Issue 4 : Challenges to the Nordic ICT industries</t>
  </si>
  <si>
    <t>Critical Research in Information Systems, Volume 19, Issue 3</t>
  </si>
  <si>
    <t>Beginning the principalship - international views, Volume 44, Issue 4 : International Views</t>
  </si>
  <si>
    <t>social question (Part 1), Volume 33, Issue 3</t>
  </si>
  <si>
    <t>social question (Part 2), Volume 33, Issue 4</t>
  </si>
  <si>
    <t>e-Technology and Manufacturing Enterprise Competitiveness     , Volume 17, Issue 6</t>
  </si>
  <si>
    <t>Paradoxes in Management, Volume 19, Issue 4</t>
  </si>
  <si>
    <t>Space and Time and Organization Change, Volume 19, Issue 5</t>
  </si>
  <si>
    <t>Evidence-based librarianship, Volume 24, Issue 3</t>
  </si>
  <si>
    <t>Management innovation and library services, part 1, Volume 27, Issue 6\7</t>
  </si>
  <si>
    <t>Sustainable construction, Volume 17, Issue 5 : Action for sustainability in the Mediterranean region</t>
  </si>
  <si>
    <t>Cash flow estimation practices in Mediterranean countries, Volume 32, Issue 8</t>
  </si>
  <si>
    <t>Risk Management, Volume 32, Issue 9</t>
  </si>
  <si>
    <t>Marketing to China in China and from China, Volume 24, Issue 4</t>
  </si>
  <si>
    <t>Global trends and challenges in services, Volume 16, Issue 4</t>
  </si>
  <si>
    <t>Reciprocity within organizations, Volume 35, Issue 5</t>
  </si>
  <si>
    <t>New directions in the HRM Function, Volume 35, Issue 6</t>
  </si>
  <si>
    <t>Facilitating Organizational Learning &amp; KM, Volume 13, Issue 6</t>
  </si>
  <si>
    <t>Traditions in World Cinema</t>
  </si>
  <si>
    <t>Music and Youth Culture</t>
  </si>
  <si>
    <t>Screening Shakespeare in the Twenty-First Century</t>
  </si>
  <si>
    <t>Diaspora Criticism</t>
  </si>
  <si>
    <t>Disinventing and Reconstituting Languages</t>
  </si>
  <si>
    <t>Learning the Arts of Linguistic Survival : Languaging, Tourism, Life</t>
  </si>
  <si>
    <t>Thomas Mann's Death in Venice : A Reference Guide</t>
  </si>
  <si>
    <t>Using Internet Primary Sources to Teach Critical Thinking Skills in Visual Arts : Using Internet Primary Sources to Teach Critical Thinking Skills in Visual Arts</t>
  </si>
  <si>
    <t>Libraries Unlimited</t>
  </si>
  <si>
    <t>Wireshark and Ethereal Network Protocol Analyzer Toolkit</t>
  </si>
  <si>
    <t>Language and Social Relations</t>
  </si>
  <si>
    <t>Presidentialism, Parliamentarism, and Democracy</t>
  </si>
  <si>
    <t>The Politics of Patriotism : English Liberalism, National Identity and Europe, 1830–1886</t>
  </si>
  <si>
    <t>Human-Machine Reconfigurations : Plans and Situated Actions</t>
  </si>
  <si>
    <t>Adaptive and Iterative Signal Processing in Communications</t>
  </si>
  <si>
    <t>Acting for Singers : Creating Believable Singing Characters</t>
  </si>
  <si>
    <t>Nature of Design : Ecology, Culture, and Human Intention</t>
  </si>
  <si>
    <t>Classic African American Women's Narratives</t>
  </si>
  <si>
    <t>The Limits of International Law</t>
  </si>
  <si>
    <t>A Leap in the Dark : The Struggle to Create the American Republic</t>
  </si>
  <si>
    <t>Woman Who Pretended to Be Who She Was : Myths of Self-imitation</t>
  </si>
  <si>
    <t>Community Practice : Theories and Skills for Social Workers</t>
  </si>
  <si>
    <t>Russian Identities : A Historical Survey</t>
  </si>
  <si>
    <t>A Historical Guide to Henry David Thoreau</t>
  </si>
  <si>
    <t>Handbook of Girls' and Women's Psychological Health</t>
  </si>
  <si>
    <t>A Historical Guide to Herman Melville</t>
  </si>
  <si>
    <t>Politicization of Islam : Reconstructing Identity, State, Faith and Community in the Late Ottoman State</t>
  </si>
  <si>
    <t>A Historical Guide to Emily Dickinson</t>
  </si>
  <si>
    <t>Beyond Talent : Creating a Successful Career in Music</t>
  </si>
  <si>
    <t>The Music of Everyday Speech : Prosody and Discourse Analysis</t>
  </si>
  <si>
    <t>Semantics : A Reader</t>
  </si>
  <si>
    <t>Origins of Democracy in Ancient Greece</t>
  </si>
  <si>
    <t>Cognitive Linguistics, Second Language Acquisition, and Foreign Language Teaching : Cognitive Linguistics, Second Language Acquisition, and Foreign Language Teaching</t>
  </si>
  <si>
    <t>De Gruyter, Inc.</t>
  </si>
  <si>
    <t>De Gruyter Mouton</t>
  </si>
  <si>
    <t>Aspects of the Theory of Morphology : Aspects of the Theory of Morphology</t>
  </si>
  <si>
    <t>500 Jahre Theologie in Hamburg : Hamburg Als Zentrum Christlicher Theologie und Kultur Zwischen Tradition und Zukunft; Mit Einem Verzeichnis Sämtlicher Promotionen der Theologischen Fakultät Hamburg</t>
  </si>
  <si>
    <t>The Grammar of the English Tense System : A Comprehensive Analysis</t>
  </si>
  <si>
    <t>Culture and Identity : Historicity in German Literature and Thought 1770-1815</t>
  </si>
  <si>
    <t>Cognitive Linguistics: Basic Readings</t>
  </si>
  <si>
    <t>Configuring Juniper Networks NetScreen and SSG Firewalls</t>
  </si>
  <si>
    <t>Google Talking</t>
  </si>
  <si>
    <t>Beyond Discipline : From Compliance to Community, 10th Anniversary Edition</t>
  </si>
  <si>
    <t>Association for Supervision &amp; Curriculum Development</t>
  </si>
  <si>
    <t>Building Learning Communities with Character : How to Integrate Academic, Social, and Emotional Learning</t>
  </si>
  <si>
    <t>ASCD</t>
  </si>
  <si>
    <t>Classroom Instruction That Works : Research-Based Strategies for Increasing Student Achievement</t>
  </si>
  <si>
    <t>Designing Personalized Learning for Every Student</t>
  </si>
  <si>
    <t>Differentiation in Practice: a Resource Guide for Differentiating Curriculum, Grades 5-9</t>
  </si>
  <si>
    <t>Differentiation in Practice: a Resource Guide for Differentiating Curriculum, Grades 9-12</t>
  </si>
  <si>
    <t>How to Solve Typical School Problems</t>
  </si>
  <si>
    <t>How to Thrive As a Teacher Leader</t>
  </si>
  <si>
    <t>In There with the Kids : Crafting Lessons That Connect with Students, 2nd Edition</t>
  </si>
  <si>
    <t>Inspiring Active Learning : A Complete Handbook for Today's Teachers</t>
  </si>
  <si>
    <t>Learning on Display : Student-Created Museums That Build Understanding</t>
  </si>
  <si>
    <t>The Essentials of Mathematics, K-6 : Effective Curriculum, Instruction, and Assessment (Priorities in Practice)</t>
  </si>
  <si>
    <t>The Essentials of Mathematics, Grades 7-12 : Effective Curriculum, Instruction, and Assessment (Priorities in Practice)</t>
  </si>
  <si>
    <t>Research-Based Strategies to Ignite Student Learning : Insights from a Neurologist and Classroom Teacher</t>
  </si>
  <si>
    <t>Results Now : How We Can Achieve Unprecedented Improvements in Teaching and Learning</t>
  </si>
  <si>
    <t>Supervision for Learning : A Performance-Based Approach to Teacher Development and School Improvement</t>
  </si>
  <si>
    <t>Teachers as Classroom Coaches : How to Motivate Students Across the Content Areas</t>
  </si>
  <si>
    <t>Brain-Compatible Classroom : Using What We Know About Learning to Improve Teaching</t>
  </si>
  <si>
    <t>Differentiated Classroom : Responding to the Needs of All Learners</t>
  </si>
  <si>
    <t>The Mathematics Program Improvement Review : A Comprehensive Evaluation Process for K-12 Schools</t>
  </si>
  <si>
    <t>Multiple Intelligences of Reading and Writing : Making the Words Come Alive</t>
  </si>
  <si>
    <t>New Basics : Education and the Future of Work in the Telematic Age</t>
  </si>
  <si>
    <t>Winning Strategies for Classroom Management : Ascd</t>
  </si>
  <si>
    <t>Barbary Corsairs : The End of a Legend 1800-1820</t>
  </si>
  <si>
    <t>Between Equal Rights : A Marxist Theory of International Law</t>
  </si>
  <si>
    <t>Building Jewish in the Roman East</t>
  </si>
  <si>
    <t>Central Eurasia in Global Politics : Conflict, Security, and Development, Second Edition</t>
  </si>
  <si>
    <t>China's Marine Legal System and the Law of the Sea</t>
  </si>
  <si>
    <t>Martinus Nijhoff</t>
  </si>
  <si>
    <t>Coalitions Between Terrorist Organizations : Revolutionaries, Nationalists and Islamists</t>
  </si>
  <si>
    <t>Cognition and the Book : Typologies of Formal Organisation of Knowledge in the Printed Book of the Early Modern Period</t>
  </si>
  <si>
    <t>Comparing Modernities : Pluralism Versus Homogenity. Essays in Homage to Shmuel N. Eisenstadt</t>
  </si>
  <si>
    <t>Construction Techniques in South and Southeast Asia : A History</t>
  </si>
  <si>
    <t>Dispute Resolution in Electronic Commerce</t>
  </si>
  <si>
    <t>Diverse Histories of American Sociology</t>
  </si>
  <si>
    <t>European Values at the Turn of the Millennium</t>
  </si>
  <si>
    <t>Historical Truth, Historical Criticism, and Ideology : Chinese Historiography and Historical Culture from a New Comparative Perspective</t>
  </si>
  <si>
    <t>History of Law in Japan since 1868</t>
  </si>
  <si>
    <t>Japan's Foreign Policy, 1945-2003 : The Quest for a Proactive Policy</t>
  </si>
  <si>
    <t>Local and Global : Social Transformation in Southeast Asia:Essays in Honour of Professor Syed Hussein Alatas</t>
  </si>
  <si>
    <t>Material Virtue : Ethics and the Body in Early China</t>
  </si>
  <si>
    <t>Mediaeval Manichaean Book Art : A Codicological Study of Iranian and Turkic Illuminated Book Fragments from 8th-11th Century East Central Asia</t>
  </si>
  <si>
    <t>Mongols, Turks, and Others : Eurasian Nomads and the Sedentary World</t>
  </si>
  <si>
    <t>Narrators, Narratees, and Narratives in Ancient Greek Literature : Studies in Ancient Greek Narrative, Volume One</t>
  </si>
  <si>
    <t>Officina Magica : Essays on the Practice of Magic in Antiquity</t>
  </si>
  <si>
    <t>Proceedings of the Boston Area Colloquium in Ancient Philosophy, Volume XX (2004)</t>
  </si>
  <si>
    <t>Religion and Politics : Cultural Perspectives</t>
  </si>
  <si>
    <t>Religion as a Profession</t>
  </si>
  <si>
    <t>Research in the Social Scientific Study of Religion, Volume 15</t>
  </si>
  <si>
    <t>Russia's Foreign Trade and Economic Expansion in the Seventeenth Century : Windows on the World</t>
  </si>
  <si>
    <t>Sogdian Traders : A History</t>
  </si>
  <si>
    <t>Southeast Asian Warfare, 1300-1900</t>
  </si>
  <si>
    <t>State, Market, and Religions in Chinese Societies</t>
  </si>
  <si>
    <t>Statelessness, Human Rights and Gender : Irregular Migrant Workers from Burma in Thailand</t>
  </si>
  <si>
    <t>Architecture of Imperialism : Military Bases and the Evolution of Foreign Policy in Egypt's New Kingdom</t>
  </si>
  <si>
    <t>The Art and Architecture of Thailand : From Prehistoric Times Through the Thirteenth Century</t>
  </si>
  <si>
    <t>Capitulations and the Ottoman Legal System : Qadis, Consuls and Beratlis in the 18th Century</t>
  </si>
  <si>
    <t>European Union and the Developing Countries : The Cotonou Agreement</t>
  </si>
  <si>
    <t>Expert Negotiator 2nd Edition</t>
  </si>
  <si>
    <t>Image of an Ottoman City : Imperial Architecture and Urban Experience in Aleppo in the 16th and 17th Centuries</t>
  </si>
  <si>
    <t>Maritime Political Boundaries of the World</t>
  </si>
  <si>
    <t>The Trajectory of Archaic Greek Trimeters</t>
  </si>
  <si>
    <t>Time and Mind : The History of a Philosophical Problem</t>
  </si>
  <si>
    <t>Transforming Globalization : Challenges and Opportunities in the Post 9/11 Era</t>
  </si>
  <si>
    <t>Virtue and Ethics in the Twelfth Century</t>
  </si>
  <si>
    <t>Becoming a Literacy Leader : Supporting Learning and Change</t>
  </si>
  <si>
    <t>Mechanically Inclined : Building Grammar, Usage, and Style into Writer's Workshop</t>
  </si>
  <si>
    <t>The Art of Teaching</t>
  </si>
  <si>
    <t>Ideology of Religious Studies</t>
  </si>
  <si>
    <t>Tibetan Assimilation of Buddhism : Conversion, Contestation and Memory</t>
  </si>
  <si>
    <t>Biography of a Subject : An Evolution of Development Economics</t>
  </si>
  <si>
    <t>Oedipus at Colonus</t>
  </si>
  <si>
    <t>Who Controls the Internet? : Illusions of a Borderless World</t>
  </si>
  <si>
    <t>How Buildings Work : The Natural Order of Architecture</t>
  </si>
  <si>
    <t>The New Buddhism : The Western Transformation of an Ancient Tradition</t>
  </si>
  <si>
    <t>Animal Anatomy for Artists : The Elements of Form</t>
  </si>
  <si>
    <t>Child Protection in America : Past, Present, and Future</t>
  </si>
  <si>
    <t>Elements of Psychophysical Theory</t>
  </si>
  <si>
    <t>On Our Mind : Salience, Context, and Figurative Language</t>
  </si>
  <si>
    <t>Why Language Matters for Theory of Mind</t>
  </si>
  <si>
    <t>Explaining Creativity : The Science of Human Innovation</t>
  </si>
  <si>
    <t>Himalayan Hermitess : The Life of a Tibetan Buddhist Nun</t>
  </si>
  <si>
    <t>Action Meets Word : How Children Learn Verbs</t>
  </si>
  <si>
    <t>Classroom Instruction That Works with English Language Learners</t>
  </si>
  <si>
    <t>The Shape of the New Europe</t>
  </si>
  <si>
    <t>Religion, Culture and Mental Health</t>
  </si>
  <si>
    <t>Cluster and Classification Techniques for the Biosciences</t>
  </si>
  <si>
    <t>Peak Power Control in Multicarrier Communications : With Applications in OFDM and DMT</t>
  </si>
  <si>
    <t>Changing White Attitudes toward Black Political Leadership</t>
  </si>
  <si>
    <t>Optimization Methods in Finance</t>
  </si>
  <si>
    <t>Standards and Public Policy</t>
  </si>
  <si>
    <t>Media Concentration and Democracy : Why Ownership Matters</t>
  </si>
  <si>
    <t>Race, Nationalism and the State in British and American Modernism</t>
  </si>
  <si>
    <t>MIMO Wireless Communications</t>
  </si>
  <si>
    <t>Color and Mastering for Digital Cinema</t>
  </si>
  <si>
    <t>Digital Restoration From Start to Finish : How to repair old and damaged photographs</t>
  </si>
  <si>
    <t>Filmmakers and Financing : Business Plans for Independents</t>
  </si>
  <si>
    <t>Getting Started with Digital Imaging : Tips, tools and techniques for photographers</t>
  </si>
  <si>
    <t>Handbook of Psycholinguistics</t>
  </si>
  <si>
    <t>Psychometrics : Psychometrics</t>
  </si>
  <si>
    <t>Info-Gap Decision Theory : Decisions under Severe Uncertainty</t>
  </si>
  <si>
    <t>Managing Tourism Crises : Tourism Crises</t>
  </si>
  <si>
    <t>Introducing Buddha : A Graphic Guide</t>
  </si>
  <si>
    <t>Icon Books</t>
  </si>
  <si>
    <t>New Cultural Studies : Adventures in Theory</t>
  </si>
  <si>
    <t>Nationalism and Ethnosymbolism : History, Culture and Ethnicity in the Formation of Nations</t>
  </si>
  <si>
    <t>Virginia Woolf's Novels and the Literary Past</t>
  </si>
  <si>
    <t>Australian Film : The Pocket Essential Guide</t>
  </si>
  <si>
    <t>Literary Theory : The Pocket Essential Guide</t>
  </si>
  <si>
    <t>Investigating Tasks in Formal Language Learning</t>
  </si>
  <si>
    <t>Multilingualism in European Bilingual Contexts : Language Use and Attitudes</t>
  </si>
  <si>
    <t>Cross-linguistic Similarity in Foreign Language Learning</t>
  </si>
  <si>
    <t>Input for Instructed L2 Learners : The Relevance of Relevance</t>
  </si>
  <si>
    <t>Bilingualism in International Schools : A Model for Enriching Language Education</t>
  </si>
  <si>
    <t>Tea and Tourism : Tourists, Traditions and Transformations</t>
  </si>
  <si>
    <t>Language and Identity in a Dual Immersion School</t>
  </si>
  <si>
    <t>Color Image Processing : Methods and Applications</t>
  </si>
  <si>
    <t>Modeling Phosphorus in the Environment</t>
  </si>
  <si>
    <t>Hard Disk Drive : Mechatronics and Control</t>
  </si>
  <si>
    <t>The Bureaucracy of Beauty : Design in the Age of Its Global Reproducibility</t>
  </si>
  <si>
    <t>Shift to the Future : Rethinking Learning with New Technologies in Education</t>
  </si>
  <si>
    <t>Control and Automation of Electrical Power Distribution Systems</t>
  </si>
  <si>
    <t>Handbook of Spices, Seasonings, and Flavorings</t>
  </si>
  <si>
    <t>J. R. R. Tolkien Encyclopedia : Scholarship and Critical Assessment</t>
  </si>
  <si>
    <t>Introduction to Modern Leadership</t>
  </si>
  <si>
    <t>Building a Brand</t>
  </si>
  <si>
    <t>Customer Relationship Management</t>
  </si>
  <si>
    <t>Data protection &amp; Consumer Privacy</t>
  </si>
  <si>
    <t>E-Commerce</t>
  </si>
  <si>
    <t>E-Learning for Business</t>
  </si>
  <si>
    <t>Growth Strategies</t>
  </si>
  <si>
    <t>Human Resource Development</t>
  </si>
  <si>
    <t>Implementing effective TQM</t>
  </si>
  <si>
    <t>Introduction to Knowledge Management</t>
  </si>
  <si>
    <t>Managing Change</t>
  </si>
  <si>
    <t>Managing Diversity</t>
  </si>
  <si>
    <t>Marketing in the 21st Century</t>
  </si>
  <si>
    <t>Markets &amp; Marketing</t>
  </si>
  <si>
    <t>Mergers &amp; Acquisitions</t>
  </si>
  <si>
    <t>Performance Measurement in the Public Sector</t>
  </si>
  <si>
    <t>Performance Measurement</t>
  </si>
  <si>
    <t>Service Quality</t>
  </si>
  <si>
    <t>Strategic Management</t>
  </si>
  <si>
    <t>Strategic Planning</t>
  </si>
  <si>
    <t>Stress Management</t>
  </si>
  <si>
    <t>Technology Strategies</t>
  </si>
  <si>
    <t>TQM and HRM  The Human Side to Quality : The Human Side to Quality</t>
  </si>
  <si>
    <t>Handbook of Business Strategy 2004, Volume 5, Issue 1</t>
  </si>
  <si>
    <t>Handbook of Business Strategy 2005, Volume 6, Issue 1</t>
  </si>
  <si>
    <t>Handbook of Business Strategy 2006, Volume 7, Issue 1</t>
  </si>
  <si>
    <t>Harm and Offence in Media Content : A Review of the Evidence</t>
  </si>
  <si>
    <t>Intellect</t>
  </si>
  <si>
    <t>Art, Technology, Consciousness : Mind@large</t>
  </si>
  <si>
    <t>Intellect Books Ltd</t>
  </si>
  <si>
    <t>Intellect Books</t>
  </si>
  <si>
    <t>Pop Fiction : The Song in Cinema</t>
  </si>
  <si>
    <t>Histories of Art and Design Education : Collected Essays</t>
  </si>
  <si>
    <t>Towards a Sustainable Information Society : Deconstructing WSIS</t>
  </si>
  <si>
    <t>Negotiating Spain and Catalonia : Competing Narratives of National Identity</t>
  </si>
  <si>
    <t>Genre Matters : Essays in Theory and Criticism</t>
  </si>
  <si>
    <t>Architectures of Illusion : From Motion Pictures to Navigable Interactive Environments</t>
  </si>
  <si>
    <t>Surface : land/water and the visual arts symposium 2004</t>
  </si>
  <si>
    <t>Cultural Quarters : Principles and Practice</t>
  </si>
  <si>
    <t>Art Education in a Postmodern World : Collected Essays</t>
  </si>
  <si>
    <t>Understanding the Global TV Format</t>
  </si>
  <si>
    <t>The Future of Art in a Digital Age : From Hellenistic to Hebraic Consciousness</t>
  </si>
  <si>
    <t>Reclaiming the Media : Communication Rights and Democratic Media Roles</t>
  </si>
  <si>
    <t>Broadcasters and Citizens in Europe : Trends in Media Accountability and Viewer Participation</t>
  </si>
  <si>
    <t>Theatre and Consciousness : Explanatory Scope and Future Potential</t>
  </si>
  <si>
    <t>Advanced Structural Materials : Properties, Design Optimization, and Applications</t>
  </si>
  <si>
    <t>Applied Pyrolysis Handbook</t>
  </si>
  <si>
    <t>Bio-MEMS : Technologies and Applications</t>
  </si>
  <si>
    <t>Business Strategies for the Next-Generation Network</t>
  </si>
  <si>
    <t>Ceramic Interconnect Technology Handbook</t>
  </si>
  <si>
    <t>Gas Lasers</t>
  </si>
  <si>
    <t>Handbook of Technology Management in Public Administration</t>
  </si>
  <si>
    <t>Microcontroller Programming : The Microchip PIC</t>
  </si>
  <si>
    <t>Microwave Photonics</t>
  </si>
  <si>
    <t>Optical Waveguides : From Theory to Applied Technologies</t>
  </si>
  <si>
    <t>Plastics Technology Handbook, Fourth Edition</t>
  </si>
  <si>
    <t>Protective Relaying : Principles and Applications</t>
  </si>
  <si>
    <t>Renewable Resources and Renewable Energy : A Global Challenge, Second Edition</t>
  </si>
  <si>
    <t>Resource, Mobility, and Security Management in Wireless Networks and Mobile Communications</t>
  </si>
  <si>
    <t>RFID in the Supply Chain : A Guide to Selection and Implementation</t>
  </si>
  <si>
    <t>Solid-State Lasers and Applications</t>
  </si>
  <si>
    <t>Surfactants in Personal Care Products and Decorative Cosmetics</t>
  </si>
  <si>
    <t>The Chemistry and Technology of Petroleum</t>
  </si>
  <si>
    <t>The Handbook of Photonics</t>
  </si>
  <si>
    <t>The VLSI Handbook</t>
  </si>
  <si>
    <t>Understanding IPTV</t>
  </si>
  <si>
    <t>Wireless Mesh Networking : Architectures, Protocols and Standards</t>
  </si>
  <si>
    <t>Child Abuse and Family Law : Understanding the Issues Facing Human Service and Legal Professionals</t>
  </si>
  <si>
    <t>Theory of Remote Image Formation</t>
  </si>
  <si>
    <t>Christianity and Roman Society</t>
  </si>
  <si>
    <t>Corporate Environmentalism and Public Policy</t>
  </si>
  <si>
    <t>Citizenship in Britain : Values, Participation and Democracy</t>
  </si>
  <si>
    <t>Designing Digital Computer Systems with Verilog</t>
  </si>
  <si>
    <t>Cultural Transformation and Religious Practice</t>
  </si>
  <si>
    <t>Crimes against Humanity : A Normative Account</t>
  </si>
  <si>
    <t>Ethnicity, Nationalism, and Minority Rights</t>
  </si>
  <si>
    <t>Family, Kinship, and Sympathy in Nineteenth-Century American Literature</t>
  </si>
  <si>
    <t>The Ascetic Self : Subjectivity, Memory and Tradition</t>
  </si>
  <si>
    <t>On the Rule of Law : History, Politics, Theory</t>
  </si>
  <si>
    <t>The Economics of Information Technology : An Introduction</t>
  </si>
  <si>
    <t>Building an EU Securities Market</t>
  </si>
  <si>
    <t>Blogging, Citizenship, and the Future of Media</t>
  </si>
  <si>
    <t>Nursing Health Assessment : A Critical Thinking, Case Studies Approach</t>
  </si>
  <si>
    <t>Radio Station : Broadcast, Satellite &amp; Internet</t>
  </si>
  <si>
    <t>Fashion Marketing : Contemporary Issues</t>
  </si>
  <si>
    <t>Recruiting, Retaining and Promoting Culturally Different Employees</t>
  </si>
  <si>
    <t>International Media Studies</t>
  </si>
  <si>
    <t>Modernist Literature : Challenging Fictions</t>
  </si>
  <si>
    <t>Blackwell Publishing Ltd.</t>
  </si>
  <si>
    <t>Evaluating Sustainable Development : In the Built Environment</t>
  </si>
  <si>
    <t>God and Morality : A Philosophical History</t>
  </si>
  <si>
    <t>Managing Risk : In Construction Projects</t>
  </si>
  <si>
    <t>The Matter of the Mind : Philosophical Essays on Psychology, Neuroscience and Reduction</t>
  </si>
  <si>
    <t>Blackwell Handbook of Language Development</t>
  </si>
  <si>
    <t>A Companion to Roman Rhetoric</t>
  </si>
  <si>
    <t>A Companion to Shakespeare's Sonnets</t>
  </si>
  <si>
    <t>A Companion to Phenomenology and Existentialism</t>
  </si>
  <si>
    <t>All in a Day's Work : Careers Using Science</t>
  </si>
  <si>
    <t>The Scripture on Great Peace : The Taiping Jing and the Beginnings of Daoism</t>
  </si>
  <si>
    <t>WHO Resource Book on Mental Health, Human Rights and Legislation</t>
  </si>
  <si>
    <t>World Health Organization</t>
  </si>
  <si>
    <t>Guidelines for Safe Recreational Water Environments, Volume 1 : Coastal and fresh waters</t>
  </si>
  <si>
    <t>Health effects of transport-related air pollution</t>
  </si>
  <si>
    <t>HIV transmission through breastfeeding : A Review of Available Evidence</t>
  </si>
  <si>
    <t>Evaluation of Certain Food Additives : sixty-fifth report of the Joint FAO/WHO Expert Committee on Food Additives</t>
  </si>
  <si>
    <t>Evaluation of Certain Food Contaminants : Sixty-fourth Report of the Joint FAO/WHO Expert Committee on Food Additives</t>
  </si>
  <si>
    <t>Mental Health - Facing the Challenges, Building Solutions : report from the WHO European Ministerial Conference</t>
  </si>
  <si>
    <t>World Health Organization Regional Office for Europe</t>
  </si>
  <si>
    <t>Wireless Crime and Forensic Investigation</t>
  </si>
  <si>
    <t>Handbook of Transportation Policy and Administration</t>
  </si>
  <si>
    <t>Choctaw Nation : A Story of American Indian Resurgence</t>
  </si>
  <si>
    <t>University of Nebraska Press</t>
  </si>
  <si>
    <t>Bison Books</t>
  </si>
  <si>
    <t>Cowboy Girl : The Life of Caroline Lockhart</t>
  </si>
  <si>
    <t>Encyclopedia of the Great Plains Indians</t>
  </si>
  <si>
    <t>Extraordinary Anthropology : Transformations in the Field</t>
  </si>
  <si>
    <t>Into That Silent Sea : Trailblazers of the Space Era, 1961-1965</t>
  </si>
  <si>
    <t>Madah-Sartre : The Kidnapping, Trial, and Conver(sat/s)ion of Jean-Paul Sartre and Simone de Beauvoir</t>
  </si>
  <si>
    <t>UNP - Nebraska</t>
  </si>
  <si>
    <t>Silence Is Death : The Life and Work of Tahar Djaout</t>
  </si>
  <si>
    <t>A Workman Is Worthy of His Meat : Food and Colonialism in the Gabon Estuary</t>
  </si>
  <si>
    <t>Film, Drama and the Break Up of Britain</t>
  </si>
  <si>
    <t>Beginner's Guide to Broadband and Wireless Internet</t>
  </si>
  <si>
    <t>Academic Library and Information Services : New paradigms for the digital age</t>
  </si>
  <si>
    <t>international investigation into "gender inequality" in science, technology, engineering and mathematics (STEM)</t>
  </si>
  <si>
    <t>Messages from the Taiwan Stock Exchange</t>
  </si>
  <si>
    <t>Real Estate Investing</t>
  </si>
  <si>
    <t>TERENA Conference 2006</t>
  </si>
  <si>
    <t>Environmental Protest and the State in France</t>
  </si>
  <si>
    <t>Language, Nation and Power : An Introduction</t>
  </si>
  <si>
    <t>Republican Principles in International Law : The Fundamental Requirements of a Just World Order</t>
  </si>
  <si>
    <t>Women's Theatre Writing in Victorian Britain</t>
  </si>
  <si>
    <t>Documentary Storytelling : Making Stronger and More Dramatic Nonfiction Films</t>
  </si>
  <si>
    <t>Security Operations Management</t>
  </si>
  <si>
    <t>Electronic Media Law and Regulation</t>
  </si>
  <si>
    <t>A Practical Guide to Costume Mounting</t>
  </si>
  <si>
    <t>On Becoming a Consumer : Development of Consumer Behavior Patterns in Childhood</t>
  </si>
  <si>
    <t>Doing Multicultural Education for Achievement and Equity</t>
  </si>
  <si>
    <t>Beyond Quality in Early Childhood Education and Care : Languages of Evaluation</t>
  </si>
  <si>
    <t>Doing More with Life : Connecting Christian Higher Education to a Call to Service</t>
  </si>
  <si>
    <t>Baylor University Press</t>
  </si>
  <si>
    <t>Southeast Asia : An Environmental History</t>
  </si>
  <si>
    <t>Internet and Society : A Reference Handbook</t>
  </si>
  <si>
    <t>A Short History of Japan : From Samurai to Sony</t>
  </si>
  <si>
    <t>Adventure Tourism : The New Frontier</t>
  </si>
  <si>
    <t>Atlas of Travel and Tourism Development</t>
  </si>
  <si>
    <t>Changing Direction: a Practical Approach to Directing Actors in Film and Theatre</t>
  </si>
  <si>
    <t>Character Costume Figure Drawing : Step-by-Step Drawing Methods for Theatre Costume Designers</t>
  </si>
  <si>
    <t>Electronic Media Management, Revised</t>
  </si>
  <si>
    <t>Forensic DNA Typing : Biology, Technology, and Genetics of STR Markers</t>
  </si>
  <si>
    <t>Mergers and Acquisitions Security : Corporate Restructuring and Security Management</t>
  </si>
  <si>
    <t>New Product Development : From Initial Idea to Product Management</t>
  </si>
  <si>
    <t>PC Audio Editing with Adobe Audition 2.0 : Broadcast, desktop and CD audio production</t>
  </si>
  <si>
    <t>Dance Music Manual : Tools, Toys and Techniques</t>
  </si>
  <si>
    <t>Understanding Digital Cinema : A Professional Handbook</t>
  </si>
  <si>
    <t>Global Governance Reform : Breaking the Stalemate</t>
  </si>
  <si>
    <t>Global Non-Proliferation and Counter-Terrorism : The Impact of UNSCR 1540</t>
  </si>
  <si>
    <t>Rising Star : China's New Security Diplomacy</t>
  </si>
  <si>
    <t>Toward an East Asian Exchange Rate Regime</t>
  </si>
  <si>
    <t>Ancient Letters and the New Testament : A Guide to Context and Exegesis</t>
  </si>
  <si>
    <t>Critical Issues in American Religious History : A Reader</t>
  </si>
  <si>
    <t>Cultivating Picturacy : Visual Art and Verbal Interventions</t>
  </si>
  <si>
    <t>Freedom's Distant Shores : American Protestants and Post-Colonial Alliances with Africa</t>
  </si>
  <si>
    <t>Jesus and His Death : Historiography, the Historical Jesus, and Atonement Theory</t>
  </si>
  <si>
    <t>Let Her Speak for Herself : Nineteenth-Century Women Writing on Women in Genesis</t>
  </si>
  <si>
    <t>Shakespeare's Christianity : The Protestant and Catholic Poetics of Julius Caesar, Macbeth, and Hamlet</t>
  </si>
  <si>
    <t>Gift of Story : Narrating Hope in a Postmodern World</t>
  </si>
  <si>
    <t>The Grammar of Our Civility : Classical Education in America</t>
  </si>
  <si>
    <t>A Glossary of Historical Linguistics</t>
  </si>
  <si>
    <t>European Cinemas in the Television Age</t>
  </si>
  <si>
    <t>Islamic Political Radicalism : A European Perspective</t>
  </si>
  <si>
    <t>Literature and Nation in the Middle East</t>
  </si>
  <si>
    <t>EUP</t>
  </si>
  <si>
    <t>The American Counterculture</t>
  </si>
  <si>
    <t>The American Western</t>
  </si>
  <si>
    <t>Victoriana - Histories, Fictions, Criticism : Histories, Fictions, Criticism</t>
  </si>
  <si>
    <t>Contemporary Cultural Theory</t>
  </si>
  <si>
    <t>Advanced Quantitative Data Analysis</t>
  </si>
  <si>
    <t>McGraw-Hill Education</t>
  </si>
  <si>
    <t>Open University Press</t>
  </si>
  <si>
    <t>Ageing Well : Quality of Life in Old Age</t>
  </si>
  <si>
    <t>Children Writing Stories</t>
  </si>
  <si>
    <t>Classroom Interactions in Literacy</t>
  </si>
  <si>
    <t>Combining Methods in Educational  and Social Research</t>
  </si>
  <si>
    <t>Conscious and Unconscious : The Latent, the Disowned, the Dissociated and the Unknown</t>
  </si>
  <si>
    <t>Culture on Display</t>
  </si>
  <si>
    <t>Developing Leadership : Creating the Schools of Tomorrow</t>
  </si>
  <si>
    <t>Engaging the Curriculum in Higher Education</t>
  </si>
  <si>
    <t>Ethical Research with Children</t>
  </si>
  <si>
    <t>Game Cultures : Computer Games As New Media</t>
  </si>
  <si>
    <t>Gender and Ageing : Changing Roles and Relationships</t>
  </si>
  <si>
    <t>Ordinary Lifestyles : Popular Media, Consumption and Taste</t>
  </si>
  <si>
    <t>Promoting Children's Learning from Birth to Five</t>
  </si>
  <si>
    <t>Research Interviewing : The Range of Techniques</t>
  </si>
  <si>
    <t>Ethical Teacher</t>
  </si>
  <si>
    <t>Directing and Producing for Television : A Format Approach</t>
  </si>
  <si>
    <t>Quality Management Essentials</t>
  </si>
  <si>
    <t>High-Technology Crime Investigator's Handbook : Establishing and Managing a High-Technology Crime Prevention Program</t>
  </si>
  <si>
    <t>International Business : A Global Perspective</t>
  </si>
  <si>
    <t>A Lawyer's Handbook for Enforcing Foreign Judgments in the United States and Abroad</t>
  </si>
  <si>
    <t>Case Study Research : Principles and Practices</t>
  </si>
  <si>
    <t>China's Republic</t>
  </si>
  <si>
    <t>Electromagnetics for High-Speed Analog and Digital Communication Circuits</t>
  </si>
  <si>
    <t>Evaluating Scientific Evidence : An Interdisciplinary Framework for Intellectual Due Process</t>
  </si>
  <si>
    <t>Geometric Spanner Networks</t>
  </si>
  <si>
    <t>Modernism and World War II</t>
  </si>
  <si>
    <t>Molecular Models for Fluids</t>
  </si>
  <si>
    <t>Nonlinear Analysis and Semilinear Elliptic Problems</t>
  </si>
  <si>
    <t>Seabed Fluid Flow : The Impact on Geology, Biology and the Marine Environment</t>
  </si>
  <si>
    <t>The Ethics of Modernism : Moral Ideas in Yeats, Eliot, Joyce, Woolf and Beckett</t>
  </si>
  <si>
    <t>The European Convention on Human Rights : Achievements, Problems and Prospects</t>
  </si>
  <si>
    <t>Waves in Oceanic and Coastal Waters</t>
  </si>
  <si>
    <t>Global Remix</t>
  </si>
  <si>
    <t>Creating a Trading Floor : The Project Manager's Guide to the Design, Construction and Launch of Trading Floors and Data Centres</t>
  </si>
  <si>
    <t>Leader's Guide to Lateral Thinking Skills : Unlocking the Creativity and Innovation in Yourself and Your Team</t>
  </si>
  <si>
    <t>The Connected Leader : Creating Agile Organizations for People Performance and Profit</t>
  </si>
  <si>
    <t>Leadership &amp; Motivation</t>
  </si>
  <si>
    <t>Introduction to Market &amp; Social Research</t>
  </si>
  <si>
    <t>Project Management Disasters</t>
  </si>
  <si>
    <t>A Common Law Theory of Judicial Review : The Living Tree</t>
  </si>
  <si>
    <t>A Distributed Pi-Calculus</t>
  </si>
  <si>
    <t>A Handbook of Ancient Religions</t>
  </si>
  <si>
    <t>An International Approach to the Interpretation of the United Nations Convention on Contracts for the International Sale of Goods (1980) as Uniform Sales Law</t>
  </si>
  <si>
    <t>Divinity and Humanity : The Incarnation Reconsidered</t>
  </si>
  <si>
    <t>Group Dynamics and Emotional Expression</t>
  </si>
  <si>
    <t>Kant and the Power of Imagination</t>
  </si>
  <si>
    <t>Learning Theory : An Approximation Theory Viewpoint</t>
  </si>
  <si>
    <t>Networks : Optimisation and Evolution</t>
  </si>
  <si>
    <t>Peirce's Theory of Signs</t>
  </si>
  <si>
    <t>Proclus: Commentary on Plato's Timaeus: Volume 1, Book 1: Proclus on the Socratic State and Atlantis</t>
  </si>
  <si>
    <t>Racial Diversity and Social Capital : Equality and Community in America</t>
  </si>
  <si>
    <t>The Cambridge Introduction to Emily Dickinson</t>
  </si>
  <si>
    <t>The Cambridge Introduction to Ezra Pound</t>
  </si>
  <si>
    <t>The Cambridge Introduction to F. Scott Fitzgerald</t>
  </si>
  <si>
    <t>The Cambridge Introduction to Harriet Beecher Stowe</t>
  </si>
  <si>
    <t>The Cambridge Introduction to Herman Melville</t>
  </si>
  <si>
    <t>The Cambridge Introduction to Mark Twain</t>
  </si>
  <si>
    <t>The Cambridge Introduction to Nathaniel Hawthorne</t>
  </si>
  <si>
    <t>The Cambridge Introduction to Shakespeare</t>
  </si>
  <si>
    <t>The Cambridge Introduction to Shakespeare's Tragedies</t>
  </si>
  <si>
    <t>The Cambridge Introduction to Walt Whitman</t>
  </si>
  <si>
    <t>The Nature of Customary Law : Legal, Historical and Philosophical Perspectives</t>
  </si>
  <si>
    <t>International Business Negotiations</t>
  </si>
  <si>
    <t>Pergamon Press</t>
  </si>
  <si>
    <t>Artificial Intelligence for Games</t>
  </si>
  <si>
    <t>The Methods and Materials of Demography : Condensed Edition</t>
  </si>
  <si>
    <t>Academic Press Inc.</t>
  </si>
  <si>
    <t>Radio Production</t>
  </si>
  <si>
    <t>Art Direction Handbook for Film</t>
  </si>
  <si>
    <t>Media Promotion and Marketing for Broadcasting, Cable and the Internet</t>
  </si>
  <si>
    <t>The Employment Relationship: Key Challenges for HR</t>
  </si>
  <si>
    <t>Improving Efficiency</t>
  </si>
  <si>
    <t>Information in Management</t>
  </si>
  <si>
    <t>Quantitative Methods for Business : The A to Z of QM</t>
  </si>
  <si>
    <t>Arts Marketing</t>
  </si>
  <si>
    <t>Business Success Through Service Excellence</t>
  </si>
  <si>
    <t>Managing Finance : A Socially Responsible Approach</t>
  </si>
  <si>
    <t>Leadership : Project and Human Capital Management</t>
  </si>
  <si>
    <t>Introducing Leadership</t>
  </si>
  <si>
    <t>Funds of Hedge Funds : Performance, Assessment, Diversification, and Statistical Properties</t>
  </si>
  <si>
    <t>Researching the Culture in Agri-Culture : Social Research for International Agricultural Development</t>
  </si>
  <si>
    <t>CABI</t>
  </si>
  <si>
    <t>CAB International</t>
  </si>
  <si>
    <t>The Problem of Assessment in Art and Design</t>
  </si>
  <si>
    <t>Videogames and Art</t>
  </si>
  <si>
    <t>Nutrition and Fitness : Obesity, the Metabolic Syndrome, Cardiovascular Disease and Cancer</t>
  </si>
  <si>
    <t>S. Karger AG</t>
  </si>
  <si>
    <t>Biofunctional Textiles and the Skin</t>
  </si>
  <si>
    <t>Protein and Energy Requirements in Infancy and Childhood : 58th NestlÃ© Nutrition Workshop, Pediatric Program, Ho Chi Minh, November 2005</t>
  </si>
  <si>
    <t>Wireless Ad Hoc Networking : Personal-Area, Local-Area, and the Sensory-Area Networks</t>
  </si>
  <si>
    <t>Fish Diseases and Disorders, Volume 1 : Protozoan and Metazoan Infections</t>
  </si>
  <si>
    <t>Integrated Food Safety and Veterinary Public Health</t>
  </si>
  <si>
    <t>Monitoring for a Sustainable Tourism Transition : The Challenge of Developing and Using Indicators</t>
  </si>
  <si>
    <t>Starter Packs : A Strategy to Fight Hunger in Developing and Transition Countries?</t>
  </si>
  <si>
    <t>Tilapia Culture</t>
  </si>
  <si>
    <t>Tourism Behaviour : Travellers' Decisions and Actions</t>
  </si>
  <si>
    <t>Tourism SME's, Service Quality and Destination Competitiveness</t>
  </si>
  <si>
    <t>Food Sovereignty and Uncultivated Biodiversity in South Asia : Essays on the Poverty of Food Policy and the Wealth of the Social Landscape</t>
  </si>
  <si>
    <t>Journey Across the Life Span : Human Development and Health Promotion</t>
  </si>
  <si>
    <t>Nursing Leadership and Management : Theories Processes and Practice</t>
  </si>
  <si>
    <t>Activating the Desire to Learn</t>
  </si>
  <si>
    <t>Getting Started with English Language Learners : How Educators Can Meet the Challenge</t>
  </si>
  <si>
    <t>Qualities of Effective Teachers</t>
  </si>
  <si>
    <t>Enhancing Professional Practice : A Framework for Teaching</t>
  </si>
  <si>
    <t>The Best Schools : How Human Development Research Should Inform Educational Practice</t>
  </si>
  <si>
    <t>Land Use Change in Tropical Watersheds : Causes, Consequences and Policy Options</t>
  </si>
  <si>
    <t>Development with Identity : Community, Culture and Sustainability in the Andes</t>
  </si>
  <si>
    <t>Tourism Research Methods : Integrating Theory with Practice</t>
  </si>
  <si>
    <t>Managing Tourism and Hositality Services : Theory and International Applications</t>
  </si>
  <si>
    <t>Cruise Ship Tourism</t>
  </si>
  <si>
    <t>WTO Negotiations and Agricultural Trade Liberalization : The Effect of Developed Countries' Policies on Developing Countries</t>
  </si>
  <si>
    <t>Tourism and Welfare : Ethics, Responsibility and Sustainable Well-Being</t>
  </si>
  <si>
    <t>Environment and Livelihoods in Tropical Coastal Zones : Managing Agriculture- Fishery- Aquaculture Conflicts</t>
  </si>
  <si>
    <t>Tourism in the New Europe : The Challenges and Opportunities of EU Enlargement</t>
  </si>
  <si>
    <t>Indigenous Ecotourism : Sustainable Development and Management</t>
  </si>
  <si>
    <t>Tourism in the Peripheries : Perspectives from the Far North and South</t>
  </si>
  <si>
    <t>Vegetable Brassicas and Related Crucifers : Crop Production Science in Horticulture Series, No.14</t>
  </si>
  <si>
    <t>Advances in hospitality management research</t>
  </si>
  <si>
    <t>Digital reference service</t>
  </si>
  <si>
    <t>Enterprise systems integration and management</t>
  </si>
  <si>
    <t>Grey systems theory and applications</t>
  </si>
  <si>
    <t>Information systems evaluation : getting closer to the organization</t>
  </si>
  <si>
    <t>Real time/concurrent knowledge</t>
  </si>
  <si>
    <t>Second generation e-learning : serious games</t>
  </si>
  <si>
    <t>Selected papers from the 25th McMaster World Congress on Intellectual Capital and Innovation, McMaster University, Ontario, Canada</t>
  </si>
  <si>
    <t>Textile design and engineering of fibrous materials</t>
  </si>
  <si>
    <t>Global Supply Chains Standards and the Poor : How the Globalization of Food Systems and Standards Affects Rural Development and Poverty</t>
  </si>
  <si>
    <t>China's Livestock Revolution Agribusiness and Policy Developments in the Sheep Meat Industry : Agribusiness and Policy Developments in the Sheep Meat Sector</t>
  </si>
  <si>
    <t>Ecologically-Based Integrated Pest Management</t>
  </si>
  <si>
    <t>Transfrontier Conservation in Africa At the Confluence of Capital, Politics and Nature : At the Confluence of Capital, Politics and Nature</t>
  </si>
  <si>
    <t>Sustainable Forestry : From Monitoring and Modelling to Knowledge Management and Policy Science</t>
  </si>
  <si>
    <t>Greenhouse Gas Sinks</t>
  </si>
  <si>
    <t>Agricultural Groundwater Revolution : Volume 3 in the 'Comprehensive Assessment of Water Management in Agriculture' series</t>
  </si>
  <si>
    <t>Tourism, Culture and Regeneration</t>
  </si>
  <si>
    <t>Architecting the Telecommunication Evolution : Toward Converged Network Services</t>
  </si>
  <si>
    <t>Security in Sensor Networks</t>
  </si>
  <si>
    <t>Marriage Contracts from Chaucer to the Renaissance Stage</t>
  </si>
  <si>
    <t>UPF</t>
  </si>
  <si>
    <t>University Press of Florida</t>
  </si>
  <si>
    <t>Handbook for Teacher Research</t>
  </si>
  <si>
    <t>Action for Social Justice in Education : Fairly Different</t>
  </si>
  <si>
    <t>Beginning Primary Teaching : Moving Beyond Survival</t>
  </si>
  <si>
    <t>Disseminating Qualitative Research in Educational Settings</t>
  </si>
  <si>
    <t>Early Childhood Studies : A Multiprofessional Perspective</t>
  </si>
  <si>
    <t>Media Talk : Conversation Analysis and the Study of Broadcasting</t>
  </si>
  <si>
    <t>Perspectives on Global Culture</t>
  </si>
  <si>
    <t>Play Culture in a Changing World</t>
  </si>
  <si>
    <t>Principles of Social Research</t>
  </si>
  <si>
    <t>Reflections on Research : The Realities of Doing Research in the Social Sciences</t>
  </si>
  <si>
    <t>Student-Friendly Guide : Write Great Essays!</t>
  </si>
  <si>
    <t>McGraw-Hill Professional Publishing</t>
  </si>
  <si>
    <t>War, Conflict and Play</t>
  </si>
  <si>
    <t>Parent to Parent : Information and Inspiration for Parents Dealing with Autism and Asperger's Syndrome</t>
  </si>
  <si>
    <t>Jessica Kingsley Publishers</t>
  </si>
  <si>
    <t>Becoming a Reflexive Researcher - Using Our Selves in Research : Using Our Selves in Research</t>
  </si>
  <si>
    <t>Understanding Your One-Year-Old</t>
  </si>
  <si>
    <t>Help for the Child with Asperger's Syndrome : A Parent's Guide to Negotiating the Social Service Maze</t>
  </si>
  <si>
    <t>Social Work and Evidence-Based Practice</t>
  </si>
  <si>
    <t>Roots of Musicality : Music Therapy and Personal Development</t>
  </si>
  <si>
    <t>Pre-Schoolers with Autism : An Education and Skills Training Programme for Parents</t>
  </si>
  <si>
    <t>Social Work Theories in Action</t>
  </si>
  <si>
    <t>Authentic Relationships in Group Care for Infants and Toddlers - Resources for Infant Educarers (RIE) Principles into Practice</t>
  </si>
  <si>
    <t>Personal Hygiene? What's That Got to Do with Me?</t>
  </si>
  <si>
    <t>My Son Fred--Living with Autism : How Could You Manage? I Couldn't, I Did It Anyway</t>
  </si>
  <si>
    <t>Understanding Your Three-Year-Old</t>
  </si>
  <si>
    <t>Specialist Support Approaches to Autism Spectrum Disorder Students in Mainstream Settings</t>
  </si>
  <si>
    <t>Understanding 12-14-year-olds</t>
  </si>
  <si>
    <t>Deinstitutionalization and People with Intellectual Disabilities : In and Out of Institutions</t>
  </si>
  <si>
    <t>Narrative Identities : Psychologists Engaged in Self-Construction</t>
  </si>
  <si>
    <t>Special Brothers and Sisters : Stories and Tips for Siblings of Children with a Disability or Serious Illness</t>
  </si>
  <si>
    <t>Teaching Children with Autism and Related Spectrum Disorders : An Art and a Science</t>
  </si>
  <si>
    <t>Constructive Campaigning for Autism Services : The PACE Parents' Handbook</t>
  </si>
  <si>
    <t>The Pampered Child Syndrome : How to Recognize It, How to Manage It, and How to Avoid It : a Guide for Parents and Professionals</t>
  </si>
  <si>
    <t>Safeguarding and Promoting the Well-Being of Children, Families and Their Communities</t>
  </si>
  <si>
    <t>New Perspectives on Bullying</t>
  </si>
  <si>
    <t>Information and Communication Technologies in the Welfare Services</t>
  </si>
  <si>
    <t>Parenting a Child with Asperger Syndrome : 200 Tips and Strategies</t>
  </si>
  <si>
    <t>Multicoloured Mayhem : Parenting the Many Shades of Adolescence, Autism, Asperger Syndrome and Ad/Hd</t>
  </si>
  <si>
    <t>Classroom Tales : Using Storytelling to Build Emotional, Social and Academic Skills Across the Primary Curriculum</t>
  </si>
  <si>
    <t>Culture and Child Protection : Reflexive Responses</t>
  </si>
  <si>
    <t>Achieving Best Behavior for Children with Developmental Disabilities : A Step-By-Step Workbook for Parents and Carers</t>
  </si>
  <si>
    <t>Different Like Me : My Book of Autism Heroes</t>
  </si>
  <si>
    <t>Family Support As Reflective Practice</t>
  </si>
  <si>
    <t>Domestic Violence and Child Protection : Directions for Good Practice</t>
  </si>
  <si>
    <t>Babies and Young Children in Care : Life Pathways, Decision-Making and Practice</t>
  </si>
  <si>
    <t>Working Ethics : How to Be Fair in a Culturally Complex World</t>
  </si>
  <si>
    <t>New Families, Old Scripts : A Guide to the Language of Trauma and Attachment in Adoptive Families</t>
  </si>
  <si>
    <t>Drama Therapy and Storymaking in Special Education</t>
  </si>
  <si>
    <t>Children with Seizures : A Guide for Parents, Teachers, and Other Professionals</t>
  </si>
  <si>
    <t>Why Do You Do That? : A Book about Tourette Syndrome for Children and Young People</t>
  </si>
  <si>
    <t>Sexuality and Fertility Issues in Ill Health and Disability : From Early Adolescence to Adulthood</t>
  </si>
  <si>
    <t>Autism, Access and Inclusion on the Front Line : Confessions of an Autism Anorak</t>
  </si>
  <si>
    <t>Parenting Across the Autism Spectrum : Unexpected Lessons We Have Learned</t>
  </si>
  <si>
    <t>The Social Play Record : A Toolkit for Assessing and Developing Social Play from Infancy to Adolescence</t>
  </si>
  <si>
    <t>Video Modelling and Behaviour Analysis : A Guide for Teaching Social Skills to Children with Autism</t>
  </si>
  <si>
    <t>Career Training and Personal Planning for Students with Autism Spectrum Disorders : A Practical Resource for Schools</t>
  </si>
  <si>
    <t>Making Sense of Spirituality in Nursing and Health Care Practice : An Interactive Approach</t>
  </si>
  <si>
    <t>The Autism Spectrum and Further Education : A Guide to Good Practice</t>
  </si>
  <si>
    <t>Dementia Care Training Manual for Staff Working in Nursing and Residential Settings</t>
  </si>
  <si>
    <t>Understanding 6-7-Year-Olds</t>
  </si>
  <si>
    <t>Algebra : Sets, Symbols, and the Language of Thought</t>
  </si>
  <si>
    <t>Infobase Learning</t>
  </si>
  <si>
    <t>Facts On File</t>
  </si>
  <si>
    <t>Pension Strategy for Canadians, The : The Ultimate Guide to Personal Investing</t>
  </si>
  <si>
    <t>Insomniac Press</t>
  </si>
  <si>
    <t>Canadian Retirement Guide : A Comprehensive Handbook on Aging, Retirement, Caregiving and Health</t>
  </si>
  <si>
    <t>Insomniac Library</t>
  </si>
  <si>
    <t>Buildings, Clothing, and Art : Buildings, Clothing, and Art</t>
  </si>
  <si>
    <t>Classical : Classical</t>
  </si>
  <si>
    <t>Country : Country</t>
  </si>
  <si>
    <t>Poets and Poems : Poets and Poems</t>
  </si>
  <si>
    <t>Chelsea House</t>
  </si>
  <si>
    <t>Probability and Statistics : The Science of Uncertainty</t>
  </si>
  <si>
    <t>Rhythm &amp; Blues, Rap, and Hip-Hop : Rhythm and Blues, Rap, and Hip-Hop</t>
  </si>
  <si>
    <t>Sexual Misconduct and the Clergy : Sexual Misconduct and the Clergy</t>
  </si>
  <si>
    <t>Teamwork Skills</t>
  </si>
  <si>
    <t>Ferguson Publishing</t>
  </si>
  <si>
    <t>Blues : Blues</t>
  </si>
  <si>
    <t>Counseling Adults in Transition : Linking Practices with Theory</t>
  </si>
  <si>
    <t>Springer Publishing Company</t>
  </si>
  <si>
    <t>Aging Network : Programs and Services</t>
  </si>
  <si>
    <t>The Encyclopedia of Aging : Fourth Edition, 2-Volume Set</t>
  </si>
  <si>
    <t>Consumer Voice and Choice in Long-term Care</t>
  </si>
  <si>
    <t>Women's Group Therapy : Creative Challenges and Options</t>
  </si>
  <si>
    <t>Theory of Adaptation</t>
  </si>
  <si>
    <t>Girls Make Media</t>
  </si>
  <si>
    <t>Microlithography : Science and Technology, Second Edition</t>
  </si>
  <si>
    <t>Parenting Beliefs, Behaviors, and Parent-Child Relations : A Cross-Cultural Perspective</t>
  </si>
  <si>
    <t>The Machine That Sings : Modernism, Hart Crane and the Culture of the Body</t>
  </si>
  <si>
    <t>Anna Halprin : Experience as Dance</t>
  </si>
  <si>
    <t>Discovering Orson Welles</t>
  </si>
  <si>
    <t>Why Classical Music Still Matters</t>
  </si>
  <si>
    <t>Active labour market policies and Unemployment</t>
  </si>
  <si>
    <t>African Real Estate Investment</t>
  </si>
  <si>
    <t>Benchmarking the Management of Operations and Information Systems</t>
  </si>
  <si>
    <t>British library and information schools : the research of the School of Information Management (MIC), London Metropolitan University</t>
  </si>
  <si>
    <t>Business Ethics from the Industrial Revolution to the 1960S</t>
  </si>
  <si>
    <t>Business-to-business marketing practices in China</t>
  </si>
  <si>
    <t>Careers in cross-cultural perspective</t>
  </si>
  <si>
    <t>Challenging business relationships</t>
  </si>
  <si>
    <t>Child and teen consumption</t>
  </si>
  <si>
    <t>Communities and Consumption</t>
  </si>
  <si>
    <t>Communities of Practice - one size fits all?</t>
  </si>
  <si>
    <t>Current themes and developments in hospitality management education</t>
  </si>
  <si>
    <t>Decision-making and Management Applications</t>
  </si>
  <si>
    <t>Developments in human observation methodologies</t>
  </si>
  <si>
    <t>e-Manufacturing towards Global Engineering</t>
  </si>
  <si>
    <t>European Financial Markets</t>
  </si>
  <si>
    <t>Focus on Growth</t>
  </si>
  <si>
    <t>Focus on markets and marketing</t>
  </si>
  <si>
    <t>Focus on strategic management</t>
  </si>
  <si>
    <t>Human Information Behavior</t>
  </si>
  <si>
    <t>Information ethics</t>
  </si>
  <si>
    <t>International library education</t>
  </si>
  <si>
    <t>Making Public-Service Telecommunications : Past and Present Challenges to Networked Information Infrastructures</t>
  </si>
  <si>
    <t>Malaysia Mutual Fund Performance</t>
  </si>
  <si>
    <t>Management innovation and library services, part 2</t>
  </si>
  <si>
    <t>Managing Risks with Derivatives</t>
  </si>
  <si>
    <t>Militarization and International Business</t>
  </si>
  <si>
    <t>Papers from the 18th NOFOMA conference held in Oslo, Norway, 2006</t>
  </si>
  <si>
    <t>Papers from the First European Workshop on Technological &amp; Security Issues in Digital Rights Management (EuDiRights’06)</t>
  </si>
  <si>
    <t>Payout Policy</t>
  </si>
  <si>
    <t>Qualitative Research in Finance</t>
  </si>
  <si>
    <t>Quality then, quality now : A 20 year retrospective</t>
  </si>
  <si>
    <t>Retail Property</t>
  </si>
  <si>
    <t>Selected papers from the 5th International PMA Conference, London, July 2006</t>
  </si>
  <si>
    <t>Survey Research in Finance</t>
  </si>
  <si>
    <t>marketing challenges within the enlarged single European Market</t>
  </si>
  <si>
    <t>Theory and Practice, Strategy and Sustainability</t>
  </si>
  <si>
    <t>Trade Unions and Employment Relations in the Context of Public Sector Change</t>
  </si>
  <si>
    <t>Eau, Terre Et Vie : La Communication Participative Pour Le Développement Appliquée À La Gestion Des Ressources Naturelles</t>
  </si>
  <si>
    <t>Centre de recherches pour le développement international</t>
  </si>
  <si>
    <t>CRDI</t>
  </si>
  <si>
    <t>Gender Justice, Citizenship, And Development</t>
  </si>
  <si>
    <t>Understanding Digital Cameras : Getting the Best Image from Capture to Output</t>
  </si>
  <si>
    <t>Alternative Scriptwriting : Successfully Breaking the Rules</t>
  </si>
  <si>
    <t>Television Sports Production</t>
  </si>
  <si>
    <t>The Changing World of the Trainer : Emerging Good Practice</t>
  </si>
  <si>
    <t>Sustainability at the Cutting Edge : Emerging Technologies for Low Energy Buildings</t>
  </si>
  <si>
    <t>Criteria and Indicators for Sustainable Forest Management, IUFRO Research Series, No. 7 : IUFRO Research Series, Number 7</t>
  </si>
  <si>
    <t>Forests in Sustainable Mountain Development, IUFRO Research Series, No. 5</t>
  </si>
  <si>
    <t>Leisure Education, Community Development and Populations with Special Needs</t>
  </si>
  <si>
    <t>Encyclopedia of Ecotourism</t>
  </si>
  <si>
    <t>Tourism and Development in Mountain Regions</t>
  </si>
  <si>
    <t>Beyond Mass Higher Education : Building on Experience</t>
  </si>
  <si>
    <t>E-Learning Groups and Communities</t>
  </si>
  <si>
    <t>Interactive Teaching in the Primary School : Digging Deeper into Meanings</t>
  </si>
  <si>
    <t>Media Discourses</t>
  </si>
  <si>
    <t>Modernity and Postmodern Culture</t>
  </si>
  <si>
    <t>Talking, Listening, Learning : Effective Talk in the Primary Classroom</t>
  </si>
  <si>
    <t>Teachers, Parents and Classroom Behaviour : A Psychosocial Approach</t>
  </si>
  <si>
    <t>Teaching Secondary School Literacies with ICT</t>
  </si>
  <si>
    <t>Animated Movie Guide : The Ultimate Illustrated Reference to Cartoon, Stop-Motion and Computer-Generated Feature Films</t>
  </si>
  <si>
    <t>Chicago Review Press</t>
  </si>
  <si>
    <t>Contested Christianity : The Political and Social Contexts of Victorian Theology</t>
  </si>
  <si>
    <t>Encyclopedia of Evangelicalism</t>
  </si>
  <si>
    <t>Growing Up : The History of Childhood in a Global Context</t>
  </si>
  <si>
    <t>Metaphor, Analogy and the Place of Places : Where Religion and Philosophy Meet</t>
  </si>
  <si>
    <t>Teaching As Believing : Faith in the University</t>
  </si>
  <si>
    <t>Deleuze, Cinema and National Identity : Narrative Time in National Contexts</t>
  </si>
  <si>
    <t>American Culture in the 1950s</t>
  </si>
  <si>
    <t>Feminist Philosophies A-Z</t>
  </si>
  <si>
    <t>Philosophy of Language A-Z</t>
  </si>
  <si>
    <t>American Culture in the 1980s</t>
  </si>
  <si>
    <t>The Linguistics Student's Handbook</t>
  </si>
  <si>
    <t>Coming of Age in Contemporary American Fiction</t>
  </si>
  <si>
    <t>Handmade Electronic Music : The Art of Hardware Hacking</t>
  </si>
  <si>
    <t>The Internet in China : Cyberspace and Civil Society</t>
  </si>
  <si>
    <t>Theory for Education : Adapted from Theory for Religious Studies, by William E. Deal and Timothy K. Beal</t>
  </si>
  <si>
    <t>Rethinking Technology : A Reader in Architectural Theory</t>
  </si>
  <si>
    <t>Art and Liberation : Collected Papers of Herbert Marcuse, Volume 4</t>
  </si>
  <si>
    <t>Adulthood</t>
  </si>
  <si>
    <t>Sport and Gender Identities : Masculinities, Femininities and Sexualities</t>
  </si>
  <si>
    <t>Multi-Media : Video - Installation - Performance</t>
  </si>
  <si>
    <t>Museum Texts : Comunication Frameworks</t>
  </si>
  <si>
    <t>Theorists of the Modernist Novel : James Joyce, Dorothy Richardson and Virginia Woolf</t>
  </si>
  <si>
    <t>American Theorists of the Novel : Henry James, Lionel Trilling and Wayne C. Booth</t>
  </si>
  <si>
    <t>The Environmental Brief : Pathways for Green Design</t>
  </si>
  <si>
    <t>Partnerships for Inclusive Education : A Critical Approach to Collaborative Working</t>
  </si>
  <si>
    <t>Routledge Philosophy GuideBook to Nietzsche on Art</t>
  </si>
  <si>
    <t>Language and Globalization</t>
  </si>
  <si>
    <t>Antonio Gramsci</t>
  </si>
  <si>
    <t>The Body in Question : A Socio-Cultural Approach</t>
  </si>
  <si>
    <t>Communication in Construction : Theory and Practice</t>
  </si>
  <si>
    <t>Sexuality in Adolescence : Current Trends</t>
  </si>
  <si>
    <t>Fifty Major Philosophers</t>
  </si>
  <si>
    <t>Ways of Reading : Advanced Reading Skills for Students of English Literature</t>
  </si>
  <si>
    <t>Media on the Move : Global Flow and Contra-Flow</t>
  </si>
  <si>
    <t>Globalization, Lifelong Learning and the Learning Society : Sociological Perspectives</t>
  </si>
  <si>
    <t>On Translation</t>
  </si>
  <si>
    <t>Foucault, Sport and Exercise : Power, Knowledge and Transforming the Self</t>
  </si>
  <si>
    <t>Political Conflict and Development in East Asia and Latin America</t>
  </si>
  <si>
    <t>Managing for Health</t>
  </si>
  <si>
    <t>The Economic Analysis of Terrorism</t>
  </si>
  <si>
    <t>Learning in Groups : A Handbook for Face-To-Face and Online Environments</t>
  </si>
  <si>
    <t>German: an Essential Grammar</t>
  </si>
  <si>
    <t>Theatre and Performance in Digital Culture : From Simulation to Embeddedness</t>
  </si>
  <si>
    <t>Globalization: the Key Concepts</t>
  </si>
  <si>
    <t>Philosophy of Psychology: Contemporary Readings</t>
  </si>
  <si>
    <t>Essential Creativity in the Classroom : Inspiring Kids</t>
  </si>
  <si>
    <t>Environmental Management in Construction : A Quantitative Approach</t>
  </si>
  <si>
    <t>Theories of Crime</t>
  </si>
  <si>
    <t>Crime Prevention and the Built Environment</t>
  </si>
  <si>
    <t>Money and Payments in Theory and Practice</t>
  </si>
  <si>
    <t>Environment and Social Theory</t>
  </si>
  <si>
    <t>A Question of Technique : Independent Psychoanalytic Approaches with Children and Adolescents</t>
  </si>
  <si>
    <t>Subcultures : Cultural Histories and Social Practice</t>
  </si>
  <si>
    <t>Hong Kong Film, Hollywood and New Global Cinema : No Film Is an Island</t>
  </si>
  <si>
    <t>China: a Guide to Economic and Political Developments</t>
  </si>
  <si>
    <t>Information and Communications Technologies in Society : E-Living in a Digital Europe</t>
  </si>
  <si>
    <t>Institutional Change in the Payments System and Monetary Policy</t>
  </si>
  <si>
    <t>Global Political Economy in the Information Age : Power and Inequality</t>
  </si>
  <si>
    <t>Rhetoric, Women and Politics in Early Modern England</t>
  </si>
  <si>
    <t>Fundamental Building Technology</t>
  </si>
  <si>
    <t>US Foreign Policy Since 1945</t>
  </si>
  <si>
    <t>Acoustics : An Introduction</t>
  </si>
  <si>
    <t>Teaching Physical Education to Children with Special Educational Needs</t>
  </si>
  <si>
    <t>Tax Systems and Tax Reforms in South and East Asia</t>
  </si>
  <si>
    <t>Buddhist Nuns in Taiwan and Sri Lanka : A Critique of the Feminist Perspective</t>
  </si>
  <si>
    <t>Innovation in the U. S. Service Sector</t>
  </si>
  <si>
    <t>Production Organizations in Japanese Economic Development</t>
  </si>
  <si>
    <t>Self-Surrender (prapatti) to God in Shrivaishnavism : Tamil Cats or Sanskrit Monkeys?</t>
  </si>
  <si>
    <t>China's Security Interests in the 21st Century</t>
  </si>
  <si>
    <t>Development Issues in Global Governance : Public-Private Partnerships and Market Multilateralism</t>
  </si>
  <si>
    <t>Ecotourism, NGOs and Development : A Critical Analysis</t>
  </si>
  <si>
    <t>What is this thing called Metaphysics?</t>
  </si>
  <si>
    <t>Human Resource Development in the Public Sector : The Case of Health and Social Care</t>
  </si>
  <si>
    <t>Concurrent Engineering in Construction Projects</t>
  </si>
  <si>
    <t>Speaking of Economics : How to Get in the Conversation</t>
  </si>
  <si>
    <t>Environmental Health Procedures</t>
  </si>
  <si>
    <t>Cultural Heritage Management in China : Preserving the Cities of the Pearl River Delta</t>
  </si>
  <si>
    <t>China and Africa : Engagement and Compromise</t>
  </si>
  <si>
    <t>Applied Health Economics</t>
  </si>
  <si>
    <t>Rethinking Assessment in Higher Education : Learning for the Longer Term</t>
  </si>
  <si>
    <t>The Capacity to Care : Gender and Ethical Subjectivity</t>
  </si>
  <si>
    <t>Revise Philosophy for AS Level</t>
  </si>
  <si>
    <t>Mediaeval Islamic Historiography and Political Legitimacy : Bal'ami's Tarikhnamah</t>
  </si>
  <si>
    <t>Peace and Security in the Postmodern World : The OSCE and Conflict Resolution</t>
  </si>
  <si>
    <t>Media in Hong Kong : Press Freedom and Political Change, 1967-2005</t>
  </si>
  <si>
    <t>Mediating Modernism : Architectural Cultures in Britain</t>
  </si>
  <si>
    <t>International Relations and Security in the Digital Age</t>
  </si>
  <si>
    <t>China's State Owned Enterprise Reforms : An Industrial and CEO Approach</t>
  </si>
  <si>
    <t>Gender and Education in China : Gender Discourses and Women's Schooling in the Early Twentieth Century</t>
  </si>
  <si>
    <t>Practical Guide to Teaching ICT in the Secondary School</t>
  </si>
  <si>
    <t>Teaching Assistant's Complete Guide to Achieving NVQ Level 2 : How To Meet Your Performance Indicators</t>
  </si>
  <si>
    <t>101 Ethical Dilemmas</t>
  </si>
  <si>
    <t>101 Philosophy Problems</t>
  </si>
  <si>
    <t>Monetary Policy in Central Europe</t>
  </si>
  <si>
    <t>Culture, Society and Sexuality : A Reader</t>
  </si>
  <si>
    <t>China and India : A Tale of Two Economies</t>
  </si>
  <si>
    <t>Theories of the Information Society</t>
  </si>
  <si>
    <t>Reading Renaissance Ethics</t>
  </si>
  <si>
    <t>Soil and Water Contamination : From Molecular to Catchment Scale</t>
  </si>
  <si>
    <t>Human Security and the Chinese State : Historical Transformations and the Modern Quest for Sovereignty</t>
  </si>
  <si>
    <t>Big Business and Economic Development : Conglomerates and Economic Groups in Developing Countries and Transition Economies under Globalisation</t>
  </si>
  <si>
    <t>Changing Educational Contexts, Issues and Identities : 40 Years of Comparative Education</t>
  </si>
  <si>
    <t>Social Costs and Public Action in Modern Capitalism : Essays Inspired by Karl William Kapp's Theory of Social Costs</t>
  </si>
  <si>
    <t>The Global Korean Motor Industry : The Hyundai Motor Company's Global Strategy</t>
  </si>
  <si>
    <t>The Structure of Financial Regulation</t>
  </si>
  <si>
    <t>China Watching : Perspectives from Europe, Japan and the United States</t>
  </si>
  <si>
    <t>Virtual Learning Environments : Using, Choosing and Developing Your VLE</t>
  </si>
  <si>
    <t>Mathematical Finance : Core Theory, Problems and Statistical Algorithms</t>
  </si>
  <si>
    <t>EU Foreign and Interior Policies : Cross-Pillar Politics and the Social Construction of Sovereignty</t>
  </si>
  <si>
    <t>Commonsense Methods for Children with Special Educational Needs</t>
  </si>
  <si>
    <t>A Guide to Early Years Practice</t>
  </si>
  <si>
    <t>Social Capital, Trust and the Industrial Revolution : 1780-1880</t>
  </si>
  <si>
    <t>Enhancing University Teaching : Lessons from Research into Award-Winning Teachers</t>
  </si>
  <si>
    <t>Civil Society and the Internet in Japan</t>
  </si>
  <si>
    <t>Enacting a Pedagogy of Teacher Education : Values, Relationships and Practices</t>
  </si>
  <si>
    <t>International Sales Law</t>
  </si>
  <si>
    <t>The Asymmetries of Globalization</t>
  </si>
  <si>
    <t>Of Literature and Knowledge : Explorations in Narrative Thought Experiments, Evolution and Game Theory</t>
  </si>
  <si>
    <t>Designing the City of Reason : Foundations and Frameworks</t>
  </si>
  <si>
    <t>Growth, Distribution and Innovations : Understanding Their Interrelations</t>
  </si>
  <si>
    <t>Drama 3 - 5 : A Practical Guide to Teaching Drama to Children in the Foundation Stage</t>
  </si>
  <si>
    <t>Law and Legalization in Transnational Relations</t>
  </si>
  <si>
    <t>Mongolia : A Guide to Economic and Political Developments</t>
  </si>
  <si>
    <t>Education, Globalisation and New Times : 21 Years of the Journal of Education Policy</t>
  </si>
  <si>
    <t>Globalization and Geopolitics in the Middle East : Old Games, New Rules</t>
  </si>
  <si>
    <t>Spatial Planning Systems of Britain and France : A Comparative Analysis</t>
  </si>
  <si>
    <t>Challenges to the Global Trading System : Adjustment to Globalization in the Asia-Pacific Region</t>
  </si>
  <si>
    <t>Foreign Direct Investment and the World Economy</t>
  </si>
  <si>
    <t>Deconstruction and the Ethical in Asian Thought</t>
  </si>
  <si>
    <t>Globalization and the Myths of Free Trade : History, Theory and Empirical Evidence</t>
  </si>
  <si>
    <t>Economics and the Mind</t>
  </si>
  <si>
    <t>Entrepreneurship and Economic Progress</t>
  </si>
  <si>
    <t>Ottoman Army Effectiveness in World War I : A Comparative Study</t>
  </si>
  <si>
    <t>Governance in Post-Conflict Societies : Rebuilding Fragile States</t>
  </si>
  <si>
    <t>Dynamics of Industrial Capitalism : Schumpeter, Chandler, and the New Economy</t>
  </si>
  <si>
    <t>Democratic Sovereignty : Authority, Legitimacy, and State in a Globalizing Age</t>
  </si>
  <si>
    <t>The Legal-Economic Nexus : Fundamental Processes</t>
  </si>
  <si>
    <t>The Economics of Language : International Analyses</t>
  </si>
  <si>
    <t>Religion in India : A Historical Introduction</t>
  </si>
  <si>
    <t>Psychological Management of Physical Disabilities : A Practitioner's Guide</t>
  </si>
  <si>
    <t>Rational Emotive Behaviour Therapy : 100 Key Points and Techniques</t>
  </si>
  <si>
    <t>Hope and Despair in Narrative and Family Therapy : Adversity, Forgiveness and Reconciliation</t>
  </si>
  <si>
    <t>Clinical Handbook of Co-Existing Mental Health and Drug and Alcohol Problems</t>
  </si>
  <si>
    <t>Trauma and Psychosis : New Directions for Theory and Therapy</t>
  </si>
  <si>
    <t>Choosing Methods in Mental Health Research : Mental Health Research from Theory to Practice</t>
  </si>
  <si>
    <t>The Transition to Adulthood and Family Relations : An Intergenerational Approach</t>
  </si>
  <si>
    <t>The Scope of Social Psychology : Theory and Applications (a Festschrift for Wolfgang Stroebe)</t>
  </si>
  <si>
    <t>Automaticity and Control in Language Processing</t>
  </si>
  <si>
    <t>Inclusion</t>
  </si>
  <si>
    <t>International Negotiation in the Twenty-First Century</t>
  </si>
  <si>
    <t>Defending the Genetic Supermarket : The Law and Ethics of Selecting the Next Generation</t>
  </si>
  <si>
    <t>Thinking Through Things : Theorising Artefacts Ethnographically</t>
  </si>
  <si>
    <t>The Harm Paradox : Tort Law and the Unwanted Child in an Era of Choice</t>
  </si>
  <si>
    <t>Private Law in Theory and Practice</t>
  </si>
  <si>
    <t>Company Directors' Responsibilities to Creditors</t>
  </si>
  <si>
    <t>Enforcement of European Union Environmental Law : Legal Issues and Challenges</t>
  </si>
  <si>
    <t>International Law Documents Relating to Terrorism</t>
  </si>
  <si>
    <t>Feminist Perspectives on Family Law</t>
  </si>
  <si>
    <t>Gendered Talk at Work : Constructing Gender Identity Through Workplace Discourse</t>
  </si>
  <si>
    <t>Managers of Innovation : Insights into Making Innovation Happen</t>
  </si>
  <si>
    <t>Ideas of Landscape : An Introduction</t>
  </si>
  <si>
    <t>Dirty Discourse : Sex and Indecency in Broadcasting</t>
  </si>
  <si>
    <t>Handbook of World Englishes</t>
  </si>
  <si>
    <t>A Companion to Translation Studies</t>
  </si>
  <si>
    <t>Global Issues in Language, Education and Development : Perspectives from Postcolonial Countries</t>
  </si>
  <si>
    <t>Language and Culture Pedagogy : From a National to a Transnational Paradigm</t>
  </si>
  <si>
    <t>Linguistic Landscapes : A Comparative Study of Urban Multilingualism in Tokyo</t>
  </si>
  <si>
    <t>Minority Language Media : Concepts, Critiques and Case Studies</t>
  </si>
  <si>
    <t>Translating Law</t>
  </si>
  <si>
    <t>Dictionary Activities</t>
  </si>
  <si>
    <t>Finite Elements : Theory, Fast Solvers, and Applications in Solid Mechanics</t>
  </si>
  <si>
    <t>Extended Defects in Semiconductors : Electronic Properties, Device Effects and Structures</t>
  </si>
  <si>
    <t>Fallacies and Argument Appraisal</t>
  </si>
  <si>
    <t>Hume: Dialogues Concerning Natural Religion</t>
  </si>
  <si>
    <t>The Cambridge Handbook of Phonology</t>
  </si>
  <si>
    <t>An Executive's Guide to Information Technology : Principles, Business Models, and Terminology</t>
  </si>
  <si>
    <t>Structural Nanocrystalline Materials : Fundamentals and Applications</t>
  </si>
  <si>
    <t>Opera and Society in Italy and France from Monteverdi to Bourdieu</t>
  </si>
  <si>
    <t>Introduction to Chemical Transport in the Environment</t>
  </si>
  <si>
    <t>Environmental Disasters, Natural Recovery and Human Responses</t>
  </si>
  <si>
    <t>Managing International Business in China</t>
  </si>
  <si>
    <t>Testlet Response Theory and Its Applications</t>
  </si>
  <si>
    <t>The Economy and the Vote : Economic Conditions and Elections in Fifteen Countries</t>
  </si>
  <si>
    <t>J. S. Bach : A Life in Music</t>
  </si>
  <si>
    <t>Legislative Leviathan : Party Government in the House</t>
  </si>
  <si>
    <t>Filtering and System Identification : A Least Squares Approach</t>
  </si>
  <si>
    <t>Diversity : New Realities in a Changing World</t>
  </si>
  <si>
    <t>European Anti-Discrimination and the Politics of Citizenship : Britain and France</t>
  </si>
  <si>
    <t>Varieties of Capitalism in Post-Communist Countries</t>
  </si>
  <si>
    <t>Venture Capital, Islamic Finance and SMEs : Valuation, Structuring and Monitoring Practices in India</t>
  </si>
  <si>
    <t>The Successes and Failures of Economic Transition : The European Experience</t>
  </si>
  <si>
    <t>Diversification and Portfolio Management of Mutual Funds</t>
  </si>
  <si>
    <t>East Asia's de Facto Economic Integration</t>
  </si>
  <si>
    <t>Beginning Old English</t>
  </si>
  <si>
    <t>Macmillan Publishers Limited</t>
  </si>
  <si>
    <t>Palgrave Macmillan Ltd.</t>
  </si>
  <si>
    <t>The Brand Glossary : The Resource for Branding and Brand Management</t>
  </si>
  <si>
    <t>Reforming the Common Agricultural Policy : History of a Paradigm Change</t>
  </si>
  <si>
    <t>Introduction to Post-Keynesian Economics</t>
  </si>
  <si>
    <t>Bonds : A Concise Guide for Investors</t>
  </si>
  <si>
    <t>Alternative Perspectives on Economic Policies in the European Union</t>
  </si>
  <si>
    <t>Marxism after Modernity : Politics, Technology and Social Transformation</t>
  </si>
  <si>
    <t>The Europeanization of British Politics</t>
  </si>
  <si>
    <t>Families Caring Across Borders : Migration, Ageing and Transnational Caregiving</t>
  </si>
  <si>
    <t>Business Discourse</t>
  </si>
  <si>
    <t>Blake and Modern Literature</t>
  </si>
  <si>
    <t>Educational Failure and Working Class White Children in Britain : Children in Britain</t>
  </si>
  <si>
    <t>Monetary Economics : An Integrated Approach to Credit, Money, Income, Production and Wealth</t>
  </si>
  <si>
    <t>Beyond Sovereignty : Britain, Empire and Transnationalism, C. 1880-1950</t>
  </si>
  <si>
    <t>Asset Allocation and International Investments</t>
  </si>
  <si>
    <t>Temptations of Power : The United States in Global Politics After 9/11</t>
  </si>
  <si>
    <t>The Econometrics of Energy Systems</t>
  </si>
  <si>
    <t>Nasser at War : Arab Images of the Enemy</t>
  </si>
  <si>
    <t>Competitive Identity : The New Brand Management for Nations, Cities and Regions</t>
  </si>
  <si>
    <t>Microfinance</t>
  </si>
  <si>
    <t>Regional Integration in East Asia : From the Viewpoint of Spatial Economics</t>
  </si>
  <si>
    <t>Practical DV Filmmaking</t>
  </si>
  <si>
    <t>Record Label Marketing</t>
  </si>
  <si>
    <t>Avid Editing : A Guide for Beginning and Intermediate Users</t>
  </si>
  <si>
    <t>Understanding Minority Ethnic Achievement : Race, Gender, Class And 'Success'</t>
  </si>
  <si>
    <t>Early Childhood Care and Education : International Perspectives</t>
  </si>
  <si>
    <t>A Black British Canon?</t>
  </si>
  <si>
    <t>Advances in Risk Management</t>
  </si>
  <si>
    <t>Asset Management Standards : Corporate Governance for Asset Management</t>
  </si>
  <si>
    <t>Science, Religion, and the Meaning of Life</t>
  </si>
  <si>
    <t>Britain, Germany and the Future of the European Union</t>
  </si>
  <si>
    <t>Christina Rossetti's Faithful Imagination : The Devotional Poetry and Prose</t>
  </si>
  <si>
    <t>Consumption and Literature : The Making of the Romantic Disease</t>
  </si>
  <si>
    <t>Corporate Social Responsibility : Balancing Tomorrow's Sustainability and Today's Profitability</t>
  </si>
  <si>
    <t>Development of Environmental Policy in Japan and Asian Countries</t>
  </si>
  <si>
    <t>Discovering Language (1) : The Structure of Modern English</t>
  </si>
  <si>
    <t>Education and Career Choice : A New Model of Decision Making</t>
  </si>
  <si>
    <t>Globalization and Language in the Spanish Speaking World : Macro and Micro Perspectives</t>
  </si>
  <si>
    <t>Human Well-Being : Concept and Measurement</t>
  </si>
  <si>
    <t>Inequality, Poverty and Well-Being</t>
  </si>
  <si>
    <t>Informal Coalitions : Mastering the Hidden Dynamics of Organizational Change</t>
  </si>
  <si>
    <t>International Socialization in Europe : European Organizations, Political Conditionality and Democratic Change</t>
  </si>
  <si>
    <t>Kierkegaard : Anxiety, Repetition and Contemporaneity</t>
  </si>
  <si>
    <t>Language and Professional Identity : Aspects of Collaborative Interaction</t>
  </si>
  <si>
    <t>Language, Sexualities and Desires : Cross-Cultural Perspectives</t>
  </si>
  <si>
    <t>Legitimating the European Union : Aspirations, Inputs and Performance</t>
  </si>
  <si>
    <t>Literature and Stylistics for Language Learners : Theory and Practice</t>
  </si>
  <si>
    <t>Media and Male Identity : The Making and Remaking of Men</t>
  </si>
  <si>
    <t>Organization and Systems Design : Theory of Deferred Action</t>
  </si>
  <si>
    <t>Phonology in Context</t>
  </si>
  <si>
    <t>Privatisation Performance in Major European Countries Since 1980</t>
  </si>
  <si>
    <t>Prosodic Orientation in English Conversation</t>
  </si>
  <si>
    <t>Public Policy and Ethnicity : The Politics of Ethnic Boundary Making</t>
  </si>
  <si>
    <t>Rationality, Bounded Rationality and Microfoundations : Foundations of Theoretical Economics</t>
  </si>
  <si>
    <t>Risk and Foreign Direct Investment</t>
  </si>
  <si>
    <t>Samuel Beckett and the Prosthetic Body : The Organs and Senses in Modernism</t>
  </si>
  <si>
    <t>Shareholder Activism : Corporate Governance and Reforms in Korea</t>
  </si>
  <si>
    <t>Sociological Cultural Studies : Reflexivity and Positivity in the Human Sciences</t>
  </si>
  <si>
    <t>Sourcing in China : Strategies, Methods and Experiences</t>
  </si>
  <si>
    <t>Taxes and Exchange Rates in the EU</t>
  </si>
  <si>
    <t>The Dynamics of Federalism in National and Supranational Political Systems</t>
  </si>
  <si>
    <t>The Impact of Globalization on the World's Poor : Transmission Mechanisms</t>
  </si>
  <si>
    <t>The Internationalization of Banks : Patterns, Strategies and Performance</t>
  </si>
  <si>
    <t>The Origins of Modern Spin : Democratic Government and the Media in Britain, 1945-51</t>
  </si>
  <si>
    <t>The Politics of Developmentalism : The Midas States of Mexico, South Korea, and Taiwan</t>
  </si>
  <si>
    <t>The Psychology of Money and Public Finance</t>
  </si>
  <si>
    <t>The Therapy of Education : Philosophy, Happiness and Personal Growth</t>
  </si>
  <si>
    <t>The Venture Capital Industry in Europe</t>
  </si>
  <si>
    <t>Understanding Conflict Between Russia and the EU : The Limits of Integration</t>
  </si>
  <si>
    <t>Disaster Movies : A Loud, Long, Explosive, Star-Studded Guide to Avalanches, Earthquakes, Floods, Meteors, Sinking Ships, Twisters, Viruses, Killer Bees, Nuclear Fallout, and Alien Attacks in the Cinema!!!!</t>
  </si>
  <si>
    <t>In the Course of a Lifetime : Tracing Religious Belief, Practice, and Change</t>
  </si>
  <si>
    <t>The Animated Man : A Life of Walt Disney</t>
  </si>
  <si>
    <t>Global Rangelands : Progress and Prospects</t>
  </si>
  <si>
    <t>Managing Plant Genetic Diversity</t>
  </si>
  <si>
    <t>Tourism Ecolabelling : Certification and Promotion</t>
  </si>
  <si>
    <t>Volunteer Tourism : Experiences that Make a Difference</t>
  </si>
  <si>
    <t>Heebie-Jeebies at CBGB's : A Secret History of Jewish Punk</t>
  </si>
  <si>
    <t>My Bloody Life : The Making of a Latin King</t>
  </si>
  <si>
    <t>Auction Theory</t>
  </si>
  <si>
    <t>Building Automated Trading Systems : With an Introduction to Visual C++. NET 2005</t>
  </si>
  <si>
    <t>Caring for the Customer</t>
  </si>
  <si>
    <t>Clinical Strategies for Becoming a Master Psychotherapist</t>
  </si>
  <si>
    <t>Comparative Public Administration : The Essential Readings</t>
  </si>
  <si>
    <t>Corporate Governance : How to Add Value to Your Company: a Practical Implementation Guide</t>
  </si>
  <si>
    <t>Culinary Creation : An Introduction to Foodservice and World Cuisine</t>
  </si>
  <si>
    <t>Destination Branding : Creating the Unique Destination Proposition</t>
  </si>
  <si>
    <t>Handbook of Asset and Liability Management : Theory and Methodology</t>
  </si>
  <si>
    <t>Hotel Convention Sales, Services and Operations</t>
  </si>
  <si>
    <t>Managing Information: Core Management</t>
  </si>
  <si>
    <t>Managing Innovation : New Technology, New Products, and New Services in a Global Economy (2nd Edition)</t>
  </si>
  <si>
    <t>Managing Intellectual Capital in Practice</t>
  </si>
  <si>
    <t>Managing Lawfully - Health, Safety and Environment</t>
  </si>
  <si>
    <t>MCSA/MCSE Managing and Maintaining a Windows Server 2003 Environment for an MCSA Certified on Windows 2000 (Exam 70-292) : Study Guide and DVD Training System</t>
  </si>
  <si>
    <t>MCSE Designing a Windows Server 2003 Active Directory and Network Infrastructure(Exam 70-297) : Study Guide and DVD Training System</t>
  </si>
  <si>
    <t>MCSE Planning and Maintaining a Microsoft Windows Server 2003 Network Infrastructure (Exam 70-293) : Guide and DVD Training System</t>
  </si>
  <si>
    <t>MCSE: Planning, Implementing and Maintaining a Windows Server 2003 Environment for an MCSE Certified on Windows 2000 (Exam 70-296)</t>
  </si>
  <si>
    <t>Net Work : A Practical Guide to Creating and Sustaining Networks at Work and in the World</t>
  </si>
  <si>
    <t>Neurobiology of Learning and Memory</t>
  </si>
  <si>
    <t>Public Relations : Contemporary Issues and Techniques</t>
  </si>
  <si>
    <t>Risk Analysis and the Security Survey</t>
  </si>
  <si>
    <t>Risk Management, Speculation, and Derivative Securities</t>
  </si>
  <si>
    <t>Shooting Incident Reconstruction</t>
  </si>
  <si>
    <t>Six Sigma Deployment</t>
  </si>
  <si>
    <t>Studio Television Production and Directing : Studio-Based Television Production and Directing</t>
  </si>
  <si>
    <t>The Insider's Guide to Independent Film Distribution</t>
  </si>
  <si>
    <t>Change Management : Management Extra</t>
  </si>
  <si>
    <t>Contemporary Financial Intermediation</t>
  </si>
  <si>
    <t>Creating Powerful Radio : Getting, Keeping and Growing Audiences News, Talk, Information &amp; Personality Broadcast, HD, Satellite &amp; Internet</t>
  </si>
  <si>
    <t>Development for High Performance</t>
  </si>
  <si>
    <t>Financial Management : Management Extra</t>
  </si>
  <si>
    <t>Information and Knowledge Management : Management Extra</t>
  </si>
  <si>
    <t>Managing Operational Risk in Financial Markets</t>
  </si>
  <si>
    <t>Niche Tourism : Contemporary Issues, Trends and Cases</t>
  </si>
  <si>
    <t>Portable Video : ENG &amp; EFP</t>
  </si>
  <si>
    <t>Professional Interior Photography</t>
  </si>
  <si>
    <t>Project Management : Management Extra</t>
  </si>
  <si>
    <t>Reputation Management</t>
  </si>
  <si>
    <t>Six Sigma and the Product Development Cycle</t>
  </si>
  <si>
    <t>The Innovation SuperHighway : Harnessing Intellectual Capital for Sustainable Collaborative Advantage</t>
  </si>
  <si>
    <t>The MIDI Manual : A Practical Guide to MIDI in the Project Studio</t>
  </si>
  <si>
    <t>Uva's Guide to Cranes, Dollies, and Remote Heads</t>
  </si>
  <si>
    <t>Benchmarking in Tourism and Hospitality Industries : The Selection of Benchmarking Partners</t>
  </si>
  <si>
    <t>Tourism in Western Europe : A Collection of Case Histories</t>
  </si>
  <si>
    <t>Natural Resources Management in African Agriculture : Understanding and Improving Current Practices</t>
  </si>
  <si>
    <t>Tourism in National Parks and Protected Areas : Planning and Management</t>
  </si>
  <si>
    <t>Aquaculture and Fisheries Biotechnology : Genetic Approaches</t>
  </si>
  <si>
    <t>Responsible Marine Aquaculture</t>
  </si>
  <si>
    <t>Battered Women and Their Families : Intervention Strategies and Treatment Programs</t>
  </si>
  <si>
    <t>Handbook of Forensic Mental Health with Victims and Offenders : Assessment, Treatment, and Research</t>
  </si>
  <si>
    <t>Social Structures : Demographic Changes and the Well-being of Older Persons</t>
  </si>
  <si>
    <t>The Psychological and Social Impact of Illness and Disability : 5th Edition</t>
  </si>
  <si>
    <t>Complete Guide to Renovating and Improving Your Property</t>
  </si>
  <si>
    <t>Complete Guide to Online Stock Market Investing : The Definitive 20-day Guide</t>
  </si>
  <si>
    <t>Workplace Learning and Development : Delivering Competitive Advantage for Your Organization</t>
  </si>
  <si>
    <t>Mergers and Acquisitions : A Practical Guide for Private Companies and Their UK and Overseas Advisers</t>
  </si>
  <si>
    <t>Leadership for Innovation : How to Organize Team Creativity and Harvest Ideas</t>
  </si>
  <si>
    <t>Human Capital Management : Achieving Added Value Through People</t>
  </si>
  <si>
    <t>IQ and Aptitude Tests : Assess Your Verbal, Numerical and Spatial Reasoning Skills</t>
  </si>
  <si>
    <t>Facilitating Multicultural Groups : A Practical Guide</t>
  </si>
  <si>
    <t>Bids Tenders and Proposals : Winning Business Through Best Practice</t>
  </si>
  <si>
    <t>Profitable Marketing Communications : A Guide to Marketing Return on Investment</t>
  </si>
  <si>
    <t>Branded Entertainment : Product Placement and Brand Strategy in the Entertainment Business</t>
  </si>
  <si>
    <t>TV-a-Go-Go : Rock on TV from American Bandstand to American Idol</t>
  </si>
  <si>
    <t>Agriculture and International Trade : Law, Policy and the WTO</t>
  </si>
  <si>
    <t>Banana Wars : The Anatomy of a Trade Dispute</t>
  </si>
  <si>
    <t>Case Studies in Ecotourism</t>
  </si>
  <si>
    <t>Ecotourism Policy and Planning</t>
  </si>
  <si>
    <t>Competitive Destination : A sustainable tourism perspective</t>
  </si>
  <si>
    <t>Tourism in Destination Communities</t>
  </si>
  <si>
    <t>Multifunctional Agriculture : A Transition Theory Perspective</t>
  </si>
  <si>
    <t>Religious Tourism and Pilgrimage Management : An International Perspective</t>
  </si>
  <si>
    <t>Public, the Media and Agricultural Biotechnology</t>
  </si>
  <si>
    <t>Understanding Western Tourists in Developing Countries</t>
  </si>
  <si>
    <t>Critical Choices : The United Nations, Networks and the Future of Global Governance</t>
  </si>
  <si>
    <t>Marketing Information Products and Services : A Primer for Librarians and Information Professionals</t>
  </si>
  <si>
    <t>Science, Technology, and Innovation in Chile</t>
  </si>
  <si>
    <t>Interactive Digital Television : Technologies and Applications</t>
  </si>
  <si>
    <t>Learning from Change : Issues and Experiences in Participatory Monitoring and Evaluation</t>
  </si>
  <si>
    <t>101 Ways to Have a Business and a Life</t>
  </si>
  <si>
    <t>Student's Guide to Research Ethics</t>
  </si>
  <si>
    <t>Changing Citizenship : Democracy and Inclusion in Education</t>
  </si>
  <si>
    <t>Environment and Identity in Later Life</t>
  </si>
  <si>
    <t>How to Examine a Thesis</t>
  </si>
  <si>
    <t>Ethnography for Education</t>
  </si>
  <si>
    <t>Supporting Mathematical Development in the Early Years</t>
  </si>
  <si>
    <t>Child Abusers : Research and Controversy</t>
  </si>
  <si>
    <t>Mature Student's Guide to Higher Education</t>
  </si>
  <si>
    <t>Decentralizing The Civil Service : From Unitary State to Differentiated Polity in the United Kingdom</t>
  </si>
  <si>
    <t>After You Graduate : Finding and Getting Work You Will Enjoy</t>
  </si>
  <si>
    <t>Diversity and Difference in Early Childhood Education : Issues for Theory and Practice</t>
  </si>
  <si>
    <t>Cross Cultural Perspectives on Educational Research</t>
  </si>
  <si>
    <t>Media and Audiences : New Perspectives</t>
  </si>
  <si>
    <t>Sport, Culture &amp; Media : The Unruly Trinity</t>
  </si>
  <si>
    <t>Unwritten Rules of PhD Research</t>
  </si>
  <si>
    <t>Psychology of Appearance</t>
  </si>
  <si>
    <t>How to Find Information : A Guide for Researchers</t>
  </si>
  <si>
    <t>Social Health Insurance Systems in Western Europe</t>
  </si>
  <si>
    <t>Challenging Research in Problem-based Learning</t>
  </si>
  <si>
    <t>Sport and Society : History, Power and Culture</t>
  </si>
  <si>
    <t>Interviewing and Representation in Qualitative Research</t>
  </si>
  <si>
    <t>Professional Doctorates : Integrating Academic and Professional Knowledge</t>
  </si>
  <si>
    <t>Quality, Risk and Control in Health Care</t>
  </si>
  <si>
    <t>Managing Successful Universities</t>
  </si>
  <si>
    <t>Moral Foundations of Educational Research : Knowledge, Inquiry and Values</t>
  </si>
  <si>
    <t>Personality Development</t>
  </si>
  <si>
    <t>Boys and Girls in the Primary Classroom</t>
  </si>
  <si>
    <t>Higher Education And The Lifecourse</t>
  </si>
  <si>
    <t>Action Research : A Methodology for Change and Development</t>
  </si>
  <si>
    <t>Cities And Urban Cultures</t>
  </si>
  <si>
    <t>Cultural Citizenship : Cosmopolitan Questions</t>
  </si>
  <si>
    <t>Adult Literacy, Numeracy and Language : Policy, Practice and Research</t>
  </si>
  <si>
    <t>Enhancing Primary Mathematics Teaching</t>
  </si>
  <si>
    <t>Educational Management in Managerialist Times : Beyond the Textual Apologists</t>
  </si>
  <si>
    <t>Researching Higher Education : Issues and Approaches</t>
  </si>
  <si>
    <t>Education in a Post Welfare Society</t>
  </si>
  <si>
    <t>Social Work Skills : A Practice Handbook</t>
  </si>
  <si>
    <t>Children's Literature and Computer Based Teaching</t>
  </si>
  <si>
    <t>Network Learning for Educational Change</t>
  </si>
  <si>
    <t>Teachers and Assistants Working Together : A Handbook</t>
  </si>
  <si>
    <t>Understanding Quality of Life in Old Age : Extending Quality of Life</t>
  </si>
  <si>
    <t>Learning from Sure Start : Working with Young Children and Their Families</t>
  </si>
  <si>
    <t>Promoting Independent Learning in the Primary Classroom</t>
  </si>
  <si>
    <t>Breaking the Cycle of Educational Alienation : A Multiprofessional Approach</t>
  </si>
  <si>
    <t>Critical Issues in Early Childhood Education</t>
  </si>
  <si>
    <t>The Drawings of Michelangelo and his Followers in the Ashmolean Museum</t>
  </si>
  <si>
    <t>An Introduction to Law and Regulation : Text and Materials</t>
  </si>
  <si>
    <t>A Movable Feast : Ten Millennia of Food Globalization</t>
  </si>
  <si>
    <t>Cambridge Introduction to Creative Writing</t>
  </si>
  <si>
    <t>From Corpus to Classroom : Language Use and Language Teaching</t>
  </si>
  <si>
    <t>Housing and Property Restitution Rights of Refugees and Displaced Persons : Laws, Cases, and Materials</t>
  </si>
  <si>
    <t>Driving Forces in Physical, Biological and Socio-economic Phenomena : A Network Science Investigation of Social Bonds and Interactions</t>
  </si>
  <si>
    <t>Boilerplate : The Foundation of Market Contracts</t>
  </si>
  <si>
    <t>Hunting Causes and Using Them : Approaches in Philosophy and Economics</t>
  </si>
  <si>
    <t>Cognitive Diagnostic Assessment for Education : Theory and Applications</t>
  </si>
  <si>
    <t>Democracy and Legal Change</t>
  </si>
  <si>
    <t>Atrocity, Punishment, and International Law</t>
  </si>
  <si>
    <t>Person Reference in Interaction : Linguistic, Cultural and Social Perspectives</t>
  </si>
  <si>
    <t>The Craft of Bureaucratic Neutrality : Interests and Influence in Governmental Regulation of Occupational Safety</t>
  </si>
  <si>
    <t>Visibility Algorithms in the Plane</t>
  </si>
  <si>
    <t>Economic Globalisation and Human Rights : EIUC Studies on Human Rights and Democratization</t>
  </si>
  <si>
    <t>Building a Joyful Life with Your Child Who Has Special Needs</t>
  </si>
  <si>
    <t>Reminiscence Theatre : Making Theatre from Memories</t>
  </si>
  <si>
    <t>Special Stories for Disability Awareness : Stories and Activities for Teachers, Parents and Professionals</t>
  </si>
  <si>
    <t>Working with Parents of Young People : Research, Policy and Practice</t>
  </si>
  <si>
    <t>100 Years of Gravity and Accelerated Frames : The Deepest Insights of Einstein and Yang-Mills</t>
  </si>
  <si>
    <t>100 Years Of Relativity: Space-time Structure - Einstein And Beyond</t>
  </si>
  <si>
    <t>Advances In Data Mining And Modeling</t>
  </si>
  <si>
    <t>Application of Quantitative Techniques for the Prediction of Bank Acquisition Targets</t>
  </si>
  <si>
    <t>Applied Computational Intelligence : Proceedings of the 6th International FLINS Conference, Blankenberge, Belgium, September 1-3, 2004</t>
  </si>
  <si>
    <t>China's Industrial Revolution and Economic Presencesy</t>
  </si>
  <si>
    <t>China's Compliance in Global Affairs : Trade, Arms Control, Environmental Protection, Human Rights</t>
  </si>
  <si>
    <t>Fisher Model And Financial Markets, The</t>
  </si>
  <si>
    <t>Human Systems Management: Integrating Knowledge, Management And Systems</t>
  </si>
  <si>
    <t>Knowledge Grid, The</t>
  </si>
  <si>
    <t>Leading Starts In The Mind: A Humanistic View Of Leadership</t>
  </si>
  <si>
    <t>Networks of Interacting Machines : Production Organization in Complex Industrial Systems and Biological Cells</t>
  </si>
  <si>
    <t>Pioneers Of Modern China: Understanding The Inscrutable Chinese</t>
  </si>
  <si>
    <t>Theory of Valuation</t>
  </si>
  <si>
    <t>Use of High Performance Computing in Meteorology : Proceedings of the Eleventh ECMWF Workshop on the Use of High Performance Computing in Meteorology</t>
  </si>
  <si>
    <t>Web-B@Sed Learning : Technology and Pedagogy</t>
  </si>
  <si>
    <t>World Of Risk Management, The</t>
  </si>
  <si>
    <t>Critical Theory</t>
  </si>
  <si>
    <t>European Union and British Politics</t>
  </si>
  <si>
    <t>English Syntax and Argumentation</t>
  </si>
  <si>
    <t>How to Write Better Essays</t>
  </si>
  <si>
    <t>Great Irish Famine : Impact, Ideology and Rebellion</t>
  </si>
  <si>
    <t>How to Study Linguisitcs : A Guide to Understanding Language</t>
  </si>
  <si>
    <t>How to Program Using Java</t>
  </si>
  <si>
    <t>Criminal Law</t>
  </si>
  <si>
    <t>Presentation Skills for Students</t>
  </si>
  <si>
    <t>How to Manage your Postgraduate Course</t>
  </si>
  <si>
    <t>Julia Kristeva and Literary Theory</t>
  </si>
  <si>
    <t>Fifth French Republic</t>
  </si>
  <si>
    <t>How to Begin Studying English Literature</t>
  </si>
  <si>
    <t>Madness and Cinema : Psychoanalysis, Spectatorship and Culture</t>
  </si>
  <si>
    <t>Postmodern Chick Flicks : The Return of the Woman's Film</t>
  </si>
  <si>
    <t>Social Constructionist Identity Politics and Literary Studies</t>
  </si>
  <si>
    <t>European Politics : A Comparative Introduction</t>
  </si>
  <si>
    <t>How to Program Using C++</t>
  </si>
  <si>
    <t>British Fiction after Modernism : The Novel at Mid-Century</t>
  </si>
  <si>
    <t>Advancing Development : Core Themes in Global Economics</t>
  </si>
  <si>
    <t>Corporate Restructuring and Governance in Transition Economies</t>
  </si>
  <si>
    <t>Journey into Islam : The Crisis of Globalization</t>
  </si>
  <si>
    <t>New Financial Instruments and Institutions : Opportunities and Policy Challenges</t>
  </si>
  <si>
    <t>Brookings Institution Press/Nomura Inst.</t>
  </si>
  <si>
    <t>Reducing Global Poverty : The Case for Asset Accumulation</t>
  </si>
  <si>
    <t>Too Poor for Peace? : Global Poverty, Conflict, and Security in the 21st Century</t>
  </si>
  <si>
    <t>Digital Video Camerawork</t>
  </si>
  <si>
    <t>Project Manager's Toolkit : Practical Checklists for Systems Development</t>
  </si>
  <si>
    <t>Retail Strategy : The View from the Bridge</t>
  </si>
  <si>
    <t>Risk Management in Software Development Projects</t>
  </si>
  <si>
    <t>Knowledge Management Foundations</t>
  </si>
  <si>
    <t>Key Issues in the New Knowledge Management</t>
  </si>
  <si>
    <t>Best Practice in Inventory Management</t>
  </si>
  <si>
    <t>Photographic Lighting</t>
  </si>
  <si>
    <t>Amazing Maya Inventions You Can Build Yourself</t>
  </si>
  <si>
    <t>Nomad Press</t>
  </si>
  <si>
    <t>Good Statistical Practice for Natural Resources Research</t>
  </si>
  <si>
    <t>Nature-based Tourism, Environment and Land Management. Ecotourism Book Series, Volume 1</t>
  </si>
  <si>
    <t>Bond Scheme for Common Agricultural Policy Reform</t>
  </si>
  <si>
    <t>Tourism and Transition : Governance, Transformation and Development</t>
  </si>
  <si>
    <t>Consumer Psychology of Tourism, Hospitality and Leisure : Volume 3.</t>
  </si>
  <si>
    <t>Volunteering as Leisure/Leisure as Volunteering : An International Assessment</t>
  </si>
  <si>
    <t>Forest Biodiversity : Lessons from History for Conservation. IUFRO Series No. 10.</t>
  </si>
  <si>
    <t>Family Business in Tourism and Hospitality</t>
  </si>
  <si>
    <t>How to Manage Meetings</t>
  </si>
  <si>
    <t>How to Write a Marketing Plan</t>
  </si>
  <si>
    <t>How to Write Reports and Proposals</t>
  </si>
  <si>
    <t>Decision Making and Problem Solving</t>
  </si>
  <si>
    <t>Quality Issues in Heritage Visitor Attractions</t>
  </si>
  <si>
    <t>Internal Marketing</t>
  </si>
  <si>
    <t>E-Business Strategies for Virtual Organizations</t>
  </si>
  <si>
    <t>Financial Management for Hospitality Decision Makers</t>
  </si>
  <si>
    <t>Interactive Television Production</t>
  </si>
  <si>
    <t>Learning Through Knowledge Management</t>
  </si>
  <si>
    <t>Intellectual Capital : Measuring the Immeasurable?</t>
  </si>
  <si>
    <t>Producing Great Sound for Digital Video</t>
  </si>
  <si>
    <t>Lighting for Digital Video and Television</t>
  </si>
  <si>
    <t>Fixed Income Mathematics</t>
  </si>
  <si>
    <t>Convergence in Broadcast and Communications Media</t>
  </si>
  <si>
    <t>TV Technical Operations : An Introduction</t>
  </si>
  <si>
    <t>Studio and Outside Broadcast Camerawork</t>
  </si>
  <si>
    <t>Governments and Tourism</t>
  </si>
  <si>
    <t>Franchising Hospitality Services : Franchising Hospitality Services</t>
  </si>
  <si>
    <t>Make or Break Issues in IT Management</t>
  </si>
  <si>
    <t>E-Business - a Jargon-Free Practical Guide</t>
  </si>
  <si>
    <t>Early Experience, the Brain, and Consciousness : An Historical and Interdisciplinary Synthesis</t>
  </si>
  <si>
    <t>Lawrence Erlbaum Associates, Incorporated</t>
  </si>
  <si>
    <t>Lawrence Erlbaum Associates</t>
  </si>
  <si>
    <t>Reading Comprehension Strategies : Theories, Interventions, and Technologies</t>
  </si>
  <si>
    <t>The Ethics of Human Rights : Contested Doctrinal and Moral Issues</t>
  </si>
  <si>
    <t>Calculated Futures : Theology, Ethics, and Economics</t>
  </si>
  <si>
    <t>Making a Meal of It : Rethinking the Theology of the Lord's Supper</t>
  </si>
  <si>
    <t>Preaching Politics : The Religious Rhetoric of George Whitefield and the Founding of a New Nation</t>
  </si>
  <si>
    <t>R. S. Thomas : Poetry and Theology</t>
  </si>
  <si>
    <t>Memories of the Branch Davidians : The Autobiography of David Koresh's Mother</t>
  </si>
  <si>
    <t>The Schooled Heart : Moral Formation in American Higher Education</t>
  </si>
  <si>
    <t>A Guide to the Great Gardens of the Philadelphia Region</t>
  </si>
  <si>
    <t>Temple University Press</t>
  </si>
  <si>
    <t>Art in Cinema : Documents Toward a History of the Film Society</t>
  </si>
  <si>
    <t>Challenging the Chip : Labor Rights and Environmental Justice in the Global Electronics Industry</t>
  </si>
  <si>
    <t>Chinese American Transnationalism : The Flow of People, Resources</t>
  </si>
  <si>
    <t>Citizen Lobbyists : Local Efforts to Influence Public Policy</t>
  </si>
  <si>
    <t>Comprehending Columbine</t>
  </si>
  <si>
    <t>Cultural Citizenship : Cosmopolitanism, Consumerism, and Television in a Neoliberal Age</t>
  </si>
  <si>
    <t>Dewey's Dream : Universities and Democracies in an Age of Education Reform</t>
  </si>
  <si>
    <t>Hollywood Asian : Philip Ahn and the Politics of Cross-Ethnic Performance</t>
  </si>
  <si>
    <t>Masters of the Sabar : Wolof Griot Percussionists of Senegal</t>
  </si>
  <si>
    <t>Philadelphia Maestros : Ormandy, Muti, Sawallisch</t>
  </si>
  <si>
    <t>Silent Gesture : The Autobiography of Tommie Smith</t>
  </si>
  <si>
    <t>The American Diary of a Japanese Girl : An Annotated Edition</t>
  </si>
  <si>
    <t>Spirits of America : A Social History of Alcohol</t>
  </si>
  <si>
    <t>Time to Care : Redesigning Child Care to Promote Education,</t>
  </si>
  <si>
    <t>Welfare Discipline : Discourse, Governance and Globalization</t>
  </si>
  <si>
    <t>Tourism and Protected Areas : Benefits Beyond Boundaries</t>
  </si>
  <si>
    <t>Agricultural Biotechnology and Intellectual Property : Seeds of Change</t>
  </si>
  <si>
    <t>The Scientific Study of General Intelligence : Tribute to Arthur Jensen</t>
  </si>
  <si>
    <t>Pergamon</t>
  </si>
  <si>
    <t>International Perspectives on the Management of Sport</t>
  </si>
  <si>
    <t>China : Open Policies towards Mergers and Acquisitions 2006</t>
  </si>
  <si>
    <t>Korea : OECD Environmental Performance Reviews</t>
  </si>
  <si>
    <t>Rise of China and India : What's in it for Africa?:Development Centre Studies</t>
  </si>
  <si>
    <t>Innovation and Growth in Tourism</t>
  </si>
  <si>
    <t>Intergovernmental Transfers for Environmental Infrastructure : Lessons from Armenia, the Russian Federation and Ukraine</t>
  </si>
  <si>
    <t>Education at a Glance : OECD Indicators - 2006 Edition</t>
  </si>
  <si>
    <t>Government R&amp;D Funding and Company Behaviour : Measuring Behavioural Additionality</t>
  </si>
  <si>
    <t>Nuclear Production of Hydrogen : Third Information Exchange Meeting, Oarai, Japan, 5-7 October 2005</t>
  </si>
  <si>
    <t>OECD Information Technology Outlook 2006</t>
  </si>
  <si>
    <t>Insurance Statistics Yearbook 1995-2004 : 2006 Edition</t>
  </si>
  <si>
    <t>Meeting the Challenge of Private Sector Development : Evidence from the Mekong Sub-region</t>
  </si>
  <si>
    <t>Credit Risk and Credit Access in Asia</t>
  </si>
  <si>
    <t>Light's labour's lost : Policies for Energy-Efficient Lighting</t>
  </si>
  <si>
    <t>Laboratory Experiments in the Social Sciences</t>
  </si>
  <si>
    <t>Research and Measurement Issues in Gambling Studies</t>
  </si>
  <si>
    <t>Developing Quality Metadata : Building Innovative Tools and Workflow Solutions</t>
  </si>
  <si>
    <t>High Definition and 24P Cinematography</t>
  </si>
  <si>
    <t>Democracy : Problems and Perspectives</t>
  </si>
  <si>
    <t>Science Fiction Cinema : Between Fantasy and Reality</t>
  </si>
  <si>
    <t>Modernist Literature : An Introduction:An Introduction</t>
  </si>
  <si>
    <t>Islamic Philosophy Aâ âZ</t>
  </si>
  <si>
    <t>American Ethnic History : Themes and Perspectives</t>
  </si>
  <si>
    <t>Philosophy and Love : From Plato to Popular Culture</t>
  </si>
  <si>
    <t>Belong : A TV Journalist's Search for Urban Culture from Beirut to Bamako, from Havana to Ho Chi Minh City</t>
  </si>
  <si>
    <t>Creating Love : A Guide to Finding and Attracting Love</t>
  </si>
  <si>
    <t>Creating Money : Spiritual Prescriptions for Prosperity</t>
  </si>
  <si>
    <t>Financial Self-Defense for Investors</t>
  </si>
  <si>
    <t>Grade Power : The Complete Guide to Improving Your Grades Through Self-Hypnosis</t>
  </si>
  <si>
    <t>How to Survive the Recession and the Recovery : The Insomniac's Guide</t>
  </si>
  <si>
    <t>Naked Millionaire : A Women's Guide to Building a Healthy Relationship with Money</t>
  </si>
  <si>
    <t>Public Power : The Fight for Publicly Owned Electricity</t>
  </si>
  <si>
    <t>Resources Rock : How to Invest in and Profit from the Next Global Boom in Natural Resources</t>
  </si>
  <si>
    <t>Patron Saint of Business Management, The : A New Management Style from a Wise Monk</t>
  </si>
  <si>
    <t>Pension Strategy : The Ultimate Guide to Personal Investing</t>
  </si>
  <si>
    <t>Retirement Guide : A Comprehensive Handbook on Aging, Retirement, Caregiving and Health - How to Plan and Pay For It</t>
  </si>
  <si>
    <t>Distributed Antenna Systems : Open Architecture for Future Wireless Communications</t>
  </si>
  <si>
    <t>Arts and State Governments : At Arm's Length or Arm in Arm?</t>
  </si>
  <si>
    <t>Financial Accounting and Tax Principles</t>
  </si>
  <si>
    <t>CIM Coursebook 06/07 Marketing Planning</t>
  </si>
  <si>
    <t>CIM Coursebook 06/07 Marketing Management in Practice : The Official CIM Coursebook 06/07</t>
  </si>
  <si>
    <t>Maximum Likelihood Estimation of Misspecified Models : Twenty Years Later</t>
  </si>
  <si>
    <t>Cyclic Nature of Innovation : Connecting Hard Sciences with Soft Values</t>
  </si>
  <si>
    <t>3G Marketing on the Internet : Third Generation Internet Marketing Strategies for Online Success</t>
  </si>
  <si>
    <t>Maximum Press</t>
  </si>
  <si>
    <t>Logistics and Fulfillment for E-Business : A Practical Guide to Mastering Back Office Functions for Online Commerce</t>
  </si>
  <si>
    <t>Business Planning: a Guide to Business Start-Up</t>
  </si>
  <si>
    <t>Marketing Made Simple</t>
  </si>
  <si>
    <t>Buddhism for Mothers with Lingering Questions : Taking stock of what really matters</t>
  </si>
  <si>
    <t>Inspired Living</t>
  </si>
  <si>
    <t>Natural Resource Management in Agriculture : Methods for Assessing Economic and Environmental Impacts</t>
  </si>
  <si>
    <t>New Horizons in Tourism : Strange Experiences and Stranger Practices</t>
  </si>
  <si>
    <t>Conflict, Social Capital and Managing Natural Resources : A West African Case Study</t>
  </si>
  <si>
    <t>Dynamics of Hired Farm Labour : Constraints and Community Responses</t>
  </si>
  <si>
    <t>Medical Law, Ethics, and Bioethics for Ambulatory Care</t>
  </si>
  <si>
    <t>IQ and Personality Tests : Assess and Improve Your Creativity, Aptitude and Intelligence</t>
  </si>
  <si>
    <t>How to Pass Graduate Psychometric Tests : Essential Preparation for Numerical and Verbal Ability Tests Plus Personality Questionnaires</t>
  </si>
  <si>
    <t>Raising Venture Capital Finance in Europe : A Practical Guide for Business Owners, Entrepreneurs and Investors</t>
  </si>
  <si>
    <t>High Performance Business Strategy : Inspiring Success Through Effective Human Resource Management</t>
  </si>
  <si>
    <t>The Innovative Leader : How to Inspire Your Team and Drive Creativity</t>
  </si>
  <si>
    <t>Commonsense Direct and Digital Marketing</t>
  </si>
  <si>
    <t>Change Management Masterclass : A Step-by-step Guide to Successful Change Management</t>
  </si>
  <si>
    <t>Ads to Icons : How Advertising Succeeds in a Multimedia Age</t>
  </si>
  <si>
    <t>International Logistics and Supply Chain Outsourcing : From Local to Global</t>
  </si>
  <si>
    <t>Managing Knowledge Security : Strategies for Protecting Your Company's Intellectual Assets</t>
  </si>
  <si>
    <t>Everything You Ever Needed to Know about Training : A One-stop Shop for Everyone Interested in Training, Learning and Development</t>
  </si>
  <si>
    <t>Archetypes and Motifs in Folklore and Literature: a Handbook</t>
  </si>
  <si>
    <t>China and the Challenge of Economic Globalization : The Impact of WTO Membership</t>
  </si>
  <si>
    <t>Financial Management in the Public Sector : Tools, Applications, and Cases</t>
  </si>
  <si>
    <t>M. E. Sharpe Incorporated</t>
  </si>
  <si>
    <t>M.E. Sharpe, Inc.</t>
  </si>
  <si>
    <t>Organizational Behavior 1 : Essential Theories of Motivation and Leadership</t>
  </si>
  <si>
    <t>Outsourcing and Insourcing in an International Context</t>
  </si>
  <si>
    <t>Affect and Groups</t>
  </si>
  <si>
    <t>Customer Satisfaction Measurement for ISO 9000: 2000</t>
  </si>
  <si>
    <t>Digital Television : MPEG-1, MPEG-2 and Principles of the DVB System</t>
  </si>
  <si>
    <t>Railroad Economics</t>
  </si>
  <si>
    <t>JAI Press Limited</t>
  </si>
  <si>
    <t>Sound FX : Unlocking the Creative Potential of Recording Studio Effects</t>
  </si>
  <si>
    <t>Business Ethics : Facing up to the Issues</t>
  </si>
  <si>
    <t>Economist Books</t>
  </si>
  <si>
    <t>Essential Finance : The Essential A-Z</t>
  </si>
  <si>
    <t>Profile Books</t>
  </si>
  <si>
    <t>Guide to Business Modelling</t>
  </si>
  <si>
    <t>Guide to Economic Indicators : Making Sense of Economics</t>
  </si>
  <si>
    <t>Guide to the Financial Markets</t>
  </si>
  <si>
    <t>Guide To Management Ideas</t>
  </si>
  <si>
    <t>society for all ages</t>
  </si>
  <si>
    <t>Boundary element method part 2 : fluid mechanics</t>
  </si>
  <si>
    <t>Digital Poverty : Latin American and Caribbean Perspectives</t>
  </si>
  <si>
    <t>Power Of Peer Learning : Networks and Development Cooperation</t>
  </si>
  <si>
    <t>Sustainable Development At Risk : Ignoring the Past</t>
  </si>
  <si>
    <t>Playing to the World's Biggest Audience : The Globalization of Chinese Film and TV</t>
  </si>
  <si>
    <t>The Culture Broker : Franklin D. Murphy and the Transformation of Los Angeles</t>
  </si>
  <si>
    <t>What's Really In Your Basket? : An Easy to Use Guide to Food Additives &amp; Cosmetic Ingredients</t>
  </si>
  <si>
    <t>Advances in Degradations Monitoring and Predictive Maintenance</t>
  </si>
  <si>
    <t>Capital Structure</t>
  </si>
  <si>
    <t>Globalization, culture and social capital : library professionals on the move</t>
  </si>
  <si>
    <t>Institutional Repositories : International Digital Library Perspectives  : Institutional Repositories</t>
  </si>
  <si>
    <t>Intellectual Capital Reporting</t>
  </si>
  <si>
    <t>Metadata and Semantics for Digital Libraries and Information Centres</t>
  </si>
  <si>
    <t>Methods for Solving Mathematical Physics Problems</t>
  </si>
  <si>
    <t>FOF Companion to the British Short Story</t>
  </si>
  <si>
    <t>Culture-on-Demand : Communication in a Crisis World</t>
  </si>
  <si>
    <t>Building Literacy in Social Studies : Strategies for Improving Comprehension and Critical Thinking</t>
  </si>
  <si>
    <t>Taking Action on Adolescent Literacy : An Implementation Guide for School Leaders</t>
  </si>
  <si>
    <t>Brain-Friendly Strategies for the Inclusion Classroom : Insights from a Neurologist and Classroom Teacher</t>
  </si>
  <si>
    <t>Principals Who Learn : Asking the Right Questions, Seeking the Best Solutions</t>
  </si>
  <si>
    <t>Leading Effective Meetings, Teams, and Work Groups in Districts and Schools : Ascd</t>
  </si>
  <si>
    <t>Improving Student Learning One Teacher at a Time : A Framework for Teaching</t>
  </si>
  <si>
    <t>Financial Accounting Fundamentals</t>
  </si>
  <si>
    <t>Fundamentals of Financial Accounting</t>
  </si>
  <si>
    <t>Management Accounting Performance Evaluation</t>
  </si>
  <si>
    <t>Handbook of Hope : Theory, Measures, and Applications</t>
  </si>
  <si>
    <t>Public House and Beverage Management: Key Principles and Issues</t>
  </si>
  <si>
    <t>The Abusive Personality : Violence and Control in Intimate Relationships</t>
  </si>
  <si>
    <t>Guilford Publications</t>
  </si>
  <si>
    <t>Guilford Press, The</t>
  </si>
  <si>
    <t>Contesting Neoliberalism : Urban Frontiers</t>
  </si>
  <si>
    <t>Deviant Peer Influences in Programs for Youth : Problems and Solutions</t>
  </si>
  <si>
    <t>The Emotional Survival Guide for Caregivers : Looking after Yourself and Your Family While Helping an Aging Parent</t>
  </si>
  <si>
    <t>Feeling Good about the Way You Look : A Program for Overcoming Body Image Problems</t>
  </si>
  <si>
    <t>Learning Disabilities : From Identification to Intervention</t>
  </si>
  <si>
    <t>Narrowing the Literacy Gap : What Works in High-Poverty Schools</t>
  </si>
  <si>
    <t>Personality and Psychopathology : Treating the Whole Person</t>
  </si>
  <si>
    <t>Psychology and Law : An Empirical Perspective</t>
  </si>
  <si>
    <t>Reading Assessment and Instruction for All Learners</t>
  </si>
  <si>
    <t>Reading Research at Work : Foundations of Effective Practice</t>
  </si>
  <si>
    <t>Self and Relationships : Connecting Intrapersonal and Interpersonal Processes</t>
  </si>
  <si>
    <t>Strategy Instruction for Students with Learning Disabilities</t>
  </si>
  <si>
    <t>The Guilford Press</t>
  </si>
  <si>
    <t>Success with Struggling Readers : The Benchmark School Approach</t>
  </si>
  <si>
    <t>Working with Families of the Poor : Guilford Publications</t>
  </si>
  <si>
    <t>Granular Physics</t>
  </si>
  <si>
    <t>Environmental Protection, Law and Policy : Text and Materials</t>
  </si>
  <si>
    <t>How to Argue with an Economist : Reopening Political Debate in Australia</t>
  </si>
  <si>
    <t>The Syntax of French</t>
  </si>
  <si>
    <t>Computational Methods for Multiphase Flow</t>
  </si>
  <si>
    <t>Ship-Shaped Offshore Installations : Design, Building, and Operation</t>
  </si>
  <si>
    <t>International Law and International Relations : An International Organization Reader</t>
  </si>
  <si>
    <t>Integrated Frequency Synthesizers for Wireless Systems</t>
  </si>
  <si>
    <t>Perspectives on Innovation</t>
  </si>
  <si>
    <t>Concurrent and Real-Time Programming in Ada</t>
  </si>
  <si>
    <t>Language and the Brain : Representation and Processing</t>
  </si>
  <si>
    <t>IPTV and Internet Video : Expanding the Reach of Television Broadcasting</t>
  </si>
  <si>
    <t>E-Commerce and V-Business : Digital Enterprise in the Twenty-First Century</t>
  </si>
  <si>
    <t>Project Management Toolkit: the Basics for Project Success</t>
  </si>
  <si>
    <t>Law Made Simple</t>
  </si>
  <si>
    <t>Light and Lens : Photography in the Digital Age</t>
  </si>
  <si>
    <t>Timing for Animation</t>
  </si>
  <si>
    <t>Communication Disorders in Spanish Speakers : Theoretical, Research and Clinical Aspects</t>
  </si>
  <si>
    <t>Bilingual Education in China : Practices, Policies and Concepts</t>
  </si>
  <si>
    <t>Language Planning and Policy in Latin America, Vol. 1 : Ecuador, Mexico and Paraguay</t>
  </si>
  <si>
    <t>Language Planning and Policy: Issues in Language Planning and Literacy</t>
  </si>
  <si>
    <t>Second Language Lexical Processes : Applied Linguistic and Psycholinguistic Perspectives</t>
  </si>
  <si>
    <t>Teaching Poetry Writing : A Five-Canon Approach</t>
  </si>
  <si>
    <t>Minority Languages and Cultural Diversity in Europe : Gaelic and Sorbian Perspectives</t>
  </si>
  <si>
    <t>Social Context and Fluency in L2 Learners : The Case of Wales</t>
  </si>
  <si>
    <t>Third or Additional Language Acquisition</t>
  </si>
  <si>
    <t>Tourism and Climate Change : Risks and Opportunities</t>
  </si>
  <si>
    <t>Pro-poor Tourism:  Who Benefits?</t>
  </si>
  <si>
    <t>Reporting Talk : Reported Speech in Interaction</t>
  </si>
  <si>
    <t>The Cambridge Introduction to the American Short Story</t>
  </si>
  <si>
    <t>The Text Mining Handbook : Advanced Approaches in Analyzing Unstructured Data</t>
  </si>
  <si>
    <t>Security of e-Systems and Computer Networks</t>
  </si>
  <si>
    <t>Proclus: Commentary on Plato's Timaeus: Volume 3, Book 3, Part 1, Proclus on the World's Body</t>
  </si>
  <si>
    <t>Aggression and Violence in Adolescence</t>
  </si>
  <si>
    <t>Reactive Systems : Modelling, Specification and Verification</t>
  </si>
  <si>
    <t>Econometric Modeling and Inference</t>
  </si>
  <si>
    <t>Functional Behaviorial Assessment, Diagnosis, and Treatment</t>
  </si>
  <si>
    <t>African American Servitude and Historical Imaginings : Retrospective Fiction and Representation</t>
  </si>
  <si>
    <t>Pan Macmillan</t>
  </si>
  <si>
    <t>AIDS in Asia : A Continent in Peril</t>
  </si>
  <si>
    <t>America at Work : Choices and Challenges</t>
  </si>
  <si>
    <t>America on the Edge : Henry Giroux on Politics, Culture, and Education</t>
  </si>
  <si>
    <t>America's Coming War with China : A Collision Course over Taiwan</t>
  </si>
  <si>
    <t>Becoming Muslim : Western Women's Conversions to Islam</t>
  </si>
  <si>
    <t>Being Feminist, Being Christian : Essays from Academia</t>
  </si>
  <si>
    <t>Black British Writing</t>
  </si>
  <si>
    <t>Building Blocks : Making Children Successful in the Early Years of School</t>
  </si>
  <si>
    <t>Citizen Shakespeare : Freemen and Aliens in the Language of the Plays</t>
  </si>
  <si>
    <t>Civic and Moral Learning in America</t>
  </si>
  <si>
    <t>Contested Modernities in Chinese Literature</t>
  </si>
  <si>
    <t>Cultures of Fetishism</t>
  </si>
  <si>
    <t>Cyber China : Reshaping National Identities in the Age of Information</t>
  </si>
  <si>
    <t>Dark Humor and Social Satire in the Modern British Novel</t>
  </si>
  <si>
    <t>Declining by Degrees : Higher Education at Risk</t>
  </si>
  <si>
    <t>Designing West Africa : Prelude to 21st Century Calamity</t>
  </si>
  <si>
    <t>Doing Fieldwork : Ethnographic Methods for Research in Developing Countries and Beyond</t>
  </si>
  <si>
    <t>Early Childhood Education, Postcolonial Theory, and Teaching Practices in India : Balancing Vygotsky and the Veda</t>
  </si>
  <si>
    <t>Ending the Cold War : Interpretations, Causation, and the Study of International Relations</t>
  </si>
  <si>
    <t>Forbidden Nation : A History of Taiwan</t>
  </si>
  <si>
    <t>Globalization, Negotiation, and the Failure of Transformation in South Africa : Revolution at a Bargain?</t>
  </si>
  <si>
    <t>Lee Teng-Hui and Taiwan's Quest for Identity</t>
  </si>
  <si>
    <t>Legitimacy, Meaning and Knowledge in the Making of Taiwanese Identity</t>
  </si>
  <si>
    <t>Make Believe in Film and Fiction : Visual vs. Verbal Storytelling</t>
  </si>
  <si>
    <t>Media and Conflict in the Twenty-First Century</t>
  </si>
  <si>
    <t>Media and the Politics of Failure : Great Powers, Communication Strategies, and Military Defeats</t>
  </si>
  <si>
    <t>Our Common Dwelling : Henry Thoreau, Transcendentalism, and the Class Politics of Nature</t>
  </si>
  <si>
    <t>Reform and the Non-State Economy in China : The Political Economy of Liberalization Strategies</t>
  </si>
  <si>
    <t>Reinventing the Alliance : US - Japan Security Partnership in an Era of Change</t>
  </si>
  <si>
    <t>Religion and the Formation of Taiwanese Identities</t>
  </si>
  <si>
    <t>Service-Learning in Higher Education : Critical Issues and Directions</t>
  </si>
  <si>
    <t>Social Movements in Politics : A Comparative Study</t>
  </si>
  <si>
    <t>Strawberry Days : How Internment Destroyed a Japanese American Community</t>
  </si>
  <si>
    <t>Sustainable Diplomacy : Ecology, Religion and Ethics in Muslim-Christian Relations</t>
  </si>
  <si>
    <t>Terror, Terrorism, and the Human Condition</t>
  </si>
  <si>
    <t>Terrorism : Origins and Evolution</t>
  </si>
  <si>
    <t>The Bush Administrations and Saddam Hussein : Deciding on Conflict</t>
  </si>
  <si>
    <t>The Child in the World/the World in the Child : Education and the Configuration of a Universal, Modern, and Globalized Childhood</t>
  </si>
  <si>
    <t>The History and Politics of Voting Technology : In Quest of Integrity and Public Confidence</t>
  </si>
  <si>
    <t>The Partition of Korea after World War II : A Global History</t>
  </si>
  <si>
    <t>The Postmodern Significance of Max Weber's Legacy: Disenchanting Disenchantment</t>
  </si>
  <si>
    <t>The Presidency and the Challenge of Democracy</t>
  </si>
  <si>
    <t>The Search for Deliberative Democracy in China</t>
  </si>
  <si>
    <t>The Sultan Speaks : Dialogue in English Plays and Histories about the Ottoman Turks</t>
  </si>
  <si>
    <t>The Turkish Turn in Contemporary German Literature : Towards a New Critical Grammar of Migration</t>
  </si>
  <si>
    <t>Turkish-Israeli Relationship : Changing Ties of Middle Eastern Outsiders</t>
  </si>
  <si>
    <t>Theaters of Desire : Authors, Readers, and the Reproduction of Early Chinese Song-Drama, 1300-2000</t>
  </si>
  <si>
    <t>Tourism and Dictatorship : Europe's Peaceful Invasion of Franco's Spain</t>
  </si>
  <si>
    <t>Turkish Dynamics : Bridge Across Troubled Lands</t>
  </si>
  <si>
    <t>Voices from the Front : Turkish Soldiers on the War with the Kurds</t>
  </si>
  <si>
    <t>Writing Chinese : Reshaping Chinese Cultural Identity</t>
  </si>
  <si>
    <t>Writing Short Stories</t>
  </si>
  <si>
    <t>Life after... Biological Sciences : A Practical Guide to Life after Your Degree</t>
  </si>
  <si>
    <t>Archaeology : The Basics</t>
  </si>
  <si>
    <t>Paradoxes From A To Z</t>
  </si>
  <si>
    <t>Studying Creatively : A Creativity Toolkit to Get Your Studies Out of a Rut</t>
  </si>
  <si>
    <t>FAQs for TAs : Practical Advice and Working Solutions for Teaching Assistants</t>
  </si>
  <si>
    <t>Dyslexia : Surviving and Succeeding at College</t>
  </si>
  <si>
    <t>Angela Carter's Nights at the Circus : A Routledge Study Guide</t>
  </si>
  <si>
    <t>Fifty Major Political Thinkers</t>
  </si>
  <si>
    <t>Sport and Physical Education: the Key Concepts</t>
  </si>
  <si>
    <t>Arundhati Roy's the God of Small Things : A Routledge Study Guide</t>
  </si>
  <si>
    <t>Economics: the Key Concepts</t>
  </si>
  <si>
    <t>Fifty Key Contemporary Thinkers : From Structuralism to Post-Humanism</t>
  </si>
  <si>
    <t>Television Studies: the Key Concepts</t>
  </si>
  <si>
    <t>Intermediate Spanish : A Grammar and Workbook</t>
  </si>
  <si>
    <t>Getting Science : The Teacher's Guide to Exciting and Painless Primary School Science</t>
  </si>
  <si>
    <t>World Trade Organization (WTO) : Law, Economics, and Politics</t>
  </si>
  <si>
    <t>British Fiction of The 1990s</t>
  </si>
  <si>
    <t>The Educational Potential of E-Portfolios : Supporting Personal Development and Reflective Learning</t>
  </si>
  <si>
    <t>Twentieth-Century Caribbean Literature : Critical Moments in Anglophone Literary History</t>
  </si>
  <si>
    <t>A Crisis of Global Institutions? : Multilateralism and International Security</t>
  </si>
  <si>
    <t>Global Media Discourse : A Critical Introduction</t>
  </si>
  <si>
    <t>Risk: Philosophical Perspectives</t>
  </si>
  <si>
    <t>In the Name of Phenomenology</t>
  </si>
  <si>
    <t>Reading Merleau-Ponty : On Phenomenology of Perception</t>
  </si>
  <si>
    <t>International Politics of HIV/AIDS : Global Disease-Local Pain</t>
  </si>
  <si>
    <t>World-Wide Shakespeares : Local Appropriations in Film and Performance</t>
  </si>
  <si>
    <t>The Literacy Game : The Story of the National Literacy Strategy</t>
  </si>
  <si>
    <t>Globalization and Everyday Life</t>
  </si>
  <si>
    <t>Yesterday, Today and Tomorrow</t>
  </si>
  <si>
    <t>Making Minds : What's Wrong with Education - and What Should We Do about It?</t>
  </si>
  <si>
    <t>Ecosystems</t>
  </si>
  <si>
    <t>The Internet and National Elections : A Comparative Study of Web Campaigning</t>
  </si>
  <si>
    <t>Analytical Psychology and German Classical Aesthetics: Goethe, Schiller, and Jung, Volume 1</t>
  </si>
  <si>
    <t>After 9/11 : Cultural Dimensions of American Global Power</t>
  </si>
  <si>
    <t>Geographies of Modernism</t>
  </si>
  <si>
    <t>On Deaths and Endings : Psychoanalysts' Reflections on Finality, Transformations and New Beginnings</t>
  </si>
  <si>
    <t>An Introduction to Moral Philosophy and Moral Education</t>
  </si>
  <si>
    <t>Using Narrative Inquiry As a Research Method : An Introduction to Using Critical Event Narrative Analysis in Research on Learning and Teaching</t>
  </si>
  <si>
    <t>Nations Matter : Culture, History and the Cosmopolitan Dream</t>
  </si>
  <si>
    <t>Cinema Taiwan : Politics, Popularity and State of the Arts</t>
  </si>
  <si>
    <t>China Stands Up : The PRC and the International System</t>
  </si>
  <si>
    <t>The Inter-Asia Cultural Studies Reader</t>
  </si>
  <si>
    <t>Global Governance and Japan : The Institutional Architecture</t>
  </si>
  <si>
    <t>Critical Essays on Major Curriculum Theorists</t>
  </si>
  <si>
    <t>Preparing for Blended E-Learning</t>
  </si>
  <si>
    <t>The Extreme Right in France : From Pétain to le Pen</t>
  </si>
  <si>
    <t>Project Managing E-Learning : A Handbook for Successful Design, Delivery and Management</t>
  </si>
  <si>
    <t>The Death of Progressive Education : How Teachers Lost Control of the Classroom</t>
  </si>
  <si>
    <t>An Atlas of World Affairs</t>
  </si>
  <si>
    <t>The Pedagogy of Lifelong Learning : Understanding Effective Teaching and Learning in Diverse Contexts</t>
  </si>
  <si>
    <t>Reconsidering Open and Distance Learning in the Developing World : Meeting Students' Learning Needs</t>
  </si>
  <si>
    <t>Curriculum and Imagination : Process Theory, Pedagogy and Action Research</t>
  </si>
  <si>
    <t>Nature and Sociology</t>
  </si>
  <si>
    <t>Boutiques and Other Retail Spaces : The Architecture of Seduction</t>
  </si>
  <si>
    <t>A Casebook of Cognitive Behaviour Therapy for Command Hallucinations : A Social Rank Theory Approach</t>
  </si>
  <si>
    <t>The Mechanics of Soils and Foundations</t>
  </si>
  <si>
    <t>Rethinking Pedagogy for a Digital Age : Designing and Delivering E-Learning</t>
  </si>
  <si>
    <t>Research Methods in Education</t>
  </si>
  <si>
    <t>Ethnography : Principles in Practice</t>
  </si>
  <si>
    <t>Fundamentals of Geomorphology</t>
  </si>
  <si>
    <t>Human Rights Controversies : The Impact of Legal Form</t>
  </si>
  <si>
    <t>Judith Butler: Ethics, Law, Politics</t>
  </si>
  <si>
    <t>A New Approach to Sediment Transport in the Design and Operation of Irrigation Canals : UNESCO-IHE Lecture Note Series</t>
  </si>
  <si>
    <t>Architecture and Its Ethical Dilemmas</t>
  </si>
  <si>
    <t>Museums in the Material World</t>
  </si>
  <si>
    <t>Hypothetical Thinking : Dual Processes in Reasoning and Judgement</t>
  </si>
  <si>
    <t>Straight Choices : The Psychology of Decision Making</t>
  </si>
  <si>
    <t>Reinforced Concrete Designer's Handbook</t>
  </si>
  <si>
    <t>The Economic Analysis of Public Policy</t>
  </si>
  <si>
    <t>The Moral Leader : Challenges, Tools and Insights</t>
  </si>
  <si>
    <t>Sustainable Urban Development Volume 2 : The Environmental Assessment Methods</t>
  </si>
  <si>
    <t>How to Manage Spelling Successfully</t>
  </si>
  <si>
    <t>European Landscape Architecture : Best Practice in Detailing</t>
  </si>
  <si>
    <t>Underwater Embankments on Soft Soil : A Case History</t>
  </si>
  <si>
    <t>Everyday Memory</t>
  </si>
  <si>
    <t>Beyond Market-Driven Development : Drawing on the Experience of Asia and Latin America</t>
  </si>
  <si>
    <t>Human Rights and US Foreign Policy</t>
  </si>
  <si>
    <t>Money and Markets : A Doctrinal Approach</t>
  </si>
  <si>
    <t>Concrete Pavement Design Guidance Notes : Guidance Notes</t>
  </si>
  <si>
    <t>Civil Societies and Social Movements : Potentials and Problems</t>
  </si>
  <si>
    <t>Civil Society, Religion and Global Governance : Paradigms of Power and Persuasion</t>
  </si>
  <si>
    <t>The Psychology of Counterfactual Thinking</t>
  </si>
  <si>
    <t>A History of Econometrics in France : From Nature to Models</t>
  </si>
  <si>
    <t>Consumer Capitalism</t>
  </si>
  <si>
    <t>Knowledge and Innovation in Business and Industry : The Importance of Using Others</t>
  </si>
  <si>
    <t>The EU and Conflict Resolution : Promoting Peace in the Backyard</t>
  </si>
  <si>
    <t>Korea in the New Asia : East Asian Integration and the China Factor</t>
  </si>
  <si>
    <t>Information Strategy and Warfare : A Guide to Theory and Practice</t>
  </si>
  <si>
    <t>Dealing with DNA Evidence : A Legal Guide</t>
  </si>
  <si>
    <t>Human Rights and the Private Sphere Vol 1 : A Comparative Study</t>
  </si>
  <si>
    <t>China's Reforms and International Political Economy</t>
  </si>
  <si>
    <t>The European Union and the Public Sphere : A Communicative Space in the Making?</t>
  </si>
  <si>
    <t>Geopolitics and the Great Powers in the 21st Century : Multipolarity and the Revolution in Strategic Perspective</t>
  </si>
  <si>
    <t>China's Foreign Trade Policy : The New Constituencies</t>
  </si>
  <si>
    <t>People and Culture in Construction : A Reader</t>
  </si>
  <si>
    <t>Politics in Malaysia : The Malay Dimension</t>
  </si>
  <si>
    <t>The Chinese Banking Industry : Lessons from History for Today's Challenges</t>
  </si>
  <si>
    <t>Pricing Theory, Financing of International Organisations and Monetary History</t>
  </si>
  <si>
    <t>Chinese Migrants and Internationalism : Forgotten Histories, 1917-1945</t>
  </si>
  <si>
    <t>Human Emotions : A Sociological Theory</t>
  </si>
  <si>
    <t>The Chaitanya Vaishnava Vedanta of Jiva Gosvami : When Knowledge Meets Devotion</t>
  </si>
  <si>
    <t>Elections As Popular Culture in Asia</t>
  </si>
  <si>
    <t>Interpreting Classical Economics : Studies in Long-Period Analysis</t>
  </si>
  <si>
    <t>Russian Television Today : Primetime Drama and Comedy</t>
  </si>
  <si>
    <t>Taiwan and Post-Communist Europe : Shopping for Allies</t>
  </si>
  <si>
    <t>Exploring Post-Development : Theory and Practice, Problems and Perspectives</t>
  </si>
  <si>
    <t>Development on the Ground : Clusters, Networks and Regions in Emerging Economies</t>
  </si>
  <si>
    <t>Binders for Durable and Sustainable Concrete</t>
  </si>
  <si>
    <t>The Seven Steps of Effective Executive Coaching</t>
  </si>
  <si>
    <t>Thorogood Publishing</t>
  </si>
  <si>
    <t>Buying and Selling a Business for Wealth</t>
  </si>
  <si>
    <t>Commercial Contracts : Drafting Techniques and Precedents</t>
  </si>
  <si>
    <t>Mastering People Management : Build a Successful Team : Motivate, Empower and Lead People</t>
  </si>
  <si>
    <t>Niche Marketing for Coaches</t>
  </si>
  <si>
    <t>Strategic Customer Planning : How to Develop and Implement a Strategic Account Plan</t>
  </si>
  <si>
    <t>Finance and Accountancy Desktop Guide for the Non-financial Manager</t>
  </si>
  <si>
    <t>Manager's Guide to Competitive Marketing Strategies</t>
  </si>
  <si>
    <t>Trade Secrets of Using E-Learning in Training : How Best to Plan, Design and Implement E-Learning Training Programmes</t>
  </si>
  <si>
    <t>Websites and the Law : Protect Your Position</t>
  </si>
  <si>
    <t>Histoire d'un pionnier de l'informatique</t>
  </si>
  <si>
    <t>EDP Sciences</t>
  </si>
  <si>
    <t>Hostess : Hospitality, Femininity, and the Expropriation of Identity</t>
  </si>
  <si>
    <t>University of Minnesota Press</t>
  </si>
  <si>
    <t>Next to the Color Line : Gender, Sexuality, and W. E. B. Du Bois</t>
  </si>
  <si>
    <t>Algorithms on Strings</t>
  </si>
  <si>
    <t>Advanced Model Order Reduction Techniques in VLSI Design</t>
  </si>
  <si>
    <t>Virtue Ethics and Consequentialism in Early Chinese Philosophy</t>
  </si>
  <si>
    <t>Versions of Blackness : Key Texts on Slavery from the Seventeenth Century</t>
  </si>
  <si>
    <t>Financial Stability, Economic Growth, and the Role of Law</t>
  </si>
  <si>
    <t>Digital Nature Photography : The Art and the Science</t>
  </si>
  <si>
    <t>Risk Accounting and Risk Management for Accountants</t>
  </si>
  <si>
    <t>Accounting for Sustainable Development Performance</t>
  </si>
  <si>
    <t>Acoustic and MIDI Orchestration for the Contemporary Composer</t>
  </si>
  <si>
    <t>Fighting Fraud : How to Establish and Manage an Anti-Fraud Program</t>
  </si>
  <si>
    <t>Quantitative Analysis, Derivatives Modeling, And Trading Strategies: In The Presence Of Counterparty Credit Risk For The Fixed-income Market</t>
  </si>
  <si>
    <t>Knowledge Management And Risk Strategies</t>
  </si>
  <si>
    <t>Bare Essentials Of Investing, The: Teaching The Horse To Talk</t>
  </si>
  <si>
    <t>Environmental Planning And Management</t>
  </si>
  <si>
    <t>Imperial College Press</t>
  </si>
  <si>
    <t>Laser Cleaning Ii</t>
  </si>
  <si>
    <t>Creating Collaborative Advantage Through Knowledge and Innovation</t>
  </si>
  <si>
    <t>Business And Information Technologies (Bit) Project, The: A Global Study Of Business Practice</t>
  </si>
  <si>
    <t>Handbook Of Information Technology In Organizations And Electronic Markets</t>
  </si>
  <si>
    <t>2004 New And Renewable Energy Technologies For Sustainable Development</t>
  </si>
  <si>
    <t>An Introduction to the Basics of Reliability and Risk Analysis</t>
  </si>
  <si>
    <t>MOSFET Modeling for Circuit Analysis and Design</t>
  </si>
  <si>
    <t>Guanxi and Business</t>
  </si>
  <si>
    <t>Dynamic Plasticity</t>
  </si>
  <si>
    <t>Nanotubes and Nanowires</t>
  </si>
  <si>
    <t>Real-Time Systems : Modeling, Design And Applications</t>
  </si>
  <si>
    <t>Advanced Courses Of Mathematical Analysis Ii - Proceedings Of The Second International School : Proceedings of the Second International School</t>
  </si>
  <si>
    <t>China's Elite Politics : Political Transition and Power Balancing</t>
  </si>
  <si>
    <t>Theory Of The Firm's Cost Of Capital, A: How Debt Affects The Firm's Risk, Value, Tax Rate, And The Government's Tax Claim</t>
  </si>
  <si>
    <t>Fads, Fallacies And Foolishness In Medical Care Management And Policy : Management and Policy</t>
  </si>
  <si>
    <t>50 Math And Science Games For Leadership</t>
  </si>
  <si>
    <t>Environmental Applications Of Nanomaterials: Synthesis, Sorbents And Sensors</t>
  </si>
  <si>
    <t>Stochastic Processes and Applications to Mathematical Finance : Proceedings of the 6th Ritsumeikan International Symposium</t>
  </si>
  <si>
    <t>Principles of Artificial Neural Networks</t>
  </si>
  <si>
    <t>Fuzzy Logic for Business, Finance, and Management</t>
  </si>
  <si>
    <t>Codes for Error Detection</t>
  </si>
  <si>
    <t>Divided China: Preparing For Reunification 883-947</t>
  </si>
  <si>
    <t>Compound Semiconductors Bulk Materials and Characterizations</t>
  </si>
  <si>
    <t>Scientific Writing : A Reader and Writer's</t>
  </si>
  <si>
    <t>Image Pattern Recognition : Synthesis and Analysis in Biometrics</t>
  </si>
  <si>
    <t>GCA 2007 : Proceedings of the 3rd International Workshop on Grid Computing and Application</t>
  </si>
  <si>
    <t>Creativity: A Handbook For Teachers</t>
  </si>
  <si>
    <t>Business And Investment Environment In Taiwan And Mainland China, The: A Focus On The It And High-tech Electronic Industries</t>
  </si>
  <si>
    <t>Topological Aspects of Critical Systems and Networks : Proceedings of the International Symposium (with CD-ROM)</t>
  </si>
  <si>
    <t>Advanced Semiconductor Devices : Proceedings of the 2006 Lester Eastman Conference</t>
  </si>
  <si>
    <t>Open Secrets of American Foreign Pollicy</t>
  </si>
  <si>
    <t>Project-based Organization In The Knowledge-based Society : Innovation by Strategic Communities</t>
  </si>
  <si>
    <t>Are Your Customers Being Served? : How to Boost Profits by Delivering Exceptional Customer Service</t>
  </si>
  <si>
    <t>Executive Function : Unlock Your Potential</t>
  </si>
  <si>
    <t>Electronic &amp; Database Publishing, Inc.</t>
  </si>
  <si>
    <t>Planning and Financing</t>
  </si>
  <si>
    <t>60 Second Procrastinator : Sixty Solid Techniques to Jump-Start Any Project and Get Your Life in Gear!</t>
  </si>
  <si>
    <t>Handbook of Psychological Assessment</t>
  </si>
  <si>
    <t>Photography Foundations for Art and Design : The creative photography handbook</t>
  </si>
  <si>
    <t>ROI for Technology Projects : Measuring and Delivering Value</t>
  </si>
  <si>
    <t>Global Theme Park Industry</t>
  </si>
  <si>
    <t>Redesigning Animal Agriculture : The Challenge of the 21st Century</t>
  </si>
  <si>
    <t>Heat Treatments for Postharvest Pest Control : Theory and Practice</t>
  </si>
  <si>
    <t>Decentralization and the Social Economics of Development : Lessons from Kenya</t>
  </si>
  <si>
    <t>Attachment in Psychotherapy</t>
  </si>
  <si>
    <t>Attachment Theory in Clinical Work with Children : Bridging the Gap Between Research and Practice</t>
  </si>
  <si>
    <t>Best Practices in Writing Instruction</t>
  </si>
  <si>
    <t>Children's Comprehension Problems in Oral and Written Language : A Cognitive Perspective</t>
  </si>
  <si>
    <t>The Evolution of Mind : Fundamental Questions and Controversies</t>
  </si>
  <si>
    <t>Human Behavior, Learning, and the Developing Brain : Typical Development</t>
  </si>
  <si>
    <t>Implicit Measures of Attitudes</t>
  </si>
  <si>
    <t>Ordinary Families, Special Children : A Systems Approach to Childhood Disability</t>
  </si>
  <si>
    <t>Sustainable Poverty Reduction in Less Favoured Areas : Problems, Options and Strategies</t>
  </si>
  <si>
    <t>Impact of Science on African Agriculture and Food Security</t>
  </si>
  <si>
    <t>Marketing to Win More Business : The Easy Step by Step Guide</t>
  </si>
  <si>
    <t>National Trust Manual of Housekeeping : The Care of Collections in Historic Houses Open to the Public</t>
  </si>
  <si>
    <t>Elsevier Science</t>
  </si>
  <si>
    <t>Telemarketing, Cold Calling and Appointment Making : The Easy Step by Step Guide</t>
  </si>
  <si>
    <t>David Cronenberg : Author or Filmmaker?</t>
  </si>
  <si>
    <t>Race in the American South : From Slavery to Civil Rights</t>
  </si>
  <si>
    <t>Introduction to Applied Linguistics : From Practics to Theory</t>
  </si>
  <si>
    <t>Singapore English</t>
  </si>
  <si>
    <t>Social Issues in Television Fiction</t>
  </si>
  <si>
    <t>Research Methods for Law</t>
  </si>
  <si>
    <t>Media Discourse : Representation and Interaction</t>
  </si>
  <si>
    <t>Cosmetics in Shakespearean and Renaissance Drama</t>
  </si>
  <si>
    <t>Deliberative Democracy and Divided Societies</t>
  </si>
  <si>
    <t>Inside John Haynie's Studio : A Master Teacher's Lessons on Trumpet and Life</t>
  </si>
  <si>
    <t>University of North Texas Press</t>
  </si>
  <si>
    <t>Adventures in the West : Stories for Young Readers</t>
  </si>
  <si>
    <t>American Indians and State Law : Sovereignty, Race, and Citizenship, 1790-1880</t>
  </si>
  <si>
    <t>Chevato : The Story of the Apache Warrior Who Captured Herman Lehmann</t>
  </si>
  <si>
    <t>Counter-Thrust : From the Peninsula to the Antietam</t>
  </si>
  <si>
    <t>Eight Women, Two Model Ts, and the American West</t>
  </si>
  <si>
    <t>Endgame 1758 : The Promise, the Glory, and the Despair of Louisbourg's Last Decade</t>
  </si>
  <si>
    <t>Game of Brawl : The Orioles, the Beaneaters, and the Battle for the 1897 Pennant</t>
  </si>
  <si>
    <t>Imagined Underworld : Sex, Crime, and Vice in Porfirian Mexico City</t>
  </si>
  <si>
    <t>In the Shadow of the Moon : A Challenging Journey to Tranquility, 1965-1969</t>
  </si>
  <si>
    <t>Nez Perce Country</t>
  </si>
  <si>
    <t>Only a Game</t>
  </si>
  <si>
    <t>UNP - Bison Original</t>
  </si>
  <si>
    <t>Poetics of Golf</t>
  </si>
  <si>
    <t>Queer Lives : Men's Autobiographies from Nineteenth-Century France</t>
  </si>
  <si>
    <t>Remaking the North American Food System : Strategies for Sustainability</t>
  </si>
  <si>
    <t>Season in Purgatory : Villanova and Life in College Football's Lower Class</t>
  </si>
  <si>
    <t>CANON DSLR: the Ultimate Photographer's Guide</t>
  </si>
  <si>
    <t>Wireless Networking: Know It All</t>
  </si>
  <si>
    <t>Newnes</t>
  </si>
  <si>
    <t>Islam : Historical, Social and Political Perspectives</t>
  </si>
  <si>
    <t>Circle-valued Morse Theory : Circle-valued Morse Theory</t>
  </si>
  <si>
    <t>Tense and Aspect in the Languages of Europe : Tense and Aspect in the Languages of Europe</t>
  </si>
  <si>
    <t>Music Divided : Bartók's Legacy in Cold War Culture</t>
  </si>
  <si>
    <t>Ancestors and Anxiety : Daoism and the Birth of Rebirth in China</t>
  </si>
  <si>
    <t>Nanoscale Science : Activities for Grades 6-12</t>
  </si>
  <si>
    <t>Air, Water, and Weather : Stop Faking It! Finally Understanding Science So You Can Teach It</t>
  </si>
  <si>
    <t>Responsive Literacy Coaching : Tools for Creating and Sustaining Purposeful Change</t>
  </si>
  <si>
    <t>Art and Science of Teaching : A Comprehensive Framework for Effective Instruction</t>
  </si>
  <si>
    <t>Checking for Understanding : Formative Assessment Techniques for Your Classroom</t>
  </si>
  <si>
    <t>EdSpeak : A Glossary of Education Terms, Phrases, Buzzwords, and Jargon</t>
  </si>
  <si>
    <t>Essentials of World Languages Grades K12 : Effective Curriculum, Instruction, and Assessment</t>
  </si>
  <si>
    <t>Irrigation and River Basin Management : Options for Governance and Institutions</t>
  </si>
  <si>
    <t>Tourism and the Less Developed World Issues and Case Studies : Issues and Case Studies</t>
  </si>
  <si>
    <t>Consumer Psychology of Tourism, Hospitality and Leisure</t>
  </si>
  <si>
    <t>Child Protection : Using Research to Improve Policy and Practice</t>
  </si>
  <si>
    <t>Global Trade and Poor Nations : The Poverty Impacts and Policy Implications of Liberalization</t>
  </si>
  <si>
    <t>The Federal Budget : Politics, Policy, Process</t>
  </si>
  <si>
    <t>Building Inclusive Financial Systems : A Framework for Financial Access</t>
  </si>
  <si>
    <t>Organic Farming : An International History</t>
  </si>
  <si>
    <t>Biological Control : A Global Perspective</t>
  </si>
  <si>
    <t>Irrigation Water Pricing : The Gap Between Theory and Practice</t>
  </si>
  <si>
    <t>Forestry and Climate Change</t>
  </si>
  <si>
    <t>The Future of the Brain : The Promise and Perils of Tomorrow's Neuroscience</t>
  </si>
  <si>
    <t>Life on Paper : The Drawings and Lithographs of John Thomas Biggers</t>
  </si>
  <si>
    <t>Serial Port Complete : COM Ports, USB Virtual COM Ports, and Ports for Embedded Systems</t>
  </si>
  <si>
    <t>Teaching Secondary English With ICT</t>
  </si>
  <si>
    <t>Understanding The Local Media</t>
  </si>
  <si>
    <t>Online News : Journalism And The Internet</t>
  </si>
  <si>
    <t>Coaching and Mentoring at Work : Developing Effective Practice</t>
  </si>
  <si>
    <t>Applying Research In Social Work Practice</t>
  </si>
  <si>
    <t>Reflexive Embodiment In Contemporary Society : The Body in Late Modern Society</t>
  </si>
  <si>
    <t>Good Research Guide</t>
  </si>
  <si>
    <t>Short History Of Society : The Making Of The Modern World</t>
  </si>
  <si>
    <t>New Literacies : Everyday Practices and Classroom Learning</t>
  </si>
  <si>
    <t>Extending Social Research : Application, Implementation And Publication</t>
  </si>
  <si>
    <t>Key Issues In Critical And Cultural Theory</t>
  </si>
  <si>
    <t>Ethical Leadership</t>
  </si>
  <si>
    <t>Handbook Of Academic Writing : A Fresh Approach</t>
  </si>
  <si>
    <t>Complete Guide to Referencing and Avoiding Plagiarism</t>
  </si>
  <si>
    <t>Working With Children In Care : European Perspectives</t>
  </si>
  <si>
    <t>Gentle Guide To Research Methods</t>
  </si>
  <si>
    <t>Grammar : A Friendly Approach</t>
  </si>
  <si>
    <t>Global Religions : An Introduction</t>
  </si>
  <si>
    <t>Any Child Can Write</t>
  </si>
  <si>
    <t>A Guide to Biblical Sites in Greece and Turkey</t>
  </si>
  <si>
    <t>Caregiving Contexts : Cultural, Familial, and Societal Implications</t>
  </si>
  <si>
    <t>Crosslinguistic Perspectives on Argument Structure : Implications for Learnability</t>
  </si>
  <si>
    <t>Women's Reflections on the Complexities of Forgiveness</t>
  </si>
  <si>
    <t>Encyclopedia of Nineteenth-Century Photography</t>
  </si>
  <si>
    <t>Fishing Minnesota : Angling with the Experts in the Land of 10,000 Lakes</t>
  </si>
  <si>
    <t>Give Your Elevator Speech a Lift!</t>
  </si>
  <si>
    <t>Stop Managing, Start Coaching! : How to Make Your Employees Happy and Productive So They Help Your Business Prosper and Thrive</t>
  </si>
  <si>
    <t>Brain Literacy for Educators and Psychologists</t>
  </si>
  <si>
    <t>Audio Sampling : A Practical Guide</t>
  </si>
  <si>
    <t>Podcast Academy: the Business Podcasting Book</t>
  </si>
  <si>
    <t>Texas Baptist Power Struggle : The Hayden Controversy</t>
  </si>
  <si>
    <t>How to Draw Cartoons</t>
  </si>
  <si>
    <t>Accent Press Ltd</t>
  </si>
  <si>
    <t>Accent</t>
  </si>
  <si>
    <t>Policy Paradox In Africa : Strengthening Links between Economic Research and Policymaking</t>
  </si>
  <si>
    <t>Surround Sound : Up and running</t>
  </si>
  <si>
    <t>Telecommunications Law in the Internet Age</t>
  </si>
  <si>
    <t>Business Process Change : A Guide for Business Managers and BPM and Six Sigma Professionals</t>
  </si>
  <si>
    <t>Community-Based Water Law and Water Resource Management Reform in Developing Countries : Comprehensive Assessment of Water Management in Agriculture Series, v.5</t>
  </si>
  <si>
    <t>Biotechnology and Plant Disease Management</t>
  </si>
  <si>
    <t>International Research on Natural Resource Management : Advances in Impact Assessment</t>
  </si>
  <si>
    <t>Globalization and the Least Developed Countries : Potentials and Pitfalls</t>
  </si>
  <si>
    <t>Integrated Watershed Management : Connecting People to their Land and Water</t>
  </si>
  <si>
    <t>Thus Spake Zarathustra</t>
  </si>
  <si>
    <t>Algora Publishing</t>
  </si>
  <si>
    <t>Fear, Anger And Failure : A Chronicle of the Bush Administrations War Against Terror from the Attacks in September 2001 to Defeat in Baghdad</t>
  </si>
  <si>
    <t>Financing Higher Education in a Global Market</t>
  </si>
  <si>
    <t>Kenya Today : Challenges in Post-Colonial Africa</t>
  </si>
  <si>
    <t>History of Russian Christianity : The Synodal Era and the Sectarians 1725 to 1894</t>
  </si>
  <si>
    <t>Videomaker Guide to  Video Production</t>
  </si>
  <si>
    <t>Managing Change : Learning Made Simple</t>
  </si>
  <si>
    <t>Cryptography for Developers</t>
  </si>
  <si>
    <t>George Westinghouse : Gentle Genius</t>
  </si>
  <si>
    <t>Making Human Rights Real</t>
  </si>
  <si>
    <t>White House Special Handbook, or How to Rule the World in the 21st Century</t>
  </si>
  <si>
    <t>Nursing Education : Foundations for Practice Excellence</t>
  </si>
  <si>
    <t>Don't Just Do Something, Stand There! : Ten Principles for Leading Meetings That Matter</t>
  </si>
  <si>
    <t>Berrett-Koehler Publishers, Incorporated</t>
  </si>
  <si>
    <t>Executive Coaching for Results : The Definitive Guide to Developing Organizational Leaders</t>
  </si>
  <si>
    <t>Seeing Systems : Unlocking the Mysteries of Organizational Life</t>
  </si>
  <si>
    <t>The Change Handbook : The Definitive Resource on Today's Best Methods for Engaging Whole Systems</t>
  </si>
  <si>
    <t>You're Addicted to You : Why It's So Hard to Change - And What You Can Do about It</t>
  </si>
  <si>
    <t>Project Management Survival : A Practical Guide to Leading, Managing and Delivering Challenging Projects</t>
  </si>
  <si>
    <t>Different Thinking : Creative Strategies for Developing the Innovative Business</t>
  </si>
  <si>
    <t>How to Succeed at Retail : Winning Case Studies and Strategies for Retailers and Brands</t>
  </si>
  <si>
    <t>Transport Communications : Understanding Global Networks Enabling Transport Services</t>
  </si>
  <si>
    <t>Evaluating Public Relations : A Best Practice Guide to Public Relations Planning, Research and Evaluation</t>
  </si>
  <si>
    <t>Malcolm McDonald on Marketing Planning : Understanding Marketing Plans and Strategy</t>
  </si>
  <si>
    <t>Private Label : Turning the Retail Brand Threat into Your Biggest Opportunity</t>
  </si>
  <si>
    <t>Health and Safety at Work : An Essential Guide for Managers</t>
  </si>
  <si>
    <t>Managing Risk in Extreme Environments : Front-Line Business Lessons for Corporates and Financial Institutions</t>
  </si>
  <si>
    <t>The Talent Powered Organization : Strategies for Globalization, Talent Management and High Performance</t>
  </si>
  <si>
    <t>The Handbook of Field Marketing : A Complete Guide to Understanding and Outsourcing Face-To-Face Direct Marketing</t>
  </si>
  <si>
    <t>New Strategies for Reputation Management : Gaining Control of Issues, Crises and Corporate Social Responsibility</t>
  </si>
  <si>
    <t>Appreciative Inquiry for Change Management : Using AI to Facilitate Organizational Development</t>
  </si>
  <si>
    <t>Dictionary of Food : International Food and Cooking Terms from A to Z</t>
  </si>
  <si>
    <t>Dictionary of Contemporary Slang</t>
  </si>
  <si>
    <t>Boosting Sales : Increasing Profits...Without Breaking the Bank</t>
  </si>
  <si>
    <t>Working Ethically : Creating a Sustainable Business... without Breaking the Bank</t>
  </si>
  <si>
    <t>Bloomsbury Publishing Plc</t>
  </si>
  <si>
    <t>A&amp;C Black Business Information and Development</t>
  </si>
  <si>
    <t>100 Must-Read Classic Novels : Bloomsbury Good Reading Guides</t>
  </si>
  <si>
    <t>100 Must-Read Crime Novels : Bloomsbury Good Reading Guides</t>
  </si>
  <si>
    <t>100 Must-Read Science Fiction Novels : Bloomsbury Good Reading Guides</t>
  </si>
  <si>
    <t>Dictionary of Publishing and Printing</t>
  </si>
  <si>
    <t>Check Your English Vocabulary for IELTS : All You Need to Pass Your Exams</t>
  </si>
  <si>
    <t>Eating Out en Français : More Than 2,000 Food and Wine Terms in English and French Plus Mini-Phrasebook and Guide to Wine Reg</t>
  </si>
  <si>
    <t>I Win, You Win : The Essential Guide to Principled Negotiation</t>
  </si>
  <si>
    <t>Dictionary of Sport and Exercise Science</t>
  </si>
  <si>
    <t>Dictionary of Languages : The Definitive Reference to More Than 400 Languages</t>
  </si>
  <si>
    <t>Bloomsbury Information</t>
  </si>
  <si>
    <t>Dictionary of Economics : Over 3,000 terms clearly defined</t>
  </si>
  <si>
    <t>Dictionary of Leisure, Travel and Tourism</t>
  </si>
  <si>
    <t>A&amp;C Black Business Information &amp; Development</t>
  </si>
  <si>
    <t>Easier English Basic Synonyms : Pre-Intermediate Level. Ideal for Vocabulary Building</t>
  </si>
  <si>
    <t>Check Your English Vocabulary for FCE + : All You Need to Pass Your Exams</t>
  </si>
  <si>
    <t>Easier English Intermediate Dictionary</t>
  </si>
  <si>
    <t>Women's Poetry</t>
  </si>
  <si>
    <t>Canadian Literature</t>
  </si>
  <si>
    <t>Contemporary American Drama</t>
  </si>
  <si>
    <t>Hollywood's Cold War</t>
  </si>
  <si>
    <t>About Time : Narrative, Fiction and the Philosophy of Time</t>
  </si>
  <si>
    <t>The Art and Science of Child Custody Evaluations</t>
  </si>
  <si>
    <t>Classroom Literacy Assessment : Making Sense of What Students Know and Do</t>
  </si>
  <si>
    <t>Designing Professional Development in Literacy : A Framework for Effective Instruction</t>
  </si>
  <si>
    <t>Developing Literacy in Preschool</t>
  </si>
  <si>
    <t>Differentiated Reading Instruction : Strategies for the Primary Grades</t>
  </si>
  <si>
    <t>Executive Function in Education : From Theory to Practice</t>
  </si>
  <si>
    <t>Handbook of Cultural Psychology</t>
  </si>
  <si>
    <t>Handbook of Research Methods in Personality Psychology</t>
  </si>
  <si>
    <t>Integrating Literacy and Technology : Effective Practice for Grades K-6</t>
  </si>
  <si>
    <t>Preschool Assessment : Principles and Practices</t>
  </si>
  <si>
    <t>Promoting Self-Determination in Students with Developmental Disabilities</t>
  </si>
  <si>
    <t>Shaping Literacy Achievement : Research We Have, Research We Need</t>
  </si>
  <si>
    <t>Teaching Reading Comprehension to Students with Learning Difficulties</t>
  </si>
  <si>
    <t>Guilford Press</t>
  </si>
  <si>
    <t>Vygotsky's Legacy : A Foundation for Research and Practice</t>
  </si>
  <si>
    <t>British Library and Information Schools - The Research of the Department of Information Science, City University, London : British Library and Information Schools</t>
  </si>
  <si>
    <t>Corporate Responsibility and Strategic Management : Corporate Responsibility and Strategic Management</t>
  </si>
  <si>
    <t>Selected Papers on Information Services and Technologies from the TERENA Networking Conference 2007 : Selected Papers on Information Services and Technologies from the TERENA Networking Conference, 2007</t>
  </si>
  <si>
    <t>Hospitality Industry in India : The Hospitality Industry in India</t>
  </si>
  <si>
    <t>HRM in a Knowledge Based Economy : HRM in a Knowledge Based Economy</t>
  </si>
  <si>
    <t>Key Technologies and Applications of Wireless Sensor and Ad Hoc Networks</t>
  </si>
  <si>
    <t>Sustainable University - Holistic Approach to Sustainability in Higher Education Institutions : Holistic Approach to Sustainability in Higher Education Institutions</t>
  </si>
  <si>
    <t>Coming of Age of Knowledge-Based Development : The Coming of Age of Knowledge-Based Development</t>
  </si>
  <si>
    <t>Business to Business Services - Multiple Markets and Multi-Disciplinary Perspectives for the Twenty-First Century : Multiple Markets and Multi-Disciplinary Perspectives for the Twenty-First Century</t>
  </si>
  <si>
    <t>3D Visualization : 3D Visualization</t>
  </si>
  <si>
    <t>Capital Asset Pricing - Empirical Perspective : Empirical Perspective</t>
  </si>
  <si>
    <t>Nutrition and Activity : Nutrition and Activity</t>
  </si>
  <si>
    <t>Institutional Repositories : Institutional Repositories</t>
  </si>
  <si>
    <t>Higher Educations Strategic Response to On-Line Learning - Critical Perspectives and Creative Successes : Critical Perspectives and Creative Successes</t>
  </si>
  <si>
    <t>E-books in Libraries : E-Books in Libraries</t>
  </si>
  <si>
    <t>Brand, Organizational Identity and Reputation in SMEs - An Overview : An Overview</t>
  </si>
  <si>
    <t>Library and IT mergers : Library and IT Mergers</t>
  </si>
  <si>
    <t>On Sharing Knowledge - Sociotechnical Approaches : Sociotechnical Approaches</t>
  </si>
  <si>
    <t>Gender and Management - Lessons from Recent Research : Lessons From Recent Research</t>
  </si>
  <si>
    <t>Map Your Financial Future : Starting the Right Path in Your Teens and Twenties</t>
  </si>
  <si>
    <t>Grasping Globalization : Its Impact and Your Corporate Response</t>
  </si>
  <si>
    <t>Borrowing Money Guide : A 'How To' Guide for Consumers</t>
  </si>
  <si>
    <t>How to Design a 'Wow' Trade Show Booth - Without Spending a Fortune</t>
  </si>
  <si>
    <t>Over 66 Tips &amp; Tricks to Supercharge Your Trade Show Promotions</t>
  </si>
  <si>
    <t>Dream Yourself Awake</t>
  </si>
  <si>
    <t>Art of Meditation</t>
  </si>
  <si>
    <t>Winning! : How Winners Think What Champions Do</t>
  </si>
  <si>
    <t>Fares to Friends : How to Develop Outstanding Business Relationships</t>
  </si>
  <si>
    <t>Families and the European Union : Law, Politics and Pluralism</t>
  </si>
  <si>
    <t>Mathematics of Digital Images : Creation, Compression, Restoration, Recognition</t>
  </si>
  <si>
    <t>Law, Infrastructure and Human Rights</t>
  </si>
  <si>
    <t>Internet Banking and the Law in Europe : Regulation, Financial Integration and Electronic Commerce</t>
  </si>
  <si>
    <t>Constraint Logic Programming using Eclipse</t>
  </si>
  <si>
    <t>Handbook of Stress, Trauma, and the Family : Handbook of Stress, Trauma, and the Family</t>
  </si>
  <si>
    <t>Implementing the Four Levels : A Practical Guide for Effective Evaluation of Training Programs</t>
  </si>
  <si>
    <t>Our Day to End Poverty : 24 Ways You Can Make a Difference</t>
  </si>
  <si>
    <t>The Connect Effect : Building Strong Personal, Professional, and Virtual Networks</t>
  </si>
  <si>
    <t>Zenobia : The Curious Book of Business - A Tale of Triumph over Yes-Men, Cynics, Hedgers, and Other Corporate Killjoys</t>
  </si>
  <si>
    <t>Analysis for Improving Performance : Tools for Diagnosing Organizations and Documenting Workplace Expertise</t>
  </si>
  <si>
    <t>Fun Works : Creating Places Where People Love to Work</t>
  </si>
  <si>
    <t>50 Activities for Developing Emotional Intelligence</t>
  </si>
  <si>
    <t>HRD Press</t>
  </si>
  <si>
    <t>50 Activities for Employee Engagement</t>
  </si>
  <si>
    <t>Strategic Training of Employees</t>
  </si>
  <si>
    <t>Managers Pocket Guide to Employee Relations</t>
  </si>
  <si>
    <t>Managers Pocket Guide to Career Skills for the New Economy</t>
  </si>
  <si>
    <t>Manager's Pocket Guide to Motivating Employees</t>
  </si>
  <si>
    <t>Managing Downsizing with Confidence</t>
  </si>
  <si>
    <t>Improving Mathematics and Science Education : A Longitudinal Investigation of the Relationship Between Reform-Oriented Instruction and Student Achievement</t>
  </si>
  <si>
    <t>Standards-Based Accountability Under No Child Left Behind : Experiences of Teachers and Administrators in Three States</t>
  </si>
  <si>
    <t>Listening Awry : Music and Alterity in German Culture</t>
  </si>
  <si>
    <t>Film Hieroglyphs</t>
  </si>
  <si>
    <t>Developing Reading and Writing in Second-Language Learners : Lessons from the Report of the National Literacy Panel on Language-Minority Children and Youth. Published by Routledge for the American Association of Colleges for Teacher Education</t>
  </si>
  <si>
    <t>Dyslexia at College</t>
  </si>
  <si>
    <t>Museums and Their Communities</t>
  </si>
  <si>
    <t>Teaching Pupils with Visual Impairment : A Guide to Making the School Curriculum Accessible</t>
  </si>
  <si>
    <t>David Fulton Publishers</t>
  </si>
  <si>
    <t>How to Be a Brilliant Trainee Teacher</t>
  </si>
  <si>
    <t>Globalisation and Pedagogy : Space, Place and Identity</t>
  </si>
  <si>
    <t>An Introduction to Daoist Thought : Action, Language, and Ethics in Zhuangzi</t>
  </si>
  <si>
    <t>Achievement and Inclusion in Schools</t>
  </si>
  <si>
    <t>Structure and Function of the Arabic Verb</t>
  </si>
  <si>
    <t>Environment Imagination</t>
  </si>
  <si>
    <t>Critical Company Law</t>
  </si>
  <si>
    <t>Quantitative Data Analysis in Education : A Critical Introduction Using SPSS</t>
  </si>
  <si>
    <t>Landscape and Sustainability</t>
  </si>
  <si>
    <t>Social Linguistics and Literacies : Ideology in Discourses</t>
  </si>
  <si>
    <t>Hong Kong, China : Learning to Belong to a Nation</t>
  </si>
  <si>
    <t>Conflict and Cooperation in Multi-Ethnic States : Institutional Incentives, Myths and Counter-Balancing</t>
  </si>
  <si>
    <t>Environment and Politics</t>
  </si>
  <si>
    <t>(Mis)recognition, Social Inequality and Social Justice : Nancy Fraser and Pierre Bourdieu</t>
  </si>
  <si>
    <t>China Turns to Multilateralism : Foreign Policy and Regional Security</t>
  </si>
  <si>
    <t>Environmental Ethics in Buddhism : A Virtues Approach</t>
  </si>
  <si>
    <t>Economic Development, Education and Transnational Corporations</t>
  </si>
  <si>
    <t>Positive Youth Development Through Sport</t>
  </si>
  <si>
    <t>Nature and Young Children : Encouraging Creative Play and Learning in Natural Environments</t>
  </si>
  <si>
    <t>Competing for Knowledge : Creating, Connecting and Growing</t>
  </si>
  <si>
    <t>Ecological Politics and Democratic Theory : The Challenge to the Deliberative Ideal</t>
  </si>
  <si>
    <t>Tourism and Tibetan Culture in Transition : A Place Called Shangrila</t>
  </si>
  <si>
    <t>Literary Modernity Between the Middle East and Europe : Textual Transactions in 19th Century Arabic, English and Persian Literatures</t>
  </si>
  <si>
    <t>Grading Student Achievement in Higher Education : Signals and Shortcomings</t>
  </si>
  <si>
    <t>Design and Construction of Pavements and Rail Tracks : Geotechnical Aspects and Processed Materials</t>
  </si>
  <si>
    <t>Earthquakes and Acoustic Emission : Selected and edited papers from the 11th International Conference on Fracture, Turin, Italy, 20-25 March 2005</t>
  </si>
  <si>
    <t>Advances in Deep Foundations : International Workshop on Recent Advances of Deep Foundations (IWDPF07) 1-2 February 2007, Port and Airport Research Institute, Yokosuka, Japan</t>
  </si>
  <si>
    <t>The Economics and Politics of Oil in the Caspian Basin : The Redistribution of Oil Revenues in Azerbaijan and Central Asia</t>
  </si>
  <si>
    <t>Welfare, Right and the State : A Framework for Thinking</t>
  </si>
  <si>
    <t>Explaining Federalism : State, Society and Congruence in Austria, Belgium, Canada, Germany and Switzerland</t>
  </si>
  <si>
    <t>Cafes and Bars : The Architecture of Public Display</t>
  </si>
  <si>
    <t>Planning and Transformation : Learning from the Post-Apartheid Experience</t>
  </si>
  <si>
    <t>The Articulate Mammal : An Introduction to Psycholinguistics</t>
  </si>
  <si>
    <t>Changing Identities in Higher Education : Voicing Perspectives</t>
  </si>
  <si>
    <t>Introduction to Global Politics</t>
  </si>
  <si>
    <t>Educational Research and Policy-Making : Exploring the Border Country Between Research and Policy</t>
  </si>
  <si>
    <t>Countering the Financing of Terrorism</t>
  </si>
  <si>
    <t>An Ethical Approach to Practitioner Research : Dealing with Issues and Dilemmas in Action Research</t>
  </si>
  <si>
    <t>Planning and Design of Engineering Systems</t>
  </si>
  <si>
    <t>Body Image : Understanding Body Dissatisfaction in Men, Women and Children</t>
  </si>
  <si>
    <t>Romanian: an Essential Grammar</t>
  </si>
  <si>
    <t>Museum Revolutions : How Museums Change and Are Changed</t>
  </si>
  <si>
    <t>Fighting Terrorism and Drugs : Europe and International Police Cooperation</t>
  </si>
  <si>
    <t>Very Large Floating Structures</t>
  </si>
  <si>
    <t>Conflicts in the Middle East Since 1945</t>
  </si>
  <si>
    <t>Precast Concrete : Materials, Manufacture, Properties and Usage, Second Edition</t>
  </si>
  <si>
    <t>Critical Thinking : An Exploration of Theory and Practice</t>
  </si>
  <si>
    <t>The Internationalization of Small Firms : A Strategic Entrepreneurship Perspective</t>
  </si>
  <si>
    <t>The Analytic Turn : Analysis in Early Analytic Philosophy and Phenomenology</t>
  </si>
  <si>
    <t>China, the US and the Power-Transition Theory : A Critique</t>
  </si>
  <si>
    <t>Knowledge in Context : Representations, Community and Culture</t>
  </si>
  <si>
    <t>Dire Emotions and Lethal Behaviours : Eclipse of the Life Instinct</t>
  </si>
  <si>
    <t>Critical Theory and World Politics : Citizenship, Sovereignty and Humanity</t>
  </si>
  <si>
    <t>Accelerating Japan's Economic Growth : Resolving Japan's Growth Controversy</t>
  </si>
  <si>
    <t>Great Empires, Small Nations : The Uncertain Future of the Sovereign State</t>
  </si>
  <si>
    <t>Deconstructing Developmental Psychology</t>
  </si>
  <si>
    <t>Mindfulness and Mental Health : Therapy, Theory and Science</t>
  </si>
  <si>
    <t>Cognitive Therapy for Personality Disorders : A Guide for Clinicians</t>
  </si>
  <si>
    <t>Working with Older People</t>
  </si>
  <si>
    <t>The British Empiricists</t>
  </si>
  <si>
    <t>Brands of Faith : Marketing Religion in a Commercial Age</t>
  </si>
  <si>
    <t>Essential Nursery Management : A Practitioner's Guide</t>
  </si>
  <si>
    <t>Secularism in the Postcolonial Indian Novel : National and Cosmopolitan Narratives in English</t>
  </si>
  <si>
    <t>Religious Studies : A Global View</t>
  </si>
  <si>
    <t>The Dynamics of Educational Effectiveness : A Contribution to Policy, Practice and Theory in Contemporary Schools</t>
  </si>
  <si>
    <t>Paul Auster's Postmodernity</t>
  </si>
  <si>
    <t>Philosophy in the Classroom : Improving Your Pupils' Thinking Skills and Motivating Them to Learn</t>
  </si>
  <si>
    <t>Doing Creative Writing</t>
  </si>
  <si>
    <t>Radical Research : Designing, Developing and Writing Research to Make a Difference</t>
  </si>
  <si>
    <t>Gender Education and Equality in a Global Context : Conceptual Frameworks and Policy Perspectives</t>
  </si>
  <si>
    <t>Keynes's Vision : Why the Great Depression Did Not Return</t>
  </si>
  <si>
    <t>The Persistence of Whiteness : Race and Contemporary Hollywood Cinema</t>
  </si>
  <si>
    <t>Improving Learning Cultures in Further Education</t>
  </si>
  <si>
    <t>China's Emergent Political Economy : Capitalism in the Dragon's Lair</t>
  </si>
  <si>
    <t>A Russian Factory Enters the Market Economy</t>
  </si>
  <si>
    <t>Teaching English, Language and Literacy</t>
  </si>
  <si>
    <t>Ethics, Liberalism and Realism in International Relations</t>
  </si>
  <si>
    <t>Construction Contracts : Law and Management</t>
  </si>
  <si>
    <t>Rethinking IT in Construction and Engineering : Organisational Readiness</t>
  </si>
  <si>
    <t>Media, War and Postmodernity</t>
  </si>
  <si>
    <t>Great Powers and the Quest for Hegemony : The World Order Since 1500</t>
  </si>
  <si>
    <t>Remaking Regional Economies : Power, Labor, and Firm Strategies in the Knowledge Economy</t>
  </si>
  <si>
    <t>China-India Relations : Contemporary Dynamics</t>
  </si>
  <si>
    <t>China-Europe Relations : Perceptions, Policies and Prospects</t>
  </si>
  <si>
    <t>Risk Appraisal and Venture Capital in High Technology New Ventures</t>
  </si>
  <si>
    <t>Debt, Risk and Liquidity in Futures Markets</t>
  </si>
  <si>
    <t>Cognition and Extended Rational Choice</t>
  </si>
  <si>
    <t>How We Learn : Learning and Non-Learning in School and Beyond</t>
  </si>
  <si>
    <t>War, Peace and Hegemony in a Globalized World : The Changing Balance of Power in the Twenty-First Century</t>
  </si>
  <si>
    <t>Legal Perspectives in Bioethics</t>
  </si>
  <si>
    <t>Achieving Economic Development in the Era of Globalization</t>
  </si>
  <si>
    <t>Developing Speech and Language Skills : Phoneme Factory</t>
  </si>
  <si>
    <t>Spon's Estimating Costs Guide to Small Groundworks, Landscaping and Gardening</t>
  </si>
  <si>
    <t>Success with Inclusion : 1001 Teaching Strategies and Activities That Really Work</t>
  </si>
  <si>
    <t>Medieval Sexuality : A Casebook</t>
  </si>
  <si>
    <t>On Span and Space : Exploring Structures in Architecture</t>
  </si>
  <si>
    <t>Industrial Development in Postwar Japan</t>
  </si>
  <si>
    <t>'Whole-Brain' Behaviour Management in the Classroom : Every Piece of the Puzzle</t>
  </si>
  <si>
    <t>Enhancing Learning Through Formative Assessment and Feedback</t>
  </si>
  <si>
    <t>The Routledge Companion to Gothic</t>
  </si>
  <si>
    <t>Globalization, the City and Civil Society in Pacific Asia : The Social Production of Civic Spaces</t>
  </si>
  <si>
    <t>Global Ireland : Same Difference</t>
  </si>
  <si>
    <t>Islam: the Key Concepts</t>
  </si>
  <si>
    <t>The Garland Handbook of Latin American Music</t>
  </si>
  <si>
    <t>Representing Africa in Children's Literature : Old and New Ways of Seeing</t>
  </si>
  <si>
    <t>The Fantasy of Family : Nineteenth-Century Children's Literature and the Myth of the Domestic Ideal</t>
  </si>
  <si>
    <t>Improving Learning How to Learn : Classrooms, Schools and Networks</t>
  </si>
  <si>
    <t>Advanced Unsaturated Soil Mechanics and Engineering</t>
  </si>
  <si>
    <t>The Routledge Companion to Postcolonial Studies</t>
  </si>
  <si>
    <t>Chinese in Eastern Europe and Russia : A Middleman Minority in a Transnational Era</t>
  </si>
  <si>
    <t>Auditing, Trust and Governance : Developing Regulation in Europe</t>
  </si>
  <si>
    <t>The Art of Discussion-Based Teaching : Opening up Conversation in the Classroom</t>
  </si>
  <si>
    <t>Reasons, Patterns, and Cooperation</t>
  </si>
  <si>
    <t>Urban Fears and Global Terrors : Citizenship, Multicultures and Belongings After 7/7</t>
  </si>
  <si>
    <t>Terrorism Today</t>
  </si>
  <si>
    <t>Teaching Authentic Language Arts in a Test-Driven Era</t>
  </si>
  <si>
    <t>Rethinking Gender and Youth Sport</t>
  </si>
  <si>
    <t>Digital Musician</t>
  </si>
  <si>
    <t>Setting up and Running a Peer Listening Scheme</t>
  </si>
  <si>
    <t>Jumpstart! Creativity : Games and Activities for Ages 7-14</t>
  </si>
  <si>
    <t>Key Issues for Teaching Assistants : Working in Diverse and Inclusive Classrooms</t>
  </si>
  <si>
    <t>Brand Hollywood : Selling Entertainment in a Global Media Age</t>
  </si>
  <si>
    <t>The Child in Mind : A Child Protection Handbook</t>
  </si>
  <si>
    <t>Information and Communication Technologies in Rural Society</t>
  </si>
  <si>
    <t>China's Embedded Activism : Opportunities and Constraints of a Social Movement</t>
  </si>
  <si>
    <t>Knowledge and Innovation : A Comparative Study of the USA, the UK and Japan</t>
  </si>
  <si>
    <t>Multimodal Pedagogies in Diverse Classrooms : Representation, Rights and Resources</t>
  </si>
  <si>
    <t>Introduction to Sports Biomechanics : Analysing Human Movement Patterns</t>
  </si>
  <si>
    <t>Countering the Proliferation of Weapons of Mass Destruction : NATO and EU Options in the Mediterranean and the Middle East</t>
  </si>
  <si>
    <t>Fifty Key Thinkers on History</t>
  </si>
  <si>
    <t>Alternative Shakespeares : Volume 3</t>
  </si>
  <si>
    <t>The Quran and the Secular Mind : A Philosophy of Islam</t>
  </si>
  <si>
    <t>Editing Emily Dickinson : The Production of an Author</t>
  </si>
  <si>
    <t>Advertising and New Media</t>
  </si>
  <si>
    <t>Human Cloning in the Media</t>
  </si>
  <si>
    <t>Anti-Sport Sentiments in Literature : Batting for the Opposition</t>
  </si>
  <si>
    <t>Fundamentals of Fluvial Geomorphology</t>
  </si>
  <si>
    <t>Ethno-Nationalism, Islam and the State in the Caucasus : Post-Soviet Disorder</t>
  </si>
  <si>
    <t>Ventilation Systems : Design and Performance</t>
  </si>
  <si>
    <t>Challenging Moral Particularism</t>
  </si>
  <si>
    <t>Design: the Key Concepts</t>
  </si>
  <si>
    <t>Sustainable Development and Free Trade : Institutional Approaches</t>
  </si>
  <si>
    <t>Advances in Spatio-Temporal Analysis : In: ISPRS Book Series, Vol. 5</t>
  </si>
  <si>
    <t>Technology and the Culture of Progress in Meiji Japan</t>
  </si>
  <si>
    <t>Race, Immigration, and American Identity in the Fiction of Salman Rushdie, Ralph Ellison, and William Faulkner</t>
  </si>
  <si>
    <t>Outsourcing and Human Resource Management : An International Survey</t>
  </si>
  <si>
    <t>Networking Practitioner Research : The Effective Use of Networks in Educational Research</t>
  </si>
  <si>
    <t>Empowering Your Pupils Through Role-Play : Exploring Emotions and Building Resilience</t>
  </si>
  <si>
    <t>Supporting Multilingual Learners in the Early Years : Many Languages - Many Children</t>
  </si>
  <si>
    <t>Power in World Politics</t>
  </si>
  <si>
    <t>Shakespeare and Child's Play : Performing Lost Boys on Stage and Screen</t>
  </si>
  <si>
    <t>From Birth to Five Years : Children's Developmental Progress</t>
  </si>
  <si>
    <t>Putin : Russia's Choice</t>
  </si>
  <si>
    <t>Rhetoric</t>
  </si>
  <si>
    <t>Beyond Monotheism : A Theology of Multiplicity</t>
  </si>
  <si>
    <t>1001 Brilliant Writing Ideas : Teaching Inspirational Story-Writing for All Ages</t>
  </si>
  <si>
    <t>The Routledge Companion to Nonprofit Marketing</t>
  </si>
  <si>
    <t>What Really Works in Special and Inclusive Education : Using Evidence-Based Teaching Strategies</t>
  </si>
  <si>
    <t>Food and Water Security</t>
  </si>
  <si>
    <t>Recoding the Museum : Digital Heritage and the Technologies of Change</t>
  </si>
  <si>
    <t>Designing the Reclaimed Landscape</t>
  </si>
  <si>
    <t>The Actor, Image, and Action : Acting and Cognitive Neuroscience</t>
  </si>
  <si>
    <t>Pile Design and Construction Practice, Fifth Edition</t>
  </si>
  <si>
    <t>The Behaviour and Design of Steel Structures to EC3</t>
  </si>
  <si>
    <t>Euthanasia, Ethics and the Law : From Conflict to Compromise</t>
  </si>
  <si>
    <t>Improving Learning Through Consulting Pupils</t>
  </si>
  <si>
    <t>The Changing Role of Schools in Asian Societies : Schools for the Knowledge Society</t>
  </si>
  <si>
    <t>Passions and Moral Progress in Greco-Roman Thought</t>
  </si>
  <si>
    <t>The British Missionary Enterprise Since 1700</t>
  </si>
  <si>
    <t>Phenomenological Mind : An Introduction to Philosophy of Mind and Cognitive Science</t>
  </si>
  <si>
    <t>Leadership: the Key Concepts</t>
  </si>
  <si>
    <t>William E. Connolly : Democracy, Pluralism and Political Theory</t>
  </si>
  <si>
    <t>Tourism and Development in the Developing World</t>
  </si>
  <si>
    <t>Madrasas in South Asia : Teaching Terror?</t>
  </si>
  <si>
    <t>Biographies and Space : Placing the Subject in Art and Architecture</t>
  </si>
  <si>
    <t>A Frequency Dictionary of Portuguese</t>
  </si>
  <si>
    <t>Being, Playing and Learning Outdoors : Making Provision for High Quality Experiences in the Outdoor Environment</t>
  </si>
  <si>
    <t>Popular Culture and Representations of Literacy</t>
  </si>
  <si>
    <t>Negotiating Motherhood in Nineteenth-Century American Literature</t>
  </si>
  <si>
    <t>African Minorities in the New World</t>
  </si>
  <si>
    <t>Balancing Dilemmas in Assessment and Learning in Contemporary Education</t>
  </si>
  <si>
    <t>China on the Move : Migration, the State, and the Household</t>
  </si>
  <si>
    <t>Ibn 'Arabî - Time and Cosmology : Time and Cosmology</t>
  </si>
  <si>
    <t>Revitalizing Causality : Realism about Causality in Philosophy and Social Science</t>
  </si>
  <si>
    <t>Shakespeare and the Cultural Colonization of Ireland</t>
  </si>
  <si>
    <t>Radical Islam and International Security : Challenges and Responses</t>
  </si>
  <si>
    <t>Cyber-Security and Threat Politics : US Efforts to Secure the Information Age</t>
  </si>
  <si>
    <t>Globalization and the Indian Economy : Roadmap to a Convertible Rupee</t>
  </si>
  <si>
    <t>Power Shifts, Strategy and War : Declining States and International Conflict</t>
  </si>
  <si>
    <t>Cohabitation, Family and Society : European Experiences</t>
  </si>
  <si>
    <t>Festival Architecture</t>
  </si>
  <si>
    <t>Critical Political Economy : Complexity, Rationality, and the Logic of Post-Orthodox Pluralism</t>
  </si>
  <si>
    <t>Child Abuse, Gender and Society</t>
  </si>
  <si>
    <t>Racial Discourse and Cosmopolitanism in Twentieth-Century African American Writing</t>
  </si>
  <si>
    <t>Basic Irish: a Grammar and Workbook</t>
  </si>
  <si>
    <t>Construction Supply Chain Economics</t>
  </si>
  <si>
    <t>Urban Sustainability Through Environmental Design : Approaches to Time-People-Place Responsive Urban Spaces</t>
  </si>
  <si>
    <t>Time in Natural Language : Syntactic Interfaces with Semantics and Discourse</t>
  </si>
  <si>
    <t>Catching Language : The Standing Challenge of Grammar Writing</t>
  </si>
  <si>
    <t>Corpora in Cognitive Linguistics : Corpus-Based Approaches to Syntax and Lexis</t>
  </si>
  <si>
    <t>Cognitive Linguistics : Internal Dynamics and Interdisciplinary Interaction</t>
  </si>
  <si>
    <t>Cognitive Linguistics : Current Applications and Future Perspectives</t>
  </si>
  <si>
    <t>Current Trends in the Development and Teaching of the Four Language Skills : Current Trends in the Development and Teaching of the four Language Skills</t>
  </si>
  <si>
    <t>Morphosyntactic Persistence in Spoken English : A Corpus Study at the Intersection of Variationist Sociolinguistics, Psycholinguistics, and Discourse Analysis</t>
  </si>
  <si>
    <t>Advances in the Theory of the Lexicon : Advances in the Theory of the Lexicon</t>
  </si>
  <si>
    <t>Methods in Historical Pragmatics : Methods in Historical Pragmatics</t>
  </si>
  <si>
    <t>The Syntax of Tenselessness : Tense/Mood/Aspect-Agreeing Infinitivals</t>
  </si>
  <si>
    <t>Phraseology and Culture in English : Phraseology and Culture in English</t>
  </si>
  <si>
    <t>Ecclesia est in re Publica : Studien zur Kirchen- und Theologiegeschichte im Kontext des Imperium Romanum</t>
  </si>
  <si>
    <t>Cognitive Linguistics and Non-Indo-European Languages : Cognitive Linguistics and Non-Indo-European Languages</t>
  </si>
  <si>
    <t>Theory and Practice in Kant and Kierkegaard : Theory and Practice in Kant and Kierkegaard</t>
  </si>
  <si>
    <t>The Free Word Order Phenomenon : Its Syntactic Sources and Diversity</t>
  </si>
  <si>
    <t>Dialectology Meets Typology : Dialect Grammar from a Cross-linguistic Perspective</t>
  </si>
  <si>
    <t>Allusions in the Press : An Applied Linguistic Study</t>
  </si>
  <si>
    <t>Arguments and Structure : Studies on the Architecture of the Sentence</t>
  </si>
  <si>
    <t>Investigations in Instructed Second Language Acquisition : Investigations in Instructed Second Language Acquisition</t>
  </si>
  <si>
    <t>Action Theory and Communication Research : Recent Developments in Europe</t>
  </si>
  <si>
    <t>Bernard Williams</t>
  </si>
  <si>
    <t>Plant Breeding and Biotechnology : Societal Context and the Future of Agriculture</t>
  </si>
  <si>
    <t>Intellectuals and the Public Good : Creativity and Civil Courage</t>
  </si>
  <si>
    <t>A History of Feminist Literary Criticism</t>
  </si>
  <si>
    <t>International Tax as International Law : An Analysis of the International Tax Regime</t>
  </si>
  <si>
    <t>A Dictionary of Literary Symbols</t>
  </si>
  <si>
    <t>Shakespeare and Childhood</t>
  </si>
  <si>
    <t>Conflict of Laws in a Globalized World</t>
  </si>
  <si>
    <t>The Art of Lecturing : A Practical Guide to Successful University Lectures and Business Presentations</t>
  </si>
  <si>
    <t>Quantum Computer Science : An Introduction</t>
  </si>
  <si>
    <t>Scar of Visibility : Medical Performances and Contemporary Art</t>
  </si>
  <si>
    <t>Tales from Grimm</t>
  </si>
  <si>
    <t>More Tales from Grimm</t>
  </si>
  <si>
    <t>Bombay Cinema : An Archive of the City</t>
  </si>
  <si>
    <t>Action Research : Living Theory</t>
  </si>
  <si>
    <t>E-Learning : Concepts and Practice</t>
  </si>
  <si>
    <t>British Pantomime Performance : British Pantomime Performance</t>
  </si>
  <si>
    <t>Frames of Mind : A Post-Jungian Look at Film, Television and Technology</t>
  </si>
  <si>
    <t>Reading bande dessinee : Critical Approaches to French-language Comic Strip</t>
  </si>
  <si>
    <t>Switching to Digital Television : UK Public Policy and the Market</t>
  </si>
  <si>
    <t>Truth or Dare : Art and Documentary</t>
  </si>
  <si>
    <t>Managing Coastal Tourism Resorts : A Global Perspective</t>
  </si>
  <si>
    <t>Royal Tourism : Excursions around Monarchy</t>
  </si>
  <si>
    <t>Voices in Translation : Bridging Cultural Divides</t>
  </si>
  <si>
    <t>Deep Culture : The Hidden Challenges of Global Living</t>
  </si>
  <si>
    <t>Online Intercultural Exchange : An Introduction for Foreign Language Teachers</t>
  </si>
  <si>
    <t>Understanding Second Language Process</t>
  </si>
  <si>
    <t>Incorporating Corpora : The Linguist and the Translator</t>
  </si>
  <si>
    <t>Japan's Built-in Lexicon of English-based Loanwords</t>
  </si>
  <si>
    <t>Creative Writing Studies : Practice, Research and Pedagogy</t>
  </si>
  <si>
    <t>Social Actions for Classroom Language Learning</t>
  </si>
  <si>
    <t>Pathways to Multilingualism : Evolving Perspectives on Immersion Education</t>
  </si>
  <si>
    <t>ICT Infrastructure in Emerging Asia : Policy and Regulatory Roadblocks</t>
  </si>
  <si>
    <t>Knowledge Systems and Natural Resources : Management, Policy, and Institutions in Nepal</t>
  </si>
  <si>
    <t>Aquinas, Ethics, and Philosophy of Religion : Metaphysics and Practice</t>
  </si>
  <si>
    <t>Indiana University Press</t>
  </si>
  <si>
    <t>Law and the Media : The Future of an Uneasy Relationship</t>
  </si>
  <si>
    <t>Elements of Photography : Understanding and Creating Sophisticated Images</t>
  </si>
  <si>
    <t>Cinematic Identity : Anatomy of a Problem Film</t>
  </si>
  <si>
    <t>People Have Never Stopped Dancing : Native American Modern Dance Histories</t>
  </si>
  <si>
    <t>Music Technology Workbook : Key concepts and practical projects</t>
  </si>
  <si>
    <t>Art and Technique of Digital Color Correction</t>
  </si>
  <si>
    <t>A-Z of Food Safety</t>
  </si>
  <si>
    <t>Pension Trustee's Investment Guide</t>
  </si>
  <si>
    <t>Smart Sales People Don't Advertise : 10 Ways to Outsmart Your Competition with Guerilla Marketing</t>
  </si>
  <si>
    <t>Smart Marriage : Using Your (Business) Head as Well as Your Heart to Find Wedded Bliss</t>
  </si>
  <si>
    <t>Krishna's Song : A New Look at the Bhagavad Gita</t>
  </si>
  <si>
    <t>Differentiated Literacy Coaching : Scaffolding for Student and Teacher Success</t>
  </si>
  <si>
    <t>Managing Diverse Classrooms : How to Build on Students' Cultural Strengths</t>
  </si>
  <si>
    <t>The Essentials of Social Studies, Grades K-8 : Effective Curriculum, Instruction, and Assessment (Priorities in Practice)</t>
  </si>
  <si>
    <t>Declarations of Independence : American Cinema and the Partiality of Independent Production</t>
  </si>
  <si>
    <t>Issues in Curating Contemporary Art and Performance</t>
  </si>
  <si>
    <t>Lovefuries : The Contracting Sea; The Hanging Judge; Bite or Suck</t>
  </si>
  <si>
    <t>Sacred Theatre : Theatre &amp; Consciousness</t>
  </si>
  <si>
    <t>European Media Governance : The Brussels Dimension</t>
  </si>
  <si>
    <t>Swimming Upstream: a Lifesaving Guide to Short Film Distribution</t>
  </si>
  <si>
    <t>An Essential Introduction to Maya Character Rigging with DVD</t>
  </si>
  <si>
    <t>Exhibiting Photography : A Practical Guide to Choosing a Space, Displaying Your Work, and Everything in Between</t>
  </si>
  <si>
    <t>The Makeup Artist Handbook : Techniques for Film, Television, Photography, and Theatre</t>
  </si>
  <si>
    <t>Understanding Broadcast and Cable Finance : A Primer for the Non-Financial Manager</t>
  </si>
  <si>
    <t>Power Filmmaking Kit : Make Your Professional Movie on a Next-to-Nothing Budget</t>
  </si>
  <si>
    <t>Final Cut Pro Workflows : The Independent Studio Handbook</t>
  </si>
  <si>
    <t>Compositing Visual Effects : Essentials for the Aspiring Artist</t>
  </si>
  <si>
    <t>Mechanical Design for the Stage</t>
  </si>
  <si>
    <t>Game Design Workshop : A Playcentric Approach to Creating Innovative Games</t>
  </si>
  <si>
    <t>How to Cheat at Administering Office Communications Server 2007</t>
  </si>
  <si>
    <t>Boys of Few Words : Raising Our Sons to Communicate and Connect</t>
  </si>
  <si>
    <t>Help for Worried Kids : How Your Child Can Conquer Anxiety and Fear</t>
  </si>
  <si>
    <t>I Love a Fire Fighter : What the Family Needs to Know</t>
  </si>
  <si>
    <t>Making the System Work for Your Child with ADHD : How to Cut Through Red Tape and Get What You Need from Doctors, Teachers, Schools and Healthcare Plans</t>
  </si>
  <si>
    <t>A Mind Apart : Understanding Children with Autism and Asperger Syndrome</t>
  </si>
  <si>
    <t>Adult Attachment : Theory, Research, and Clinical Implications</t>
  </si>
  <si>
    <t>African American Family Life : Ecological and Cultural Diversity</t>
  </si>
  <si>
    <t>Aggression, Antisocial Behavior, and Violence among Girls : A Developmental Perspective</t>
  </si>
  <si>
    <t>Assessment and Treatment of Childhood Problems : A Clinician's Guide</t>
  </si>
  <si>
    <t>Attachment, Evolution, and the Psychology of Religion</t>
  </si>
  <si>
    <t>Becoming a Therapist : What Do I Say, and Why?</t>
  </si>
  <si>
    <t>Cognitive Therapy for Challenging Problems : What to Do When the Basics Don't Work</t>
  </si>
  <si>
    <t>Cognitive Therapy of Personality Disorders, Second Edition</t>
  </si>
  <si>
    <t>Cognitive Therapy of Schizophrenia</t>
  </si>
  <si>
    <t>Cognitive Therapy with Children and Adolescents : A Casebook for Clinical Practice</t>
  </si>
  <si>
    <t>The Development of the Person : The Minnesota Study of Risk and Adaptation from Birth to Adulthood</t>
  </si>
  <si>
    <t>Emotion and Consciousness</t>
  </si>
  <si>
    <t>Group Work with Adolescents, Second Edition : Principles and Practice</t>
  </si>
  <si>
    <t>Handbook of Competence and Motivation</t>
  </si>
  <si>
    <t>Handbook of Psychological and Educational Assessment of Children : Personality, Behavior, and Context</t>
  </si>
  <si>
    <t>Handbook of Psychopathy</t>
  </si>
  <si>
    <t>Improving Outcomes and Preventing Relapse in Cognitive-Behavioral Therapy</t>
  </si>
  <si>
    <t>Law and Mental Health : A Case-Based Approach</t>
  </si>
  <si>
    <t>Major Theories of Personality Disorder</t>
  </si>
  <si>
    <t>Mindfulness and Acceptance : Expanding the Cognitive-Behavioral Tradition</t>
  </si>
  <si>
    <t>Neuropsychology of Memory</t>
  </si>
  <si>
    <t>Schema Therapy : A Practitioner's Guide</t>
  </si>
  <si>
    <t>Shame and Guilt</t>
  </si>
  <si>
    <t>Treating Explosive Kids : The Collaborative Problem-Solving Approach</t>
  </si>
  <si>
    <t>Cartographic Cinema</t>
  </si>
  <si>
    <t>Collectivism after Modernism : The Art of Social Imagination after 1945</t>
  </si>
  <si>
    <t>Filming the Fantastic: a Guide to Visual Effects Cinematography</t>
  </si>
  <si>
    <t>Ideas for the Animated Short with DVD : Finding and Building Stories</t>
  </si>
  <si>
    <t>Music in the Life of the African Church</t>
  </si>
  <si>
    <t>Religion and the Politics of Tolerance : How Christianity Builds Democracy</t>
  </si>
  <si>
    <t>Shakespeare</t>
  </si>
  <si>
    <t>The Edinburgh Dictionary of Continental Philosophy</t>
  </si>
  <si>
    <t>Research Methods for Cultural Studies</t>
  </si>
  <si>
    <t>Palestinian Cinema : Landscape, Trauma and Memory</t>
  </si>
  <si>
    <t>A Glossary of the European Union</t>
  </si>
  <si>
    <t>Succeed at IQ Tests : Improve Your Numerical, Verbal and Spatial Reasoning Skills</t>
  </si>
  <si>
    <t>Test and Assess Your IQ : Numerical, Verbal and Spatial Aptitude Tests</t>
  </si>
  <si>
    <t>Community Profiling : A Practical Guide</t>
  </si>
  <si>
    <t>Cultural Change and Ordinary Life</t>
  </si>
  <si>
    <t>Biliteracy and Globalization : English Language Education in India</t>
  </si>
  <si>
    <t>Foreign Language Input : Initial Processing</t>
  </si>
  <si>
    <t>Translation, Globalisation and Localisation : A Chinese Perspective</t>
  </si>
  <si>
    <t>Teaching English as an International Language : Identity, Resistance and Negotiation</t>
  </si>
  <si>
    <t>Vocabulary Learning Strategies and Foreign Language Acquisition</t>
  </si>
  <si>
    <t>Language Planning and Policy in Europe, Vol. 3 : The Baltic States, Ireland and Italy</t>
  </si>
  <si>
    <t>Children, Families and Communities : Developing Integrated Services</t>
  </si>
  <si>
    <t>Quantitative Data Analysis Using SPSS : An Introduction for Health and Social Studies</t>
  </si>
  <si>
    <t>Dealing with Statistics : What You Need to Know</t>
  </si>
  <si>
    <t>Critical Theories of Mass Media : Then and Now</t>
  </si>
  <si>
    <t>Person Centred Practice for Professionals</t>
  </si>
  <si>
    <t>Give Me Eighty Men : Women and the Myth of the Fetterman Fight</t>
  </si>
  <si>
    <t>Great Plains during World War II</t>
  </si>
  <si>
    <t>Hamlin Garland : A Life</t>
  </si>
  <si>
    <t>Imagining the Unimaginable : World War, Modern Art, and the Politics of Public Culture in Russia, 1914-1917</t>
  </si>
  <si>
    <t>Medicine Bags and Dog Tags : American Indian Veterans from Colonial Times to the Second Iraq War</t>
  </si>
  <si>
    <t>Strange and Formidable Weapon : British Responses to World War I Poison Gas</t>
  </si>
  <si>
    <t>Bicycling beyond the Divide : Two Journeys into the West</t>
  </si>
  <si>
    <t>Enders Hotel : A Memoir</t>
  </si>
  <si>
    <t>Hard Air : Adventures from the Edge of Flying</t>
  </si>
  <si>
    <t>Interior Places</t>
  </si>
  <si>
    <t>Kayaking Alone : Nine Hundred Miles from Idaho's Mountains to the Pacific Ocean</t>
  </si>
  <si>
    <t>A Sacred Feast : Reflections on Sacred Harp Singing and Dinner on the Ground</t>
  </si>
  <si>
    <t>Female Well-Being : Toward a Global Theory of Social Change</t>
  </si>
  <si>
    <t>Zed Books</t>
  </si>
  <si>
    <t>Feminisms in Development : Contradictions, Contestations and Challenges</t>
  </si>
  <si>
    <t>Property for People, Not for Profit : Alternatives to the Global Tyranny of Capital</t>
  </si>
  <si>
    <t>The Rise of the Global Left : The World Social Forum and Beyond</t>
  </si>
  <si>
    <t>Be Your Own Therapist : Recipes for Emotional Health</t>
  </si>
  <si>
    <t>Six Initiations : Child, Abundance, Death &amp; Rebirth, Warrior, Lover, Divine --- A Do It Yourself Psycho Spiritual Course</t>
  </si>
  <si>
    <t>Work and Mental Health : An employers' guide</t>
  </si>
  <si>
    <t>The Royal College of Psychiatrists</t>
  </si>
  <si>
    <t>Gaskell</t>
  </si>
  <si>
    <t>Business Ethics</t>
  </si>
  <si>
    <t>New Age International Ltd</t>
  </si>
  <si>
    <t>New Age International</t>
  </si>
  <si>
    <t>Accounting and Financial Management for BCA &amp; MCA</t>
  </si>
  <si>
    <t>Sports Media : Reporting, Producing, and Planning</t>
  </si>
  <si>
    <t>101 Ways to Build a Successful Network Marketing Business</t>
  </si>
  <si>
    <t>Acting Antics : A Theatrical Approach to Teaching Social Understanding to Kids and Teens with Asperger Syndrome</t>
  </si>
  <si>
    <t>Advance Directives in Mental Health : Theory, Practice and Ethics</t>
  </si>
  <si>
    <t>Alone Together : Making an Asperger Marriage Work</t>
  </si>
  <si>
    <t>Asperger Syndrome - a Love Story : A Love Story</t>
  </si>
  <si>
    <t>Asperger Syndrome and Bullying : Strategies and Solutions</t>
  </si>
  <si>
    <t>Asperger Syndrome in the Inclusive Classroom : Advice and Strategies for Teachers</t>
  </si>
  <si>
    <t>At Home in the Land of Oz : Autism, My Sister, and Me</t>
  </si>
  <si>
    <t>Bully Blocking : Six Secrets to Help Children Deal with Teasing and Bullying</t>
  </si>
  <si>
    <t>The Challenge of Practical Theology : Selected Essays</t>
  </si>
  <si>
    <t>Conduct Disorder and Offending Behaviour in Young People : Findings from Research</t>
  </si>
  <si>
    <t>Counselling People on the Autism Spectrum : A Practical Manual</t>
  </si>
  <si>
    <t>Developing the Craft of Mediation : Reflections on Theory and Practice</t>
  </si>
  <si>
    <t>Dictionary of Psychological Testing, Assessment and Treatment : Second Edition</t>
  </si>
  <si>
    <t>Different Dads : Fathers' Stories of Parenting Disabled Children</t>
  </si>
  <si>
    <t>Empowering Children Through Art and Expression : Culturally Sensitive Ways of Healing Trauma and Grief</t>
  </si>
  <si>
    <t>Enhancing Social Work Management : Theory and Best Practice from the UK and USA</t>
  </si>
  <si>
    <t>Healing the Inner City Child : Creative Arts Therapies with at-Risk Youth</t>
  </si>
  <si>
    <t>Helping Children to Build Self-Esteem : A Photocopiable Activities Book Second Edition</t>
  </si>
  <si>
    <t>Helping Children with Nonverbal Learning Disabilities to Flourish : A Guide for Parents and Professionals</t>
  </si>
  <si>
    <t>If You Turned into a Monster : Transformation Through Play - A Body-Centred Approach to Play Therapy</t>
  </si>
  <si>
    <t>Microanalysis in Music Therapy : Methods, Techniques and Applications for Clinicians, Researchers, Educators and Students</t>
  </si>
  <si>
    <t>Mothering Special Needs : A Different Maternal Journey</t>
  </si>
  <si>
    <t>Nurture Groups in School and at Home : Connecting with Children with Social, Emotional and Behavioural Difficulties</t>
  </si>
  <si>
    <t>Planning and Support for People with Intellectual Disabilities : Issues for Case Managers and Other Professionals</t>
  </si>
  <si>
    <t>Planning to Learn : Creating and Using a Personal Planner with Young People on the Autism Spectrum</t>
  </si>
  <si>
    <t>Playing the Other : Dramatizing Personal Narratives in Playback Theatre</t>
  </si>
  <si>
    <t>The Post-Qualifying Handbook for Social Workers</t>
  </si>
  <si>
    <t>Receptive Methods in Music Therapy : Techniques and Clinical Applications for Music Therapy Clinicians, Educators, and Students</t>
  </si>
  <si>
    <t>Restorative Justice : How It Works</t>
  </si>
  <si>
    <t>Rules and Standards : The Second Book of Speaking up - A Plain Text Guide to Advocacy</t>
  </si>
  <si>
    <t>See You in Court : A Social Worker's Guide to Giving Evidence in Care Proceedings</t>
  </si>
  <si>
    <t>Silent Grief : Living in the Wake of Suicide</t>
  </si>
  <si>
    <t>Tales from the Table : Lovaas - ABA Intervention with Children on the Autistic Spectrum</t>
  </si>
  <si>
    <t>Understanding Your Young Child with Special Needs</t>
  </si>
  <si>
    <t>Robot Ghosts and Wired Dreams : Japanese Science Fiction from Origins to Anime</t>
  </si>
  <si>
    <t>Univ Of Minnesota Press</t>
  </si>
  <si>
    <t>Advertising Cultures : Gender, Commerce, Creativity</t>
  </si>
  <si>
    <t>Approaches to Human Geography</t>
  </si>
  <si>
    <t>Beyond Identity Politics : Feminism, Power and Politics</t>
  </si>
  <si>
    <t>Bootlegging : Romanticism and Copyright in the Music Industry</t>
  </si>
  <si>
    <t>Brief Counselling in Schools : Working with Young People from 11 to 18</t>
  </si>
  <si>
    <t>Career Counselling</t>
  </si>
  <si>
    <t>Child and Family Assessment in Social Work Practice</t>
  </si>
  <si>
    <t>Cognitive Psychology</t>
  </si>
  <si>
    <t>Cognitive Science : A Philosophical Introduction</t>
  </si>
  <si>
    <t>Communication Theory : Media, Technology and Society</t>
  </si>
  <si>
    <t>Communication Theory and Research</t>
  </si>
  <si>
    <t>Creating Citizen-Consumers : Changing Publics and Changing Public Services</t>
  </si>
  <si>
    <t>Culture and Society : An Introduction to Cultural Studies</t>
  </si>
  <si>
    <t>Culture, Society, Economy : Globalization and its Alternatives</t>
  </si>
  <si>
    <t>Democratic Leadership in Education</t>
  </si>
  <si>
    <t>Developing Effective Teacher Performance</t>
  </si>
  <si>
    <t>Developing Literacy Skills in the Early Years : A Practical Guide</t>
  </si>
  <si>
    <t>Developing Pedagogy : Researching Practice</t>
  </si>
  <si>
    <t>Developing School Provision for Children with Dyspraxia : A Practical Guide</t>
  </si>
  <si>
    <t>Doing Your Dissertation in Business and Management : The Reality of Researching and Writing</t>
  </si>
  <si>
    <t>Doing Your Undergraduate Project</t>
  </si>
  <si>
    <t>Educational Leadership : Culture and Diversity</t>
  </si>
  <si>
    <t>Educational Leadership : Personal Growth for Professional Development</t>
  </si>
  <si>
    <t>Educational Research, Policymaking and Practice</t>
  </si>
  <si>
    <t>Effective Educational Leadership</t>
  </si>
  <si>
    <t>Effective School Management</t>
  </si>
  <si>
    <t>Enhancing Self-esteem in the Classroom</t>
  </si>
  <si>
    <t>Five Bodies : Re-figuring Relationships</t>
  </si>
  <si>
    <t>Focus Groups in Social Research</t>
  </si>
  <si>
    <t>Gifted and Talented in the Early Years : Practical Activities for Children aged 3 to 5</t>
  </si>
  <si>
    <t>Guided Imagery : Creative Interventions in Counselling &amp; Psychotherapy</t>
  </si>
  <si>
    <t>Handbook of Cognition</t>
  </si>
  <si>
    <t>Handbook of Cultural Geography</t>
  </si>
  <si>
    <t>Handbook of Urban Studies</t>
  </si>
  <si>
    <t>How Hollywood Works</t>
  </si>
  <si>
    <t>How to get a 2:1 in Media, Communication and Cultural Studies</t>
  </si>
  <si>
    <t>How Very Effective Primary Schools Work</t>
  </si>
  <si>
    <t>Identity Anecdotes : Translation and Media Culture</t>
  </si>
  <si>
    <t>Key Concepts in Journalism Studies</t>
  </si>
  <si>
    <t>Leading and Managing Education : International Dimensions</t>
  </si>
  <si>
    <t>Leading the Curriculum in the Primary School</t>
  </si>
  <si>
    <t>Learning Support for Mature Students : A Guide for Mature Students</t>
  </si>
  <si>
    <t>Liberal Democracy 3.0 : Civil Society in an Age of Experts</t>
  </si>
  <si>
    <t>Literacy and Popular Culture : Using Children's Culture in the Classroom</t>
  </si>
  <si>
    <t>Management Accounting : Principles and Applications</t>
  </si>
  <si>
    <t>Managing Further Education : Learning Enterprise</t>
  </si>
  <si>
    <t>Managing Special Educational Needs : A Practical Guide for Primary and Secondary Schools</t>
  </si>
  <si>
    <t>Managing Teacher Workload : Work-Life Balance and Wellbeing</t>
  </si>
  <si>
    <t>Managing the Business of Schools</t>
  </si>
  <si>
    <t>Media Law for Journalists</t>
  </si>
  <si>
    <t>News Writing</t>
  </si>
  <si>
    <t>Newspaper Journalism : A Practical Introduction</t>
  </si>
  <si>
    <t>Organizational Evolution and Strategic Management</t>
  </si>
  <si>
    <t>Planning Educational Visits for the Early Years</t>
  </si>
  <si>
    <t>Positive Organizational Behavior</t>
  </si>
  <si>
    <t>Power and Organizations</t>
  </si>
  <si>
    <t>Preventing Bullying in Schools : A Guide for Teachers and Other Professionals</t>
  </si>
  <si>
    <t>Product and Services Management</t>
  </si>
  <si>
    <t>Professional Development, Reflection and Enquiry</t>
  </si>
  <si>
    <t>Promoting Friendships in the Playground : A Peer Befriending Programme for Primary Schools</t>
  </si>
  <si>
    <t>Qualitative Marketing Research : A Cultural Approach</t>
  </si>
  <si>
    <t>Qualitative Research and Hypermedia : Ethnography for the Digital Age</t>
  </si>
  <si>
    <t>Qualitative Research in Sociology : An Introduction</t>
  </si>
  <si>
    <t>Reflections on Classroom Thinking Strategies : Practical Strategies to Encourage Thinking in your Classroom</t>
  </si>
  <si>
    <t>Re-Imagining Educational Leadership</t>
  </si>
  <si>
    <t>Researching Children's Experience : Approaches and Methods</t>
  </si>
  <si>
    <t>Researching the Vulnerable : A Guide to Sensitive Research Methods</t>
  </si>
  <si>
    <t>Rethinking Educational Leadership : Challenging the Conventions</t>
  </si>
  <si>
    <t>Secondary English and Literacy : A Guide for Teachers</t>
  </si>
  <si>
    <t>Social Psychology</t>
  </si>
  <si>
    <t>Social Research Methods</t>
  </si>
  <si>
    <t>Social Skills in the Early Years : Supporting Social and Behavioural Learning</t>
  </si>
  <si>
    <t>Social Work and Social Care Practice</t>
  </si>
  <si>
    <t>Social Work with Older People : Context, Policy and Practice</t>
  </si>
  <si>
    <t>Subject, Society and Culture</t>
  </si>
  <si>
    <t>Teaching and Learning English Literature</t>
  </si>
  <si>
    <t>Television Across Europe : A Comparative Introduction</t>
  </si>
  <si>
    <t>The Essential Guide to Postgraduate Study</t>
  </si>
  <si>
    <t>The Management of Innovation and Technology : The Shaping of Technology and Institutions of the Market Economy</t>
  </si>
  <si>
    <t>The Media and Body Image : If Looks Could Kill</t>
  </si>
  <si>
    <t>The New Sociological Imagination</t>
  </si>
  <si>
    <t>Nvivo Qualitative Project Book</t>
  </si>
  <si>
    <t>The Practical Guide to Primary Classroom Management</t>
  </si>
  <si>
    <t>The SAGE Dictionary of Cultural Studies</t>
  </si>
  <si>
    <t>The SAGE Dictionary of Statistics : A Practical Resource for Students in the Social Sciences</t>
  </si>
  <si>
    <t>Understanding Occupational &amp; Organizational Psychology</t>
  </si>
  <si>
    <t>Understanding Reading Development</t>
  </si>
  <si>
    <t>Writing and Presenting Research</t>
  </si>
  <si>
    <t>Beyond Dogmatics : Law and Society in the Roman World</t>
  </si>
  <si>
    <t>The Culture of Letter-Writing in Pre-Modern Islamic Society</t>
  </si>
  <si>
    <t>The Ethics of Writing : Authorship and Legacy in Plato and Nietzsche</t>
  </si>
  <si>
    <t>Kant's Aesthetic Epistemology : Form and World</t>
  </si>
  <si>
    <t>Nutrition Support for Infants and Children at Risk : 59th Nestle Nutrition Workshop, Pediatric Program, Berlin, April 2006</t>
  </si>
  <si>
    <t>Improving Behaviour And Attendance At School</t>
  </si>
  <si>
    <t>Domestic Cultures</t>
  </si>
  <si>
    <t>A Game As Old As Empire : The Secret World of Economic Hit Men and the Web of Global Corruption</t>
  </si>
  <si>
    <t>Literary Theory : An Introduction</t>
  </si>
  <si>
    <t>Chambers Pardon my English : An Exploration of Slang, and Informal Language</t>
  </si>
  <si>
    <t>Hodder &amp; Stoughton</t>
  </si>
  <si>
    <t>Chambers</t>
  </si>
  <si>
    <t>Economic Citizens : A Narrative of Asian American Visibility</t>
  </si>
  <si>
    <t>The Redskins Encyclopedia</t>
  </si>
  <si>
    <t>Bioethics in Law : A Guide for Attorneys, Judges, Bioethicists, and Health Care Professionals</t>
  </si>
  <si>
    <t>Humana Press</t>
  </si>
  <si>
    <t>Forensic Document Examination : Principles and Practice</t>
  </si>
  <si>
    <t>Advanced Air and Noise Pollution Control</t>
  </si>
  <si>
    <t>Advanced Physicochemical Treatment Technologies</t>
  </si>
  <si>
    <t>Foundations of Oscillator Circuit Design</t>
  </si>
  <si>
    <t>Phase-Locked Loop Engineering Handbook for Integrated Circuits</t>
  </si>
  <si>
    <t>RFID Design Principles</t>
  </si>
  <si>
    <t>Alzheimer's &amp; Other Dementias : Answers at Your Fingertips</t>
  </si>
  <si>
    <t>Class Publishing (London) Ltd</t>
  </si>
  <si>
    <t>Class Health</t>
  </si>
  <si>
    <t>All I Needed to Know in Life I Learned Selling Door to Door</t>
  </si>
  <si>
    <t>Travel the World Free as an International Tour Director : As an International Tour Director</t>
  </si>
  <si>
    <t>Click, Click, Who's There? : A Family-Based, Non-Technical Approach to Help Parents Protect Their Children Online</t>
  </si>
  <si>
    <t>Geography of Power : Making Global Economic Policy</t>
  </si>
  <si>
    <t>A Will of Their Own : Cross-Cultural Perspectives on Working Children</t>
  </si>
  <si>
    <t>Global Citizens : Social Movements and the Challenge of Globalization</t>
  </si>
  <si>
    <t>Young Men and Masculinities : Global Cultures and Intimate Lives</t>
  </si>
  <si>
    <t>Spirituality, Ethics and Care</t>
  </si>
  <si>
    <t>Competition and Development : The Power of Competitive Markets</t>
  </si>
  <si>
    <t>Handbook of Emergent Methods</t>
  </si>
  <si>
    <t>Your Defiant Teen : 10 Steps to Resolve Conflict and Rebuild Your Relationship</t>
  </si>
  <si>
    <t>The Fundamentals of Literacy Coaching</t>
  </si>
  <si>
    <t>Action : A Manual for the Reconstruction of Christendom</t>
  </si>
  <si>
    <t>IHS Press</t>
  </si>
  <si>
    <t>Church at the Turning Points of History</t>
  </si>
  <si>
    <t>Beyond Capitalism &amp; Socialism : A New Statement of an Old Ideal</t>
  </si>
  <si>
    <t>Light in the Darkness Publications</t>
  </si>
  <si>
    <t>Death of Christian Culture</t>
  </si>
  <si>
    <t>G. K. Chesterton : A Prophet for the 21st Century</t>
  </si>
  <si>
    <t>101 Ways to Promote Your Real Estate Web Site : Filled with Proven Internet Marketing Tips, Tools, and Techniques to Draw Real Estate Buyers and Sellers to Your Site</t>
  </si>
  <si>
    <t>Asian American Literature</t>
  </si>
  <si>
    <t>American Culture in the 1940s</t>
  </si>
  <si>
    <t>Children's Literature</t>
  </si>
  <si>
    <t>Christopher Marlowe, Renaissance Dramatist</t>
  </si>
  <si>
    <t>Deleuze and Memorial Culture : Desire, Singular Memory and the Politics of Trauma</t>
  </si>
  <si>
    <t>The Eighteenth-Century Novel and Contemporary Social Issues : An Introduction</t>
  </si>
  <si>
    <t>Global Environmental History : 10,000 BC to AD 2000</t>
  </si>
  <si>
    <t>Nation, State and Empire in English Renaissance Literature : Shakespeare to Milton</t>
  </si>
  <si>
    <t>Romantic Consiousness : Blake to Mary Shelley</t>
  </si>
  <si>
    <t>Women and Crime in the Street Literature of Early Modern England</t>
  </si>
  <si>
    <t>Social Movements and Symbolic Power : Radicalism, Reform and the Trial of Democracy in France</t>
  </si>
  <si>
    <t>Bakhtinian Perspectives on Language and Culture : Meaning in Language, Art and New Media</t>
  </si>
  <si>
    <t>Economic Forecasting</t>
  </si>
  <si>
    <t>Understanding Complex Sentences : Native Speaker Variation in Syntactic Competence</t>
  </si>
  <si>
    <t>Engaged Knowledge Management : Engagement with New Realities</t>
  </si>
  <si>
    <t>French Intellectuals and Politics from the Dreyfus Affair to the Occupation</t>
  </si>
  <si>
    <t>European Welfare States and Supranational Governance of Social Policy : Implications for Regional and Global Governance</t>
  </si>
  <si>
    <t>Development of Grammar in Spanish and Romance Languages</t>
  </si>
  <si>
    <t>Global Competitiveness and Innovation : An Agent-Centred Perspective</t>
  </si>
  <si>
    <t>Women, Crime and Language</t>
  </si>
  <si>
    <t>Empire and Culture : The French Experience, 1830-1940</t>
  </si>
  <si>
    <t>Autonomy of Literature : Institutionalism and Its Discontents</t>
  </si>
  <si>
    <t>Advertising and Promotion : Communicating Brands</t>
  </si>
  <si>
    <t>Doing Research in Cultural Studies : An Introduction to Classical and New Methodological Approaches</t>
  </si>
  <si>
    <t>Discourse Analysis as Theory and Method</t>
  </si>
  <si>
    <t>Good Grammar for Students</t>
  </si>
  <si>
    <t>Action Research for Improving Practice : A Practical Guide</t>
  </si>
  <si>
    <t>Applied Differential Geometry: A Modern Introduction</t>
  </si>
  <si>
    <t>Women In Later Life : Exploring Race And Ethnicity</t>
  </si>
  <si>
    <t>Writing At University : A Guide For Students</t>
  </si>
  <si>
    <t>Understanding Effective Learning : Strategies For The Classroom</t>
  </si>
  <si>
    <t>Writing Up Your University Assignments And Research Projects</t>
  </si>
  <si>
    <t>Ageing Societies : A Comparative Introduction</t>
  </si>
  <si>
    <t>Absorbing and Developing Qualified Fighter Pilots : The Role of the Advanced Simulator</t>
  </si>
  <si>
    <t>Toward a K-20 Student Record Data System for California</t>
  </si>
  <si>
    <t>Federal Role in Terrorism Insurance : Evaluating Alternatives in an Uncertain World</t>
  </si>
  <si>
    <t>Women and Nation-Building</t>
  </si>
  <si>
    <t>Education for a New Era, Executive Summary : Design and Implementation of K–12 Education Reform in Qatar</t>
  </si>
  <si>
    <t>In the Name of Entrepreneurship? : The Logic and Effects of Special Regulatory Treatment for Small Business</t>
  </si>
  <si>
    <t>Friends of God : Islamic Images of Piety, Commitment, and Servanthood</t>
  </si>
  <si>
    <t>The Memoirs of Alton Augustus Adams, Sr : First Black Bandmaster of the United States Navy</t>
  </si>
  <si>
    <t>Saving the Modern Soul : Therapy, Emotions, and the Culture of Self-Help</t>
  </si>
  <si>
    <t>Reframing Teacher Leadership to Improve Your School</t>
  </si>
  <si>
    <t>Underdog Advertising : Proven Principles to Compete and Win Against the Giants in Any Industry</t>
  </si>
  <si>
    <t>Musicians from a Different Shore : Asians and Asian Americans in Classical Music</t>
  </si>
  <si>
    <t>Food Science</t>
  </si>
  <si>
    <t>Understanding Philanthropy : Its Meaning and Mission</t>
  </si>
  <si>
    <t>Truman and MacArthur : Policy, Politics, and the Hunger for Honor and Renown</t>
  </si>
  <si>
    <t>Poison in the Well : Radioactive Waste in the Oceans at the Dawn of the Nuclear Age</t>
  </si>
  <si>
    <t>Rutgers University Press</t>
  </si>
  <si>
    <t>Judicial Review in Northern Ireland</t>
  </si>
  <si>
    <t>Hong Kong New Wave Cinema (19782000)</t>
  </si>
  <si>
    <t>Educating Artists for the Future : Learning at the Intersections of Art, Science, Technology, and Culture</t>
  </si>
  <si>
    <t>International Dialogues about Visual Culture, Education and Art</t>
  </si>
  <si>
    <t>Television and Criticism</t>
  </si>
  <si>
    <t>Russia, Freaks and Foreigners : Three Performance Texts</t>
  </si>
  <si>
    <t>The Designer : Half a Century of Change in Image, Training, and Technique</t>
  </si>
  <si>
    <t>The Coolie Speaks : Chinese Indentured Laborers and African Slaves in Cuba</t>
  </si>
  <si>
    <t>Cancer Control : Diagnosis and Treatment</t>
  </si>
  <si>
    <t>Report</t>
  </si>
  <si>
    <t>Talking, Drawing, Writing : Lessons for Our Youngest Writers</t>
  </si>
  <si>
    <t>Choice Words : How Our Language Affects Children's Learning</t>
  </si>
  <si>
    <t>I Read It, but I Don't Get It : Comprehension Strategies for Adolescent Readers</t>
  </si>
  <si>
    <t>Animal-Assisted Interventions for Individuals with Autism</t>
  </si>
  <si>
    <t>The Art of Helping Others : Being Around, Being There, Being Wise</t>
  </si>
  <si>
    <t>Children and Spirituality : Searching for Meaning and Connectedness</t>
  </si>
  <si>
    <t>Living Sensationally : Understanding Your Senses</t>
  </si>
  <si>
    <t>Sexual Offending and Mental Health : Multidisciplinary Management in the Community</t>
  </si>
  <si>
    <t>Young Children's Rights : Exploring Beliefs, Principles and Practice</t>
  </si>
  <si>
    <t>Advanced IQ Tests : The Toughest Practice Questions to Test Your Lateral Thinking, Problem Solving and Reasoning Skills</t>
  </si>
  <si>
    <t>Brand Failures : The Truth About the 100 Biggest Branding Mistakes of All Time</t>
  </si>
  <si>
    <t>A Companion to Shakespeare's Works, Volume I : The Tragedies</t>
  </si>
  <si>
    <t>Christ and Culture : Christ and Culture</t>
  </si>
  <si>
    <t>Smart and Sustainable Built Environments</t>
  </si>
  <si>
    <t>The Blackwell Guide to the Philosophy of Language</t>
  </si>
  <si>
    <t>Comprehension Instruction : Research-Based Best Practices</t>
  </si>
  <si>
    <t>Reading Comprehension : Strategies for Independent Learners</t>
  </si>
  <si>
    <t>101 Secrets to Building a Winning Business : Smart, Proven and Practical Tips to Help Any business Beat the Competition</t>
  </si>
  <si>
    <t>Accounting for Dummies</t>
  </si>
  <si>
    <t>For Dummies</t>
  </si>
  <si>
    <t>Adult Student's Guide to Survival &amp; Success</t>
  </si>
  <si>
    <t>Practical Psychology Press</t>
  </si>
  <si>
    <t>Key Concepts in Early Childhood Education and Care</t>
  </si>
  <si>
    <t>Managing Service Operations : Design and Implementation</t>
  </si>
  <si>
    <t>Counselling Skills for Social Work</t>
  </si>
  <si>
    <t>Logistics and Supply Chain Integration</t>
  </si>
  <si>
    <t>Effective Teaching with Internet Technologies : Pedagogy and Practice</t>
  </si>
  <si>
    <t>Teaching and Learning Communication, Language and Literacy</t>
  </si>
  <si>
    <t>Storytelling in the Classroom : Enhancing Traditional Oral Skills for Teachers and Pupils</t>
  </si>
  <si>
    <t>Analyzing Quantitative Data : From Description to Explanation</t>
  </si>
  <si>
    <t>Doing Cultural Geography</t>
  </si>
  <si>
    <t>Performance Measurement and Management : A Strategic Approach to Management Accounting</t>
  </si>
  <si>
    <t>The Integrated Children's System : Enhancing Social Work and Inter-agency Practice</t>
  </si>
  <si>
    <t>Art Therapy and Anger</t>
  </si>
  <si>
    <t>The Colors of Grief : Understanding a Child's Journey Through Loss from Birth to Adulthood</t>
  </si>
  <si>
    <t>Tai Chi Chuan and the Code of Life : Revealing the Deeper Mysteries of China's Ancient Art for Health and Harmony</t>
  </si>
  <si>
    <t>Singing Dragon</t>
  </si>
  <si>
    <t>365 Ways to Be Your Own Life Coach : A Programme for Personal and Professional Growth for Just a Few Minutes Every Day</t>
  </si>
  <si>
    <t>How To Books</t>
  </si>
  <si>
    <t>Critical Thinking for Students : Learn the Skills of Critical Assessment and Effective Argument</t>
  </si>
  <si>
    <t>How To Read Faster and Recall More : Learn the Art of Speed Reading with Maximum Recall</t>
  </si>
  <si>
    <t>How To Write Essays</t>
  </si>
  <si>
    <t>Moving To France With Your Children</t>
  </si>
  <si>
    <t>Presenting With Power : Captivate, Motivate, Inspire and Persuade</t>
  </si>
  <si>
    <t>Succeeding at Interviews : Give Great Answers and Ask the Right Questions</t>
  </si>
  <si>
    <t>Parent's Guide To College and University : Essential Information for Parents on All Aspects of Further and Higher Education</t>
  </si>
  <si>
    <t>21st Century Sexualities : Contemporary Issues in Health, Education, and Rights</t>
  </si>
  <si>
    <t>A General Theory of Emotions and Social Life</t>
  </si>
  <si>
    <t>A Practical Guide to Teaching Design and Technology in the Secondary School</t>
  </si>
  <si>
    <t>Absent Environments : Theorising Environmental Law and the City</t>
  </si>
  <si>
    <t>Abstract Space : Beneath the Media Surface</t>
  </si>
  <si>
    <t>Acting from Shakespeare's First Folio : Theory, Text and Performance</t>
  </si>
  <si>
    <t>Al-Ghazali and the Qur'an : One Book, Many Meanings</t>
  </si>
  <si>
    <t>Art History: the Key Concepts</t>
  </si>
  <si>
    <t>Asia-Pacific Security : US, Australia and Japan and the New Security Triangle</t>
  </si>
  <si>
    <t>Beginning Research : A Guide for Foundation Degree Students</t>
  </si>
  <si>
    <t>Bringing the High Scope Approach to your Early Years Practice</t>
  </si>
  <si>
    <t>Bringing the Reggio Approach to your Early Years Practice</t>
  </si>
  <si>
    <t>Bringing the Steiner Waldorf Approach to your Early Years Practice</t>
  </si>
  <si>
    <t>Building Services Engineering</t>
  </si>
  <si>
    <t>Case Formulation in Cognitive Behaviour Therapy : The Treatment of Challenging and Complex Cases</t>
  </si>
  <si>
    <t>Changing Visions of East Asia, 1943-93 : Transformations and Continuities</t>
  </si>
  <si>
    <t>Chataway : Making Communication Count, from Foundation Stage to Key Stage Three</t>
  </si>
  <si>
    <t>China's New Consumers : Social Development and Domestic Demand</t>
  </si>
  <si>
    <t>China's State Enterprise Reform : From Marx to the Market</t>
  </si>
  <si>
    <t>Chinese Documentaries : From Dogma to Polyphony</t>
  </si>
  <si>
    <t>Chinese Strategic Culture and Foreign Policy Decision-Making : Confucianism, Leadership and War</t>
  </si>
  <si>
    <t>Chinese Transnational Networks : TAN</t>
  </si>
  <si>
    <t>Cognitive Science : An Introduction to Mind and Brain</t>
  </si>
  <si>
    <t>Colonial Modernities : Building, Dwelling and Architecture in British India and Ceylon</t>
  </si>
  <si>
    <t>Contemporary Perspectives in e-Learning Research : Themes, Methods and Impact on Practice</t>
  </si>
  <si>
    <t>Corrosion of Steel in Concrete : Understanding, Investigation and Repair, Second Edition</t>
  </si>
  <si>
    <t>Creative Teaching: English in the Early Years and Primary Classroom</t>
  </si>
  <si>
    <t>Cyberculture Theorists : Manuel Castells and Donna Haraway</t>
  </si>
  <si>
    <t>Darwin</t>
  </si>
  <si>
    <t>Democracy in Islam</t>
  </si>
  <si>
    <t>Designing Learning : From Module Outline to Effective Teaching</t>
  </si>
  <si>
    <t>Dialogue and the Development of Children's Thinking : A Sociocultural Approach</t>
  </si>
  <si>
    <t>Disclosing Horizons : Architecture, Perspective and Redemptive Space</t>
  </si>
  <si>
    <t>Early Modern Prose Fiction : The Cultural Politics of Reading</t>
  </si>
  <si>
    <t>East Asia, Globalization and the New Economy</t>
  </si>
  <si>
    <t>Economics of the Firm : Analysis, Evolution and History</t>
  </si>
  <si>
    <t>Economics, Ethics and the Market : Introduction and Applications</t>
  </si>
  <si>
    <t>Effective Press Relations for the Built Environment : A Practical Guide</t>
  </si>
  <si>
    <t>Environment, Development and Change in Rural Asia-Pacific : Between Local and Global</t>
  </si>
  <si>
    <t>Expressions of Cambodia : The Politics of Tradition, Identity and Change</t>
  </si>
  <si>
    <t>Fair Trade : The Challenges of Transforming Globalization</t>
  </si>
  <si>
    <t>Film Studies : The Basics</t>
  </si>
  <si>
    <t>Finance: the Basics</t>
  </si>
  <si>
    <t>Food and Foodways in Asia : Resource, Tradition and Cooking</t>
  </si>
  <si>
    <t>Foreign Policy Making in Taiwan : From Principle to Pragmatism</t>
  </si>
  <si>
    <t>International Business Finance</t>
  </si>
  <si>
    <t>Gender and Lifelong Learning : Critical Feminist Engagements</t>
  </si>
  <si>
    <t>Geographies of the New Economy : Critical Reflections</t>
  </si>
  <si>
    <t>Globalisation and Citizenship : The Transnational Challenge</t>
  </si>
  <si>
    <t>Globalising Democracy : Party Politics in Emerging Democracies</t>
  </si>
  <si>
    <t>Green Political Thought</t>
  </si>
  <si>
    <t>Handbook of Business Interest Associations, Firm Size and Governance : A Comparative Analytical Approach</t>
  </si>
  <si>
    <t>The Handbook of Communication Skills</t>
  </si>
  <si>
    <t>Housing and Dwelling : Perspectives on Modern Domestic Architecture</t>
  </si>
  <si>
    <t>How to Read Ethnography</t>
  </si>
  <si>
    <t>Husserl</t>
  </si>
  <si>
    <t>Ideas, Policies and Economic Development in the Americas</t>
  </si>
  <si>
    <t>Improving Primary Literacy : Linking Home and School</t>
  </si>
  <si>
    <t>Innovation and Business Partnering in Japan, Europe and the United States</t>
  </si>
  <si>
    <t>Innovative Assessment in Higher Education</t>
  </si>
  <si>
    <t>Intention and Causation in Medical Non-Killing : The Impact of Criminal Law Concepts on Euthanasia and Assisted Suicide</t>
  </si>
  <si>
    <t>International Law and International Relations : Bridging Theory and Practice</t>
  </si>
  <si>
    <t>International Law and the Use of Armed Force : The un Charter and the Major Powers</t>
  </si>
  <si>
    <t>Internationalising Higher Education</t>
  </si>
  <si>
    <t>Interpretation of Contracts</t>
  </si>
  <si>
    <t>Language and Linguistics: the Key Concepts</t>
  </si>
  <si>
    <t>Language Testing and Assessment : An Advanced Resource Book</t>
  </si>
  <si>
    <t>Leibniz's Final System : Monads, Matter, and Animals</t>
  </si>
  <si>
    <t>Making a Performance : Devising Histories and Contemporary Practices</t>
  </si>
  <si>
    <t>Managerial Competence Within the Hospitality and Tourism Service Industries : Global Cultural Contextual Analysis</t>
  </si>
  <si>
    <t>Managing Pupil Behaviour : Key Issues in Teaching and Learning</t>
  </si>
  <si>
    <t>Man-Made Future : Planning, Education and Design in Mid-20th Century Britain</t>
  </si>
  <si>
    <t>Material Matters : Architecture and Material Practice</t>
  </si>
  <si>
    <t>Media, Modernity and Technology : The Geography of the New</t>
  </si>
  <si>
    <t>Mikhail Bakhtin : The Word in the World</t>
  </si>
  <si>
    <t>Museum Management and Marketing</t>
  </si>
  <si>
    <t>Nuclear Proliferation and International Security</t>
  </si>
  <si>
    <t>Open Market Operations and Financial Markets</t>
  </si>
  <si>
    <t>Party Policy in Modern Democracies</t>
  </si>
  <si>
    <t>Pedagogy and Learning with ICT : Researching the Art of Innovation</t>
  </si>
  <si>
    <t>Performativity</t>
  </si>
  <si>
    <t>Philosophy, Risk and Adventure Sports : Meaning, Motivation and Sporting Danger</t>
  </si>
  <si>
    <t>Planning Your Qualitative Research Project : An Introduction to Interpretivist Research in Education</t>
  </si>
  <si>
    <t>Population Decline and Ageing in Japan - the Social Consequences : The Social Consequences</t>
  </si>
  <si>
    <t>Private Enterprises and China's Economic Development</t>
  </si>
  <si>
    <t>Public Management: Old and New</t>
  </si>
  <si>
    <t>Research Ethics in Exercise, Health and Sports Sciences</t>
  </si>
  <si>
    <t>Ritual and Event : Interdisciplinary Perspectives</t>
  </si>
  <si>
    <t>Rural Governance : International Perspectives</t>
  </si>
  <si>
    <t>Strategic Leadership of Change in Higher Education : What's New?</t>
  </si>
  <si>
    <t>Taiwan in the 21st Century : Aspects and Limitations of a Development Model</t>
  </si>
  <si>
    <t>A Practical Guide to Teaching History in the Secondary School : A Practical Guide</t>
  </si>
  <si>
    <t>Practical Guide to Teaching Modern Foreign Languages in the Secondary School</t>
  </si>
  <si>
    <t>Teaching the Global Dimension : Key Principles and Effective Practice</t>
  </si>
  <si>
    <t>The Cinematic Tourist : Explorations in Globalization, Culture and Resistance</t>
  </si>
  <si>
    <t>The Communication of Leadership : The Design of Leadership Style</t>
  </si>
  <si>
    <t>The Economics of Sports Broadcasting</t>
  </si>
  <si>
    <t>The New Early Years Professional : Dilemmas and Debates</t>
  </si>
  <si>
    <t>The Rob Long Omnibus Edition of Better Behaviour</t>
  </si>
  <si>
    <t>The RoutledgeFalmer Reader in Education Policy and Politics</t>
  </si>
  <si>
    <t>The Social Construction of Disease : From Scrapie to Prion</t>
  </si>
  <si>
    <t>The Therapeutic Relationship in the Cognitive Behavioral Psychotherapies</t>
  </si>
  <si>
    <t>The Total Work of Art : From Bayreuth to Cyberspace</t>
  </si>
  <si>
    <t>Theatre of Movement and Gesture</t>
  </si>
  <si>
    <t>Tibetan and Zen Buddhism in Britain : Transplantation, Development and Adaptation</t>
  </si>
  <si>
    <t>Town and Country Planning in the UK</t>
  </si>
  <si>
    <t>Understanding Building Failures</t>
  </si>
  <si>
    <t>Understanding Spelling</t>
  </si>
  <si>
    <t>Urban Complexity and Spatial Strategies : Towards a Relational Planning for Our Times</t>
  </si>
  <si>
    <t>What is this thing called Knowledge?</t>
  </si>
  <si>
    <t>Government Consolidation and Economic Development in Allegheny County and the City of Pittsburgh</t>
  </si>
  <si>
    <t>Fundamentals of Research Methodology and Statistics</t>
  </si>
  <si>
    <t>Analytical Buddhism : The Two-Tiered Illusion of Self</t>
  </si>
  <si>
    <t>The Radical Attitude and Modern Political Theory</t>
  </si>
  <si>
    <t>China's Rural Industrialization Policy : Growing under Orders Since 1949</t>
  </si>
  <si>
    <t>From Basel 1 to Basel 3 : The Integration of State of the Art Risk Modelling in Banking Regulation</t>
  </si>
  <si>
    <t>Assessing Scientific, Reading and Mathematical Literacy : A Framework for PISA 2006</t>
  </si>
  <si>
    <t>Sex Differences : Summarizing More Than a Century of Scientific Research</t>
  </si>
  <si>
    <t>Improving Financial Education and Awareness on Insurance and Private Pensions</t>
  </si>
  <si>
    <t>Becoming a Behavioral Science Researcher : A Guide to Producing Research That Matters</t>
  </si>
  <si>
    <t>Crucible for Survival : Environmental Security and Justice in the Indian Ocean Region</t>
  </si>
  <si>
    <t>Alternative Worlds in Hollywood Cinema : Resonance Between Realms</t>
  </si>
  <si>
    <t>Research in Art and Design Education : Issues and Exemplars</t>
  </si>
  <si>
    <t>Your Exceptional Mind : Enhance Intelligence, Expand Understanding</t>
  </si>
  <si>
    <t>Emerging Markets : Lessons for business success and the outlook for different markets</t>
  </si>
  <si>
    <t>Encyclopaedia Britannica Almanac 2008</t>
  </si>
  <si>
    <t>Encyclopaedia Britannica, Incorporated</t>
  </si>
  <si>
    <t>Encyclopaedia Britannica, Inc.</t>
  </si>
  <si>
    <t>Earth's Changing Environment</t>
  </si>
  <si>
    <t>Ready, Set, Research! with Britannica Student Encyclopedia : Reproducible Masters, Grades 3 and Up</t>
  </si>
  <si>
    <t>2008 Britannica Book of the Year : Events of 2007</t>
  </si>
  <si>
    <t>Encyclopedia of World Religions</t>
  </si>
  <si>
    <t>Plants, Algae and Fungi : Plants  : Algae and Fungi</t>
  </si>
  <si>
    <t>Invertebrates : Invertebrates</t>
  </si>
  <si>
    <t>Reptiles and Dinosaurs : Reptiles and Dinosaurs</t>
  </si>
  <si>
    <t>Arts : The Arts</t>
  </si>
  <si>
    <t>Religions Around the World : Religions Around the World</t>
  </si>
  <si>
    <t>Views of the Americas : Views of the Americas</t>
  </si>
  <si>
    <t>Food Plants : Food Plants</t>
  </si>
  <si>
    <t>Artists from Around the World : Artists from Around the World</t>
  </si>
  <si>
    <t>Green BIM : Successful Sustainable Design with Building Information Modeling</t>
  </si>
  <si>
    <t>Sybex</t>
  </si>
  <si>
    <t>Addicted to Stress : A Woman's 7 Step Program to Reclaim Joy and Spontaneity in Life</t>
  </si>
  <si>
    <t>Jossey-Bass</t>
  </si>
  <si>
    <t>Attachment from Infancy to Adulthood : The Major Longitudinal Studies</t>
  </si>
  <si>
    <t>Handbook of Language and Literacy, First Edition : Development and Disorders</t>
  </si>
  <si>
    <t>Green Property : Buying, Developing and Investing in Eco-friendly Property, and Becoming More Energy Efficient</t>
  </si>
  <si>
    <t>1 Enoch 91-108 : A Commentary on the Apocrypha and Pseudepigrapha  : 1 Enoch 91-108</t>
  </si>
  <si>
    <t>Analyses of Script : Properties of Characters and Writing Systems</t>
  </si>
  <si>
    <t>Annual Review of South Asian Languages and Linguistics : 2007</t>
  </si>
  <si>
    <t>Aspects of Language Contact : New Theoretical, Methodological and Empirical Findings with Special Focus on Romancisation Processes</t>
  </si>
  <si>
    <t>Cognitive Linguistic Approaches to Teaching Vocabulary and Phraseology : Cognitive Linguistic Approaches to Teaching Vocabulary and Phraseology</t>
  </si>
  <si>
    <t>Constructional Approaches to English Grammar : Constructional Approaches to English Grammar</t>
  </si>
  <si>
    <t>Creativity and Artificial Intelligence : A Conceptual Blending Approach</t>
  </si>
  <si>
    <t>Walter de Gruyter GmbH</t>
  </si>
  <si>
    <t>Discovering Syntax : Clause Structures of English, German, and Romance</t>
  </si>
  <si>
    <t>Ethics in Culture : The Dissemination of Values Through Literature and Other Media</t>
  </si>
  <si>
    <t>Handbook of Language and Communication : Diversity and Change</t>
  </si>
  <si>
    <t>Handbook of Multilingualism and Multilingual Communication : Handbook of Multilingualism and Multilingual Communication</t>
  </si>
  <si>
    <t>Interfaces + Recursion = Language? : Chomsky's Minimalism and the View from Syntax-semantics</t>
  </si>
  <si>
    <t>International Genealogy and Local History : Papers Presented by the Genealogy and Local History Section at Ifla General Conferences, 2001-2005</t>
  </si>
  <si>
    <t>Managing Technologies in Developing Countries : Open Source vs Commercial Options - Le Management des Technologies et des Systèmes Automatisés de Bibliotheques Dans les Pays en Développement - Logiciels Libres vs Options Commerciales</t>
  </si>
  <si>
    <t>Mapping Linguistic Diversity in Multicultural Contexts : Mapping Linguistic Diversity in Multicultural Contexts</t>
  </si>
  <si>
    <t>Recent Advances in the Syntax and Semantics of Tense, Aspect and Modality : Recent Advances in the Syntax and Semantics of Tense, Aspect and Modality</t>
  </si>
  <si>
    <t>Valency : Theoretical, Descriptive and Cognitive Issues</t>
  </si>
  <si>
    <t>Visible Variation : Comparative Studies on Sign Language Structure</t>
  </si>
  <si>
    <t>9/11 and the War on Terror</t>
  </si>
  <si>
    <t>Christmas, Ideology and Popular Culture</t>
  </si>
  <si>
    <t>Disneyland Encyclopedia : The Unofficial, Unauthorized, and Unprecedented History of Every Land, Attraction, Restaurant, Shop, and Event in the Original Magic Kingdom</t>
  </si>
  <si>
    <t>Santa Monica Press</t>
  </si>
  <si>
    <t>Old Man and the Sea : New Edition</t>
  </si>
  <si>
    <t>India</t>
  </si>
  <si>
    <t>Indian Americans</t>
  </si>
  <si>
    <t>Filipino Americans</t>
  </si>
  <si>
    <t>Oscar De La Hoya : Oscar De La  Hoya</t>
  </si>
  <si>
    <t>Roberto Clemente : Roberto Clemente</t>
  </si>
  <si>
    <t>England : England</t>
  </si>
  <si>
    <t>Thabo Mbeki</t>
  </si>
  <si>
    <t>Canterbury Tales : Geoffrey Chaucer</t>
  </si>
  <si>
    <t>Herman Melville : New Edition</t>
  </si>
  <si>
    <t>Agriculture : The Food We Grow and Animals We Raise</t>
  </si>
  <si>
    <t>Hu Jintao</t>
  </si>
  <si>
    <t>Honduras</t>
  </si>
  <si>
    <t>Oceans : How We Use the Seas</t>
  </si>
  <si>
    <t>Banking, Finance, and Insurance</t>
  </si>
  <si>
    <t>Diego Rivera</t>
  </si>
  <si>
    <t>Colombia</t>
  </si>
  <si>
    <t>United States of America</t>
  </si>
  <si>
    <t>Leonardo da Vinci : Artist, Inventor, and Renaissance Man</t>
  </si>
  <si>
    <t>Coast : Hazardous Interactions Within the Coastal Environment</t>
  </si>
  <si>
    <t>1960s : The 1960s</t>
  </si>
  <si>
    <t>Ethnic and Group Identity Movements : Earning Recognition</t>
  </si>
  <si>
    <t>Pablo Picasso : Pablo Picasso</t>
  </si>
  <si>
    <t>Tito Puente : Tito Puente</t>
  </si>
  <si>
    <t>Francisco Goya</t>
  </si>
  <si>
    <t>Michelangelo : Painter, Sculptor, and Architect</t>
  </si>
  <si>
    <t>Abolitionist Movement : Ending Slavery</t>
  </si>
  <si>
    <t>Civil Rights Movement : Striving for Justice</t>
  </si>
  <si>
    <t>Progressive Movement : Advocating Social Change</t>
  </si>
  <si>
    <t>Frida Kahlo</t>
  </si>
  <si>
    <t>Finland</t>
  </si>
  <si>
    <t>Forestry : Forestry</t>
  </si>
  <si>
    <t>Critical Companion to Dante : A Literary Reference to His Life and Work</t>
  </si>
  <si>
    <t>Mother Teresa : Caring for the World's Poor</t>
  </si>
  <si>
    <t>Elie Wiesel : Messenger for Peace</t>
  </si>
  <si>
    <t>Henry Kissinger : Ending the Vietnam War</t>
  </si>
  <si>
    <t>Jennifer Lopez</t>
  </si>
  <si>
    <t>Michelle Bachelet</t>
  </si>
  <si>
    <t>Children, Families and Violence : Challenges for Children's Rights</t>
  </si>
  <si>
    <t>Market Risk Analysis, Pricing, Hedging and Trading Financial Instruments : Pricing, Hedging and Trading Financial Instruments</t>
  </si>
  <si>
    <t>Insurance Statistics Yearbook, 1997-2006 : 2008 Edition</t>
  </si>
  <si>
    <t>100 Most Influential Scientists</t>
  </si>
  <si>
    <t>A Region in Turmoil : South Asian Conflicts Since 1947</t>
  </si>
  <si>
    <t>Reaktion Books, Limited</t>
  </si>
  <si>
    <t>Business-to-Business Internet Marketing : Seven Proven Strategies for Increasing Profits through Internet Direct Marketing</t>
  </si>
  <si>
    <t>Customizing the Body : The Art and Culture of Tattooing</t>
  </si>
  <si>
    <t>Globally Speaking : Motives for Adopting English Vocabulary in Other Languages</t>
  </si>
  <si>
    <t>Advocating for English Learners : Selected Essays</t>
  </si>
  <si>
    <t>Heavenly Readings : Liturgical Literacy in a Multilingual Context</t>
  </si>
  <si>
    <t>Socializing Identities through Speech Style : Learners of Japanese as a Foreign Language</t>
  </si>
  <si>
    <t>Network Analysis and Tourism : From Theory to Practice</t>
  </si>
  <si>
    <t>Central Government Debt : Statistical Yearbook 1998-2007, 2008 Edition</t>
  </si>
  <si>
    <t>Open Innovation in Global Networks</t>
  </si>
  <si>
    <t>Classroom-based Research and Evidence-based Practice : A Guide for Teachers</t>
  </si>
  <si>
    <t>Cooperative Learning in the Classroom : Putting it into Practice</t>
  </si>
  <si>
    <t>Education and Care for Adolescents and Adults with Autism : A Guide for Professionals and Carers</t>
  </si>
  <si>
    <t>Education Studies : Essential Issues</t>
  </si>
  <si>
    <t>Interpreting Quantitative Data</t>
  </si>
  <si>
    <t>Introduction to Accounting</t>
  </si>
  <si>
    <t>Researching Leisure, Sport and Tourism : The Essential Guide</t>
  </si>
  <si>
    <t>Study Skills : A Teaching Programme for Students in Schools and Colleges</t>
  </si>
  <si>
    <t>Using Phonics to Teach Reading &amp; Spelling</t>
  </si>
  <si>
    <t>Cognitive-Behavioral Interventions for Emotional and Behavioral Disorders : School-Based Practice</t>
  </si>
  <si>
    <t>The 200 Best Home Businesses : Easy To Start, Fun To Run, Highly Profitable</t>
  </si>
  <si>
    <t>F+W Media</t>
  </si>
  <si>
    <t>Adams Media</t>
  </si>
  <si>
    <t>Hiring The Best : A Manager's Guide to Effective Interviewing and Recruiting</t>
  </si>
  <si>
    <t>Breast Cancer : Answers at your fingertips</t>
  </si>
  <si>
    <t>Class Publishing</t>
  </si>
  <si>
    <t>American Culture in the 1960s</t>
  </si>
  <si>
    <t>American Culture in the 1930s</t>
  </si>
  <si>
    <t>African American Visual Arts : From Slavery to the Present</t>
  </si>
  <si>
    <t>Contemporary British Fiction</t>
  </si>
  <si>
    <t>Introduction to Japanese Horror Film</t>
  </si>
  <si>
    <t>Doing Diversity in Higher Education : Faculty Leaders Share Challenges and Strategies</t>
  </si>
  <si>
    <t>Aftermaths : Exile, Migration, and Diaspora Reconsidered</t>
  </si>
  <si>
    <t>Introduction to Control Engineering : Modeling, Analysis and Design</t>
  </si>
  <si>
    <t>Gardner's Guide to Pitching and Selling Animation</t>
  </si>
  <si>
    <t>Garth Gardner Company</t>
  </si>
  <si>
    <t>From Brand Vision to Brand Evaluation</t>
  </si>
  <si>
    <t>Teaching Early Literacy : Development, Assessment, and Instruction</t>
  </si>
  <si>
    <t>Comprehension Process Instruction : Creating Reading Success in Grades K-3</t>
  </si>
  <si>
    <t>Interventions for Reading Problems : Designing and Evaluating Effective Strategies</t>
  </si>
  <si>
    <t>Adolescent Literacy Research and Practice</t>
  </si>
  <si>
    <t>The Nature of Play : Great Apes and Humans</t>
  </si>
  <si>
    <t>Early Reading Assessment : A Practitioner's Handbook</t>
  </si>
  <si>
    <t>Conceptual Foundations of Teaching Reading</t>
  </si>
  <si>
    <t>60 Second Organizer : Sixty Solid Techniques for Beating Chaos at Work</t>
  </si>
  <si>
    <t>Ask Questions, Get Sales : Close The Deal And Create Long-Term Relationships</t>
  </si>
  <si>
    <t>Beat Sales Burnout : Maximize Sales, Minimize Stress</t>
  </si>
  <si>
    <t>F&amp;W Media, Incorporated</t>
  </si>
  <si>
    <t>Stephan Schiffman's 101 Successful Sales Strategies : Top Techniques to Boost Sales Today</t>
  </si>
  <si>
    <t>Stephan Schiffman's Sales Essentials : All You Need to Know to Be a Successful Salesperson-From Cold Calling and Prospecting with E-Mail to Increasing the Buy and Closing</t>
  </si>
  <si>
    <t>Stephan Schiffman's Telesales : America's #1 Corporate Sales Trainer Shows You How to Boost Your Phone Sales</t>
  </si>
  <si>
    <t>The 25 Sales Strategies That Will Boost Your Sales Today!</t>
  </si>
  <si>
    <t>Writing Mysteries : A Handbook by the Mystery Writers of America</t>
  </si>
  <si>
    <t>Writer's Digest Books</t>
  </si>
  <si>
    <t>The Appreciative Inquiry Handbook : For Leaders of Change</t>
  </si>
  <si>
    <t>Turning to One Another : Simple Conversations to Restore Hope to the Future</t>
  </si>
  <si>
    <t>Finding the Right Place on the Map : Central and Eastern European Media Change in a Global Perspective</t>
  </si>
  <si>
    <t>A Power Stronger Than Itself : The AACM and American Experimental Music</t>
  </si>
  <si>
    <t>University of Chicago Press</t>
  </si>
  <si>
    <t>Affirmative Advocacy : Race, Class, and Gender in Interest Group Politics</t>
  </si>
  <si>
    <t>After God</t>
  </si>
  <si>
    <t>Against Marriage : The Correspondence of La Grande Mademoiselle</t>
  </si>
  <si>
    <t>All the Essential Half-Truths about Higher Education</t>
  </si>
  <si>
    <t>All the Names of the Lord : Lists, Mysticism, and Magic</t>
  </si>
  <si>
    <t>Analyses in the Economics of Aging</t>
  </si>
  <si>
    <t>Analyzing Animal Societies : Quantitative Methods for Vertebrate Social Analysis</t>
  </si>
  <si>
    <t>Black Camelot : African-American Culture Heroes in Their Times, 1960-1980</t>
  </si>
  <si>
    <t>Challenges to Globalization : Analyzing the Economics</t>
  </si>
  <si>
    <t>Changes in Exchange Rates in Rapidly Developing Countries : Theory, Practice, and Policy Issues</t>
  </si>
  <si>
    <t>Coast Lines : How Mapmakers Frame the World and Chart Environmental Change</t>
  </si>
  <si>
    <t>Dido's Daughters : Literacy, Gender, and Empire in Early Modern England and France</t>
  </si>
  <si>
    <t>Displacing Christian Origins : Philosophy, Secularity, and the New Testament</t>
  </si>
  <si>
    <t>Economic Adjustment and Exchange Rates in Developing Countries</t>
  </si>
  <si>
    <t>Economic and Financial Crises in Emerging Market Economies</t>
  </si>
  <si>
    <t>Economic Challenges in Higher Education</t>
  </si>
  <si>
    <t>Fins into Limbs : Evolution, Development, and Transformation</t>
  </si>
  <si>
    <t>Foraging : Behavior and Ecology</t>
  </si>
  <si>
    <t>Framed Time : Toward a Postfilmic Cinema</t>
  </si>
  <si>
    <t>G7 Current Account Imbalances : Sustainability and Adjustment</t>
  </si>
  <si>
    <t>Globalization and Poverty</t>
  </si>
  <si>
    <t>Governance, Regulation, and Privatization in the Asia-Pacific Region</t>
  </si>
  <si>
    <t>Health and Welfare during Industrialization</t>
  </si>
  <si>
    <t>How to Write a BA Thesis : A Practical Guide from Your First Ideas to Your Finished Paper</t>
  </si>
  <si>
    <t>International Trade in East Asia</t>
  </si>
  <si>
    <t>Labor Markets and Firm Benefit Policies in Japan and the United States</t>
  </si>
  <si>
    <t>Law and Employment : Lessons from Latin America and the Caribbean</t>
  </si>
  <si>
    <t>Mergers and Acquisitions</t>
  </si>
  <si>
    <t>Monetary Policy with Very Low Inflation in the Pacific Rim</t>
  </si>
  <si>
    <t>Output Measurement in the Service Sectors</t>
  </si>
  <si>
    <t>Perspectives on the Economics of Aging</t>
  </si>
  <si>
    <t>Possessed : Hypnotic Crimes, Corporate Fiction, and the Invention of Cinema</t>
  </si>
  <si>
    <t>Regionalism and the Reading Class</t>
  </si>
  <si>
    <t>Scanner Data and Price Indexes</t>
  </si>
  <si>
    <t>Signs and Cities : Black Literary Postmodernism</t>
  </si>
  <si>
    <t>Social Experimentation</t>
  </si>
  <si>
    <t>Subversive Sounds : Race and the Birth of Jazz in New Orleans</t>
  </si>
  <si>
    <t>Taxation in the Global Economy</t>
  </si>
  <si>
    <t>The Chicago Guide to Landing a Job in Academic Biology</t>
  </si>
  <si>
    <t>The Ecology and Evolution of Ant-Plant Interactions</t>
  </si>
  <si>
    <t>The Economics of School Choice</t>
  </si>
  <si>
    <t>The Effects of Taxation on Multinational Corporations</t>
  </si>
  <si>
    <t>The Effects of U.S. Trade Protection and Promotion Policies</t>
  </si>
  <si>
    <t>The Holy Land Reborn : Pilgrimage and the Tibetan Reinvention of Buddhist India</t>
  </si>
  <si>
    <t>The Perfect Servant : Eunuchs and the Social Construction of Gender in Byzantium</t>
  </si>
  <si>
    <t>The Risks of Financial Institutions</t>
  </si>
  <si>
    <t>Trade Policy Issues and Empirical Analysis</t>
  </si>
  <si>
    <t>Urania : A Romance</t>
  </si>
  <si>
    <t>William Blake and the Impossible History of the 1790s</t>
  </si>
  <si>
    <t>Zayde : A Spanish Romance</t>
  </si>
  <si>
    <t>Chasing Lolita : How Popular Culture Corrupted Nabokov's Little Girl All Over Again</t>
  </si>
  <si>
    <t>Tour : Smart:And Break the Band</t>
  </si>
  <si>
    <t>How to Pass Diagrammatic Reasoning Tests : Essential Practice for Abstract, Input Type and Spatial Reasoning Tests</t>
  </si>
  <si>
    <t>7 Steps to Raising a Bilingual Child</t>
  </si>
  <si>
    <t>A Manager's Guide to Coaching : Simple and Effective Ways to Get the Best Out of Your Employees</t>
  </si>
  <si>
    <t>Acing the Interview : How to Ask and Answer the Questions That Will Get You the Job</t>
  </si>
  <si>
    <t>Are You Dumb Enough to Be Rich? : The Amazingly Simple Way to Make Millions in Real Estate</t>
  </si>
  <si>
    <t>Goal Setting : How to Create an Action Plan and Achieve Your Goals</t>
  </si>
  <si>
    <t>How to Become a Better Negotiator</t>
  </si>
  <si>
    <t>How to Negotiate Anything with Anyone Anywhere Around</t>
  </si>
  <si>
    <t>Jewish Wisdom for Business Success : Lessons from the Torah and Other Ancient Texts</t>
  </si>
  <si>
    <t>Looks : Why They Matter More Than You Ever Imagined</t>
  </si>
  <si>
    <t>Managing Online Forums : Everything You Need to Know to Create and Run Successful Community Discussion Boards</t>
  </si>
  <si>
    <t>Mortgages 101 : Quick Answers to Over 250 Critical Questions About Your Home Loan</t>
  </si>
  <si>
    <t>Not My Turn to Die : Memoirs of a Broken Childhood in Bosnia</t>
  </si>
  <si>
    <t>Quick Meeting Openers for Busy Managers : More Than 50 Icebreakers, Energizers, and Other Creative Activities That Get Results</t>
  </si>
  <si>
    <t>Saving the Deal : How to Avoid Financing Fiascos and Other Real Estate Deal Killers</t>
  </si>
  <si>
    <t>Sell Your Home in Any Market : 50 Surprisingly Simple Strategies for Getting Top Dollar Fast</t>
  </si>
  <si>
    <t>Seven Secrets for Negotiating with Government : How to Deal with Local, State, National, or Foreign Governments--and Come Out Ahead</t>
  </si>
  <si>
    <t>Signs of Success : The Remarkable Power of Business Astrology</t>
  </si>
  <si>
    <t>Speak to Win : How to Present with Power in Any Situation</t>
  </si>
  <si>
    <t>Strategic Staffing : A Comprehensive System for Effective Workforce Planning</t>
  </si>
  <si>
    <t>Stress-free Potty Training : A Commonsense Guide to Finding the Right Approach for Your Child</t>
  </si>
  <si>
    <t>Career Clinic : Eight Simple Rules for Finding Work You Love</t>
  </si>
  <si>
    <t>Eccentric Billionaire : John D. MacArthur--Empire Builder, Reluctant Philanthropist, Relentless Adversary</t>
  </si>
  <si>
    <t>EQ Interview : Finding Employees with High Emotional Intelligence</t>
  </si>
  <si>
    <t>The Joy of Retirement : Finding Happiness, Freedom, and the Life You've Always Wanted</t>
  </si>
  <si>
    <t>The Language of Success : Business Writing That Informs, Persuades, and Gets Results</t>
  </si>
  <si>
    <t>Power of a Positive Attitude : Discovering the Key to Success</t>
  </si>
  <si>
    <t>The Real Estate Investor's Guide to Financing : Insider Advice for Making the Most Money on Every Deal</t>
  </si>
  <si>
    <t>Vulture Culture : Dirty Deals, Unpaid Claims, and the Coming Collapse of the Insurance Industry</t>
  </si>
  <si>
    <t>Winning with Options : The Smart Way to Manage Portfolio Risk and Maximize Profit</t>
  </si>
  <si>
    <t>Motivation, Language Identity and the L2 Self</t>
  </si>
  <si>
    <t>English as an International Language : Perspectives and Pedagogical Issues</t>
  </si>
  <si>
    <t>Children With Cerebral Palsy : A Manual for Therapists, Parents and Community Workers</t>
  </si>
  <si>
    <t>Sage Publications Pvt. Ltd</t>
  </si>
  <si>
    <t>Customer Value Investment : Formula for Sustained Business Success</t>
  </si>
  <si>
    <t>Educational Theories and Practices from the Majority World</t>
  </si>
  <si>
    <t>Marriage, Migration and Gender</t>
  </si>
  <si>
    <t>Researching Families and Children : Culturally Appropriate Methods</t>
  </si>
  <si>
    <t>World Don't Owe Me Nothing : The Life and Times of Delta Bluesman Honeyboy Edwards</t>
  </si>
  <si>
    <t>Gil Evans : Out of the Cool:His Life and Music</t>
  </si>
  <si>
    <t>Country Music Changed My Life : Tales of Tough Times and Triumph from Country's Legends</t>
  </si>
  <si>
    <t>Movie Wars : How Hollywood and the Media Limit What Movies We Can See</t>
  </si>
  <si>
    <t>Surviving a Layoff : A Week-by-Week Guide to Getting Your Life Back Together</t>
  </si>
  <si>
    <t>European Union, Turkey and Islam</t>
  </si>
  <si>
    <t>Amsterdam University Press</t>
  </si>
  <si>
    <t>Collaborative Case Conceptualization : Working Effectively with Clients in Cognitive-Behavioral Therapy</t>
  </si>
  <si>
    <t>Understanding Care Homes : A Research and Development Perspective</t>
  </si>
  <si>
    <t>Early Psychosocial Interventions in Dementia : Evidence-Based Practice</t>
  </si>
  <si>
    <t>A Book about What Autism Can Be Like</t>
  </si>
  <si>
    <t>Liam Goes Poo in the Toilet : A Story about Trouble with Toilet Training</t>
  </si>
  <si>
    <t>Fun with Messy Play : Ideas and Activities for Children with Special Needs</t>
  </si>
  <si>
    <t>Learning Without School : Home Education</t>
  </si>
  <si>
    <t>Adults on the Autism Spectrum Leave the Nest : Achieving Supported Independence</t>
  </si>
  <si>
    <t>Animals at Play : Rules of the Game</t>
  </si>
  <si>
    <t>The Animated Bestiary : Animals, Cartoons, and Culture</t>
  </si>
  <si>
    <t>Fluid Mechanics and Machinery</t>
  </si>
  <si>
    <t>Fundamental of Biomedical Engineering</t>
  </si>
  <si>
    <t>Adolescents, Media, and the Law : What Developmental Science Reveals and Free Speech Requires</t>
  </si>
  <si>
    <t>Almost a Miracle : The American Victory in the War of Independence</t>
  </si>
  <si>
    <t>An Introduction to Quantum Computing</t>
  </si>
  <si>
    <t>Archaeologies of English Renaissance Literature</t>
  </si>
  <si>
    <t>Asking Questions : Using Meaningful Structures to Imply Ignorance</t>
  </si>
  <si>
    <t>Clarendon Press</t>
  </si>
  <si>
    <t>Attention : From Theory to Practice</t>
  </si>
  <si>
    <t>Beyond Rationality : The Search for Wisdom in a Troubled Time</t>
  </si>
  <si>
    <t>Beyond the Baton : What Every Conductor Needs to Know</t>
  </si>
  <si>
    <t>Blasphemy in the Christian World : A History</t>
  </si>
  <si>
    <t>Causation, Physics, and the Constitution of Reality : Russell's Republic Revisited</t>
  </si>
  <si>
    <t>Chaos : A Very Short Introduction</t>
  </si>
  <si>
    <t>OUP Oxford</t>
  </si>
  <si>
    <t>Charles Dickens and His Performing Selves : Dickens and the Public Readings</t>
  </si>
  <si>
    <t>Child Language : The Parametric Approach</t>
  </si>
  <si>
    <t>Civilian Immunity in War</t>
  </si>
  <si>
    <t>Classics in Post-Colonial Worlds</t>
  </si>
  <si>
    <t>Climate Variability and the Global Harvest : Impacts of el niño and Other Oscillations on Agro-Ecosystems</t>
  </si>
  <si>
    <t>Computational Approaches to Morphology and Syntax</t>
  </si>
  <si>
    <t>Culture and Identity in a Muslim Society</t>
  </si>
  <si>
    <t>Dean Acheson : A Life in the Cold War</t>
  </si>
  <si>
    <t>Oxford University Press, USA</t>
  </si>
  <si>
    <t>Digital Era Governance : IT Corporations, the State, and E-Government</t>
  </si>
  <si>
    <t>Egalitarianism : New Essays on the Nature and Value of Equality</t>
  </si>
  <si>
    <t>Empathy and the Novel</t>
  </si>
  <si>
    <t>Empirical Methods in Short-Term Climate Prediction</t>
  </si>
  <si>
    <t>English Vocabulary Elements</t>
  </si>
  <si>
    <t>Enzymatic Reaction Mechanisms</t>
  </si>
  <si>
    <t>Europe in Search of Political Order : An Institutional Perspective on Unity/Diversity, Citizens/their Helpers, Democratic Design/Historical Drift, and the Co-Existence of Orders</t>
  </si>
  <si>
    <t>Family Bonds : Genealogies of Race and Gender</t>
  </si>
  <si>
    <t>Feelings : The Perception of Self</t>
  </si>
  <si>
    <t>Field Linguistics : A Beginner's Guide</t>
  </si>
  <si>
    <t>Freedom Sounds : Civil Rights Call Out to Jazz and Africa</t>
  </si>
  <si>
    <t>Frequency of Use and the Organization of Language</t>
  </si>
  <si>
    <t>Geopolitics : A Very Short Introduction</t>
  </si>
  <si>
    <t>Digital Experience Design : Ideas, Industries, Interaction</t>
  </si>
  <si>
    <t>Grammars in Contact : A Cross-Linguistic Typology</t>
  </si>
  <si>
    <t>How Plays Work : Reading and Performance</t>
  </si>
  <si>
    <t>Information Foraging Theory : Adaptive Interaction with Information</t>
  </si>
  <si>
    <t>Information Structure : The Syntax-Discourse Interface</t>
  </si>
  <si>
    <t>Innovation, Entrepreneurship, and Technological Change</t>
  </si>
  <si>
    <t>Innovation, Science, and Institutional Change : A Research Handbook</t>
  </si>
  <si>
    <t>Introduction to the Economics of Financial Markets</t>
  </si>
  <si>
    <t>Knowledge Creation and Management : New Challenges for Managers</t>
  </si>
  <si>
    <t>Krishna : A Sourcebook</t>
  </si>
  <si>
    <t>Language in Context : Selected Essays</t>
  </si>
  <si>
    <t>Language Networks : The New Word Grammar</t>
  </si>
  <si>
    <t>Life on Air : A History of Radio Four</t>
  </si>
  <si>
    <t>Managing the Modern Law Firm : New Challenges, New Perspectives</t>
  </si>
  <si>
    <t>Modern Organic Synthesis in the Laboratory : A Collection of Standard Experimental Procedures</t>
  </si>
  <si>
    <t>Morphosyntactic Change : Functional and Formal Perspectives</t>
  </si>
  <si>
    <t>Multicultural Odysseys : Navigating the New International Politics of Diversity</t>
  </si>
  <si>
    <t>Nature and Culture : American Landscape and Painting, 1825-1875, with a New Preface</t>
  </si>
  <si>
    <t>Nietzsche and Morality</t>
  </si>
  <si>
    <t>Open Secrets : Literature, Education, and Authority from J-J. Rousseau to J. M. Coetzee</t>
  </si>
  <si>
    <t>Organized Uncertainty : Designing a World of Risk Management</t>
  </si>
  <si>
    <t>Philosophy and Conceptual Art</t>
  </si>
  <si>
    <t>Refractions of the Third Reich in German and Austrian Fiction and Film</t>
  </si>
  <si>
    <t>Religion and Culture in Early Modern Europe, 1500-1800</t>
  </si>
  <si>
    <t>Resource-Based Theory : Creating and Sustaining Competitive Advantage</t>
  </si>
  <si>
    <t>Scale-Free Networks : Complex Webs in Nature and Technology</t>
  </si>
  <si>
    <t>Shakespeare and the Idea of the Book</t>
  </si>
  <si>
    <t>Taming Democracy : The People, the Founders, and the Troubled Ending of the American Revolution</t>
  </si>
  <si>
    <t>The Accession Story : The EU from 15 to 25 Countries</t>
  </si>
  <si>
    <t>The Development of Plato's Political Theory</t>
  </si>
  <si>
    <t>The End of Early Music : A Period Performer's History of Music for the Twenty-First Century</t>
  </si>
  <si>
    <t>The Geography of Finance : Corporate Governance in the Global Marketplace</t>
  </si>
  <si>
    <t>The Making of a Confederate : Walter Lenoir's Civil War</t>
  </si>
  <si>
    <t>Meaning of Life</t>
  </si>
  <si>
    <t>The Origins of Beowulf : From Vergil to Wiglaf</t>
  </si>
  <si>
    <t>The Origins of Meaning : Language in the Light of Evolution</t>
  </si>
  <si>
    <t>The Physiology of the Novel : Reading, Neural Science, and the Form of Victorian Fiction</t>
  </si>
  <si>
    <t>The Wealth of Wives : Women, Law, and Economy in Late Medieval London</t>
  </si>
  <si>
    <t>When Dead Tongues Speak : Teaching Beginning Greek and Latin</t>
  </si>
  <si>
    <t>When Languages Die : The Extinction of the World's Languages and the Erosion of Human Knowledge</t>
  </si>
  <si>
    <t>Why Humans Cooperate : A Cultural and Evolutionary Explanation</t>
  </si>
  <si>
    <t>Consumer Behaviour and Advertising Management</t>
  </si>
  <si>
    <t>Gendering citizenship in Western Europe : New challenges for citizenship research in a cross-national context</t>
  </si>
  <si>
    <t>Policy Press</t>
  </si>
  <si>
    <t>Children, young people and social inclusion : Participation for what?</t>
  </si>
  <si>
    <t>The National Evaluation of Sure Start : Does area-based early intervention work?</t>
  </si>
  <si>
    <t>Coming to care : The work and family lives of workers caring for vulnerable children</t>
  </si>
  <si>
    <t>Disadvantaged by where you live? : Neighbourhood governance in contemporary urban policy</t>
  </si>
  <si>
    <t>The politics of evaluation : Participation and policy implementation</t>
  </si>
  <si>
    <t>Human dignity and welfare systems</t>
  </si>
  <si>
    <t>Administering welfare reform : International transformations in welfare governance</t>
  </si>
  <si>
    <t>Children of the 21st century : From birth to nine months</t>
  </si>
  <si>
    <t>Cash and care : Policy challenges in the welfare state</t>
  </si>
  <si>
    <t>Independent futures : Creating user-led disability services in a disabling society</t>
  </si>
  <si>
    <t>East Asian welfare regimes in transition : From Confucianism to globalisation</t>
  </si>
  <si>
    <t>Exploring concepts of child well-being : Implications for children's services</t>
  </si>
  <si>
    <t>Gender and the politics of time : Feminist theory and contemporary debates</t>
  </si>
  <si>
    <t>Children these days</t>
  </si>
  <si>
    <t>Social work, politics and society : From radicalism to orthodoxy</t>
  </si>
  <si>
    <t>The activation dilemma : Reconciling the fairness and effectiveness of minimum income schemes in Europe</t>
  </si>
  <si>
    <t>Discovering child poverty : The creation of a policy agenda from 1800 to the present</t>
  </si>
  <si>
    <t>City survivors : Bringing up children in disadvantaged neighbourhoods</t>
  </si>
  <si>
    <t>Building sustainable communities : Spatial policy and labour mobility in post-war Britain</t>
  </si>
  <si>
    <t>On the margins of inclusion : Changing labour markets and social exclusion in London</t>
  </si>
  <si>
    <t>Liberty, Equality, Fraternity</t>
  </si>
  <si>
    <t>From High Art to New Art</t>
  </si>
  <si>
    <t>Vossiuspers UvA</t>
  </si>
  <si>
    <t>Portrait of the Artist as a Landscape : An Inquiry into Self-Reflexion</t>
  </si>
  <si>
    <t>In His Milieu : Essays on Netherlandish Art in Memory of John Michael Montias</t>
  </si>
  <si>
    <t>Visions of Savage Paradise : Albert Eckhout, Court Painter in Colonial Dutch Brazil</t>
  </si>
  <si>
    <t>Film Architecture and the Transnational Imagination : Set Design in 1930s European Cinema</t>
  </si>
  <si>
    <t>Film Festivals : From European Geopolitics to Global Cinephilia</t>
  </si>
  <si>
    <t>European Cinema : Face to Face with Hollywood</t>
  </si>
  <si>
    <t>Moving Forward, Looking Back : The European Avant-garde and the Invention of Film Culture, 1919-1939</t>
  </si>
  <si>
    <t>Conscience and Conscientious Objections</t>
  </si>
  <si>
    <t>Pallas Publications</t>
  </si>
  <si>
    <t>Playing the Waves : Lars von Trier´s Game Cinema</t>
  </si>
  <si>
    <t>Cinema of Attractions Reloaded</t>
  </si>
  <si>
    <t>Between Stage and Screen : Ingmar Bergman Directs</t>
  </si>
  <si>
    <t>Collective Talent : A Study of Improvisational Group Performance in Music</t>
  </si>
  <si>
    <t>Architectonic of Philosophy : Plato, Aristotle, Leibniz</t>
  </si>
  <si>
    <t>Islam and Democracy : What Is the Real Question?</t>
  </si>
  <si>
    <t>Muslim Cultural Politics : What's Islam Got to Do with It?</t>
  </si>
  <si>
    <t>How Welfare States Care : Culture, Gender and Parenting in Europe</t>
  </si>
  <si>
    <t>It's the Molecule, Stupid</t>
  </si>
  <si>
    <t>Decline of the Corporate Community : Network Dynamics of the Dutch Business Elite</t>
  </si>
  <si>
    <t>Rhythm of Strategy : A Corporate Biography of the Salim Group of Indonesia</t>
  </si>
  <si>
    <t>Papier, hier!...?</t>
  </si>
  <si>
    <t>Regulating Modern Biotechnology in a Global Risk Society : Challenges for Science, Law and Society</t>
  </si>
  <si>
    <t>Art Market and Connoisseurship : A Closer Look at Paintings by Rembrandt, Rubens and Their Contemporaries</t>
  </si>
  <si>
    <t>Policy, People, and the New Professional : De-professionalisation and Re-professionalisation in Care and Welfare</t>
  </si>
  <si>
    <t>Early Netherlandish Paintings : Rediscovery, Reception and Research</t>
  </si>
  <si>
    <t>Narratives of Place, Culture and Identity : Second-Generation Greek-Americans Return 'Home'</t>
  </si>
  <si>
    <t>Rembrandt's Reading : The Artist's Bookshelf of Ancient Poetry and History</t>
  </si>
  <si>
    <t>Music of the Twentieth Century : A Study of Its Elements and Structure</t>
  </si>
  <si>
    <t>Media Policy for the Digital Age</t>
  </si>
  <si>
    <t>Strategic Affection? : Gift Exchange in Seventeenth-Century Holland</t>
  </si>
  <si>
    <t>West in Early Cinema : After the Beginning</t>
  </si>
  <si>
    <t>Immigrant Organising Process : Turkish Organisations in Amsterdam and Berlin and Surinamese Organisations in Amsterdam, 1960-2000</t>
  </si>
  <si>
    <t>Hitchcock's Motifs</t>
  </si>
  <si>
    <t>Film Remakes as Ritual and Disguise : From Carmen to Ripley</t>
  </si>
  <si>
    <t>Deleuze's Hume : Philosophy, Culture and the Scottish Enlightenment</t>
  </si>
  <si>
    <t>A History of Scottish Philosophy</t>
  </si>
  <si>
    <t>Englishness : Twentieth-Century Popular Culture and the Forming of English Identity</t>
  </si>
  <si>
    <t>Beyond the State in Rural Uganda</t>
  </si>
  <si>
    <t>Digital Culture</t>
  </si>
  <si>
    <t>Pizza : A Global History</t>
  </si>
  <si>
    <t>Hamburger : A Global History</t>
  </si>
  <si>
    <t>Ecology and Human Well-Being</t>
  </si>
  <si>
    <t>Reading Difficulties and Dyslexia : An Interpretation for Teachers</t>
  </si>
  <si>
    <t>Audience-Citizens : The Media, Public Knowledge, and Interpretive Practice</t>
  </si>
  <si>
    <t>24 Brand Mantras : Finding a Place in the Minds and Hearts of Consumers</t>
  </si>
  <si>
    <t>SAGE India</t>
  </si>
  <si>
    <t>21st Century Journalism in India</t>
  </si>
  <si>
    <t>Effective Learning in Classrooms</t>
  </si>
  <si>
    <t>The SAGE Handbook of Dyslexia</t>
  </si>
  <si>
    <t>The Critical Practitioner in Social Work and Health Care</t>
  </si>
  <si>
    <t>Organisations and Management in Social Work</t>
  </si>
  <si>
    <t>SAGE Publications, Incorporated</t>
  </si>
  <si>
    <t>SAGE Publications Inc. (US)</t>
  </si>
  <si>
    <t>Children and Citizenship</t>
  </si>
  <si>
    <t>Modern Local Government</t>
  </si>
  <si>
    <t>Introduction to Early Childhood : A Multidisciplinary Approach</t>
  </si>
  <si>
    <t>Working with Loss, Death and Bereavement : A Guide for Social Workers</t>
  </si>
  <si>
    <t>Developing Language and Literacy with Young Children</t>
  </si>
  <si>
    <t>Taxation : An Interdisciplinary Approach to Research</t>
  </si>
  <si>
    <t>The Econometrics of Macroeconomic Modelling</t>
  </si>
  <si>
    <t>Industrial Transformation in the Developing World</t>
  </si>
  <si>
    <t>Travel Writing 1700-1830 : An Anthology</t>
  </si>
  <si>
    <t>From Resource Allocation to Strategy</t>
  </si>
  <si>
    <t>Great Minds in Management : The Process of Theory Development</t>
  </si>
  <si>
    <t>Clusters, Networks, and Innovation</t>
  </si>
  <si>
    <t>Hsieh Liang-Tso and the Analects of Confucius : Humane Learning As a Religious Quest</t>
  </si>
  <si>
    <t>Consciousness : A Very Short Introduction</t>
  </si>
  <si>
    <t>Colonial and Postcolonial Literature : Migrant Metaphors</t>
  </si>
  <si>
    <t>Grammar of Words : An Introduction to Linguistic Morphology</t>
  </si>
  <si>
    <t>A Semantic Approach to English Grammar</t>
  </si>
  <si>
    <t>Shakespeare and Marx</t>
  </si>
  <si>
    <t>Habermas : A Very Short Introduction</t>
  </si>
  <si>
    <t>Music in the Holocaust : Confronting Life in the Nazi Ghettos and Camps</t>
  </si>
  <si>
    <t>The Physical Geography of Southeast Asia</t>
  </si>
  <si>
    <t>Foucault : A Very Short Introduction</t>
  </si>
  <si>
    <t>Efficiency and Complexity in Grammars</t>
  </si>
  <si>
    <t>Buddhist Ethics : A Very Short Introduction</t>
  </si>
  <si>
    <t>The Islamic Challenge : Politics and Religion in Western Europe</t>
  </si>
  <si>
    <t>Hong Kong and the Cold War : Anglo-American Relations 1949-1957</t>
  </si>
  <si>
    <t>How to Read the Bible : History, Prophecy, Literature - Why Modern Readers Need to Know the Difference, and What It Means for Faith Today</t>
  </si>
  <si>
    <t>Nation and Novel : The English Novel from Its Origins to the Present Day</t>
  </si>
  <si>
    <t>The Welfare State in the European Union : Economic and Social Perspectives</t>
  </si>
  <si>
    <t>Tragedy : A Very Short Introduction</t>
  </si>
  <si>
    <t>Shakespeare and Women</t>
  </si>
  <si>
    <t>From World War to Cold War : Churchill, Roosevelt, and the International History of the 1940s</t>
  </si>
  <si>
    <t>Kafka : A Very Short Introduction</t>
  </si>
  <si>
    <t>Can God Be Free?</t>
  </si>
  <si>
    <t>Contemporary Art : A Very Short Introduction</t>
  </si>
  <si>
    <t>Art Incorporated : The Story of Contemporary Art</t>
  </si>
  <si>
    <t>Semantics Versus Pragmatics</t>
  </si>
  <si>
    <t>Constructions of Intersubjectivity : Discourse, Syntax, and Cognition</t>
  </si>
  <si>
    <t>Virginia Woolf (Authors in Context) : Authors in Context</t>
  </si>
  <si>
    <t>A Short History of French Literature</t>
  </si>
  <si>
    <t>Women at Work : An Economic Perspective</t>
  </si>
  <si>
    <t>Think, Play, Do : Technology, Innovation, and Organization</t>
  </si>
  <si>
    <t>Functional Features in Language and Space : Insights from Perception, Categorization, and Development</t>
  </si>
  <si>
    <t>The Practice of Value</t>
  </si>
  <si>
    <t>The Talking Ape : How Language Evolved</t>
  </si>
  <si>
    <t>Grammatical Relations</t>
  </si>
  <si>
    <t>Civil Society in British History : Ideas, Identities, Institutions</t>
  </si>
  <si>
    <t>HRM and Performance : Achieving Long Term Viability</t>
  </si>
  <si>
    <t>Duke Ellington : His Life in Jazz with 21 Activities</t>
  </si>
  <si>
    <t>Lessons of Mumbai</t>
  </si>
  <si>
    <t>After Saddam : Prewar Planning and the Occupation of Iraq</t>
  </si>
  <si>
    <t>Pain and Gain : Implementing No Child Left Behind in Three States, 2004-2006</t>
  </si>
  <si>
    <t>Moving Los Angeles : Short-Term Policy Options for Improving Transportation</t>
  </si>
  <si>
    <t>Empowering Approach to Managing Social Service Organizations</t>
  </si>
  <si>
    <t>Essential Sternberg : Essays on Intelligence, Psychology, and Education</t>
  </si>
  <si>
    <t>101 Careers in Social Work</t>
  </si>
  <si>
    <t>Handbook of Theories of Aging, Second Edition</t>
  </si>
  <si>
    <t>Aging and the Meaning of Time : A Multidisciplinary Exploration</t>
  </si>
  <si>
    <t>Adolescent Encounters with Death, Bereavement, and Coping</t>
  </si>
  <si>
    <t>Grief and Loss Across the Lifespan : A Biopsychosocial Perspective</t>
  </si>
  <si>
    <t>Professional Counselor</t>
  </si>
  <si>
    <t>Adulthood and Aging : Research on Continuities and Discontinuities</t>
  </si>
  <si>
    <t>Aging and Ethnicity : Knowledge and Services, Second Edition</t>
  </si>
  <si>
    <t>Doing Health Anthropology : Research Methods for Community Assessment and Change</t>
  </si>
  <si>
    <t>Aging and Disability : Crossing Network Lines</t>
  </si>
  <si>
    <t>Affect Imagery Consciousness : The Complete Edition: Two Volumes</t>
  </si>
  <si>
    <t>Environmental Engineering</t>
  </si>
  <si>
    <t>Automation and Networking of Libraries</t>
  </si>
  <si>
    <t>Management and Entrepreneurship</t>
  </si>
  <si>
    <t>Charter Schools in Eight States : Effects on Achievement, Attainment, Integration, and Competition</t>
  </si>
  <si>
    <t>Film Piracy, Organized Crime, and Terrorism</t>
  </si>
  <si>
    <t>Assessing the Validity of the Qualistar Early Learning Quality Rating and Improvement System as a Tool for Improving Child-Care Quality</t>
  </si>
  <si>
    <t>Saudi-Iranian Relations Since the Fall of Saddam : Rivalry, Cooperation, and Implications for U.S. Policy</t>
  </si>
  <si>
    <t>Foundation for Integrating Employee Health Activities for Active Duty Personnel in the Department of Defense</t>
  </si>
  <si>
    <t>Challenge of Domestic Intelligence in a Free Society : A Multidisciplinary Look at the Creation of a U.S. Domestic Counterterrorism Intelligence Agency</t>
  </si>
  <si>
    <t>Thin Green Line : An Assessment of DoD's Readiness and Environmental Protection Initiative to Buffer Installation Encroachment</t>
  </si>
  <si>
    <t>Explaining Reading, Second Edition : A Resource for Teaching Concepts, Skills, and Strategies</t>
  </si>
  <si>
    <t>GIS for Dummies</t>
  </si>
  <si>
    <t>Figure Drawing for Dummies</t>
  </si>
  <si>
    <t>Libraries and Information Services Towards the Attainment of the un Millennium Development Goals</t>
  </si>
  <si>
    <t>World Englishes : A Cognitive Sociolinguistic Approach</t>
  </si>
  <si>
    <t>End Times : Eschatologie in den monotheistischen Weltreligionen</t>
  </si>
  <si>
    <t>By the Same Word : Creation and Salvation in Hellenistic Judaism and Early Christianity</t>
  </si>
  <si>
    <t>... Für Unseren Betrieb Lebensnotwendig ... : Georg Von Holtzbrinck Als Verlagsunternehmer Im Dritten Reich</t>
  </si>
  <si>
    <t>Explorations of Phase Theory : Features and Arguments</t>
  </si>
  <si>
    <t>Explorations of Phase Theory : Interpretation at the Interfaces</t>
  </si>
  <si>
    <t>World Guide to Library, Archive and Information Science Education : Third new and completely revised Edition</t>
  </si>
  <si>
    <t>2 Maccabees</t>
  </si>
  <si>
    <t>The Chinese HEART in a Cognitive Perspective : Culture, Body, and Language</t>
  </si>
  <si>
    <t>Geographies of Sexualities : Theory, Practices and Politics</t>
  </si>
  <si>
    <t>The Management of a Student Research Project</t>
  </si>
  <si>
    <t>Industries and Markets in Central and Eastern Europe</t>
  </si>
  <si>
    <t>Ashgate</t>
  </si>
  <si>
    <t>Globalisation and Business Ethics</t>
  </si>
  <si>
    <t>The Ethics of Foreign Policy</t>
  </si>
  <si>
    <t>Managing Corporate Social Responsibility in Action : Talking, Doing and Measuring</t>
  </si>
  <si>
    <t>Gender and Communication at Work</t>
  </si>
  <si>
    <t>Environmental Taxation Law : Policy, Contexts and Practice</t>
  </si>
  <si>
    <t>Impact of e-Commerce on Consumers and Small Firms</t>
  </si>
  <si>
    <t>Human Resource Management in Russia</t>
  </si>
  <si>
    <t>Gender and Consumption : Domestic Cultures and the Commercialisation of Everyday Life</t>
  </si>
  <si>
    <t>Participation for Sustainability in Trade</t>
  </si>
  <si>
    <t>Airline Choices for the Future : From Alliances to Mergers</t>
  </si>
  <si>
    <t>Foreign Direct Investment and the Regional Economy</t>
  </si>
  <si>
    <t>Evaluation in Planning : Evolution and Prospects</t>
  </si>
  <si>
    <t>The Protection of Diplomatic Personnel</t>
  </si>
  <si>
    <t>The Constitutional Corporation : Rethinking Corporate Governance</t>
  </si>
  <si>
    <t>Security Manual</t>
  </si>
  <si>
    <t>Law, Culture and Society : Legal Ideas in the Mirror of Social Theory</t>
  </si>
  <si>
    <t>The Changing Law of the Employment Relationship : Comparative Analyses in the European Context</t>
  </si>
  <si>
    <t>Alan Bush : A Source Book</t>
  </si>
  <si>
    <t>Mentoring in Education : An International Perspective</t>
  </si>
  <si>
    <t>Best Practice in Corporate Governance : Building Reputation and Sustainable Success</t>
  </si>
  <si>
    <t>Changing Working Life and the Appeal of the Extreme Right : A Variety of Approaches</t>
  </si>
  <si>
    <t>Social Work, Critical Reflection and the Learning Organization</t>
  </si>
  <si>
    <t>Visualizing Research : A Guide to the Research Process in Art and Design</t>
  </si>
  <si>
    <t>The G8 System and the G20 : Evolution, Role and Documentation</t>
  </si>
  <si>
    <t>A Foucauldian Approach to International Law : Descriptive Thoughts for Normative Issues</t>
  </si>
  <si>
    <t>Achieving Sustainable Mobility : Everyday and Leisure-time Travel in the EU</t>
  </si>
  <si>
    <t>Performance and Popular Music : History, Place and Time</t>
  </si>
  <si>
    <t>Project Management</t>
  </si>
  <si>
    <t>Gower</t>
  </si>
  <si>
    <t>Walt Disney and the Quest for Community</t>
  </si>
  <si>
    <t>Minority Rights Protection in International Law : The Roma of Europe</t>
  </si>
  <si>
    <t>Growth Management in the US : Between Theory and Practice</t>
  </si>
  <si>
    <t>Legal Symbolism : On Law, Time and European Identity</t>
  </si>
  <si>
    <t>Change Management in Information Services</t>
  </si>
  <si>
    <t>Marketing and Multicultural Diversity</t>
  </si>
  <si>
    <t>Law's Practical Wisdom : The Theory and Practice of Law Making in New Governance Structures in the European Union</t>
  </si>
  <si>
    <t>Regulating the Night : Race, Culture and Exclusion in the Making of the Night-time Economy</t>
  </si>
  <si>
    <t>The Employment Contract and the Changed World of Work</t>
  </si>
  <si>
    <t>The Cooperative Movement : Globalization from Below</t>
  </si>
  <si>
    <t>Diversity Management and Discrimination : Immigrants and Ethnic Minorities in the EU</t>
  </si>
  <si>
    <t>Designing Sustainable Cities in the Developing World</t>
  </si>
  <si>
    <t>Strategic Environmental Assessment and Land Use Planning : An International Evaluation</t>
  </si>
  <si>
    <t>Environment and Trade : A Guide to WTO Jurisprudence</t>
  </si>
  <si>
    <t>The Plain Language Guide to the World Summit on Sustainable Development : A Plain Language Version of the Johannesburg Plan of Implementation</t>
  </si>
  <si>
    <t>Applied Photovoltaics</t>
  </si>
  <si>
    <t>Energy from the Desert : Feasibility of Very Large Scale Power Generation (VLS-PV) Systems</t>
  </si>
  <si>
    <t>Governing Sustainable Cities</t>
  </si>
  <si>
    <t>Trust in Cooperative Risk Management : Uncertainty and Scepticism in the Public Mind</t>
  </si>
  <si>
    <t>Voluntary Carbon Markets : An International Business Guide to What They Are and How They Work</t>
  </si>
  <si>
    <t>Managing Protected Areas : A Global Guide</t>
  </si>
  <si>
    <t>The Forest Landscape Restoration Handbook</t>
  </si>
  <si>
    <t>Evolution and Innovation in Wildlife Conservation : Parks and Game Ranches to Transfrontier Conservation Areas</t>
  </si>
  <si>
    <t>Planning and Installing Bioenergy Systems : A Guide for Installers, Architects and Engineers</t>
  </si>
  <si>
    <t>Natural Ventilation in the Urban Environment : Assessment and Design</t>
  </si>
  <si>
    <t>Scaling Urban Environmental Challenges : From Local to Global and Back</t>
  </si>
  <si>
    <t>Nanotechnology : Risk, Ethics and Law</t>
  </si>
  <si>
    <t>Sustainable Solar Housing : Volume 2 - Exemplary Buildings and Technologies</t>
  </si>
  <si>
    <t>Sustainable Solar Housing : Volume 1 - Strategies and Solutions</t>
  </si>
  <si>
    <t>Building Ventilation : The State of the Art</t>
  </si>
  <si>
    <t>Democratizing Technology : Risk, Responsibility and the Regulation of Chemicals</t>
  </si>
  <si>
    <t>Emotionally Durable Design : "Objects, Experiences and Empathy"</t>
  </si>
  <si>
    <t>The Principles of Sustainability</t>
  </si>
  <si>
    <t>Rationality and the Environment : Decision-Making in Environmental Politics and Assessment</t>
  </si>
  <si>
    <t>Handbook of Environmental Protection and Enforcement : Principles and Practice</t>
  </si>
  <si>
    <t>The Gene Revolution : GM Crops and Unequal Development</t>
  </si>
  <si>
    <t>A Handbook on Low-Energy Buildings and District-Energy Systems : Fundamentals, Techniques and Examples</t>
  </si>
  <si>
    <t>Corporate Truth : The Limits to Transparency</t>
  </si>
  <si>
    <t>Corporate Social Responsibility and International Development : Is Business the Solution?</t>
  </si>
  <si>
    <t>Environmental Policy in the EU : Actors, Institutions and Processes; 2nd Edition</t>
  </si>
  <si>
    <t>Switching to Renewable Power : A Framework for the 21st Century</t>
  </si>
  <si>
    <t>Biodiversity and the Law : Intellectual Property, Biotechnology and Traditional Knowledge</t>
  </si>
  <si>
    <t>Governing Technology for Sustainability</t>
  </si>
  <si>
    <t>The Earth Only Endures : On Reconnecting with Nature and Our Place in It</t>
  </si>
  <si>
    <t>Mountain Area Research and Management : Integrated Approaches</t>
  </si>
  <si>
    <t>Environmental Design of Urban Buildings : An Integrated Approach</t>
  </si>
  <si>
    <t>Advances in Building Energy Research : Volume 1</t>
  </si>
  <si>
    <t>Advances in Building Energy Research : Volume 3</t>
  </si>
  <si>
    <t>Energy Autonomy : The Economic, Social and Technological Case for Renewable Energy</t>
  </si>
  <si>
    <t>Convivial Urban Spaces : Creating Effective Public Places</t>
  </si>
  <si>
    <t>Managing Water Resources : Methods and Tools for a Systems Approach</t>
  </si>
  <si>
    <t>Responsible Tourism : Critical Issues for Conservation and Development</t>
  </si>
  <si>
    <t>Sustainable by Design : Explorations in Theory and Practice</t>
  </si>
  <si>
    <t>The Civil Corporation</t>
  </si>
  <si>
    <t>Globalization and Organization : World Society and Organizational Change</t>
  </si>
  <si>
    <t>The Battle of Tomochic : Memoirs of a Second Lieutenant</t>
  </si>
  <si>
    <t>Complementation : A Cross-Linguistic Typology</t>
  </si>
  <si>
    <t>What Is a Nation? : Europe 1789-1914</t>
  </si>
  <si>
    <t>Morality and Cultural Differences</t>
  </si>
  <si>
    <t>Existentialism : A Very Short Introduction</t>
  </si>
  <si>
    <t>How to Write</t>
  </si>
  <si>
    <t>Polis : An Introduction to the Ancient Greek City-State</t>
  </si>
  <si>
    <t>Bending the Rules : The Flexibility of Absolutes in Modern Life</t>
  </si>
  <si>
    <t>Ancient Literary Criticism</t>
  </si>
  <si>
    <t>Vaughan Williams on Music</t>
  </si>
  <si>
    <t>Oxford History of English</t>
  </si>
  <si>
    <t>Comic Business : Theatricality, Dramatic Technique, and Performance Contexts of Aristophanic Comedy</t>
  </si>
  <si>
    <t>The Periodic Table : Its Story and Its Significance</t>
  </si>
  <si>
    <t>Christianity and Liberal Society</t>
  </si>
  <si>
    <t>Strange Case of Dr Jekyll and Mr Hyde and Other Tales</t>
  </si>
  <si>
    <t>Philosophy of Law : A Very Short Introduction</t>
  </si>
  <si>
    <t>Oxford University Press, UK</t>
  </si>
  <si>
    <t>Agency and the Semantic Web</t>
  </si>
  <si>
    <t>Discovering New Business Opportunities</t>
  </si>
  <si>
    <t>The Microstructure of Foreign Exchange Markets</t>
  </si>
  <si>
    <t>Genomes and What to Make of Them</t>
  </si>
  <si>
    <t>The Chicago Guide to Your Career in Science : A Toolkit for Students and Postdocs</t>
  </si>
  <si>
    <t>Health at Older Ages : The Causes and Consequences of Declining Disability Among the Elderly</t>
  </si>
  <si>
    <t>George Inness and the Science of Landscape</t>
  </si>
  <si>
    <t>Collections of Nothing</t>
  </si>
  <si>
    <t>Children's Literature : A Reader's History, from Aesop to Harry Potter</t>
  </si>
  <si>
    <t>Buddhism and Science : A Guide for the Perplexed</t>
  </si>
  <si>
    <t>Saying Something : Jazz Improvisation and Interaction</t>
  </si>
  <si>
    <t>Chasing Science at Sea : Racing Hurricanes, Stalking Sharks, and Living Undersea with Ocean Experts</t>
  </si>
  <si>
    <t>Believe Not Every Spirit : Possession, Mysticism, &amp; Discernment in Early Modern Catholicism</t>
  </si>
  <si>
    <t>Memory's Library : Medieval Books in Early Modern England</t>
  </si>
  <si>
    <t>Aesthetics of Renewal : Martin Buber's Early Representation of Hasidism as Kulturkritik</t>
  </si>
  <si>
    <t>Contemporary Chinese America : Immigration, Ethnicity, and Community Transformation</t>
  </si>
  <si>
    <t>Effective Business Writing</t>
  </si>
  <si>
    <t>Experiential Marketing : A Practical Guide to Interactive Brand Experiences</t>
  </si>
  <si>
    <t>Urban Design</t>
  </si>
  <si>
    <t>Feminist Art and the Maternal</t>
  </si>
  <si>
    <t>Art and the End of Apartheid</t>
  </si>
  <si>
    <t>Evaluating Impact : Evaluation and Continual Improvement for Performance Improvement Practitioners</t>
  </si>
  <si>
    <t>Performance by Design : The Systematic Selection, Design, and Development of Performance Technologies That Produce Useful Results</t>
  </si>
  <si>
    <t>Training Trilogy : Conducting Needs Assessments, Designing Programs, Training Skills</t>
  </si>
  <si>
    <t>Promoting Emotional and Social Development in Schools : A Practical Guide</t>
  </si>
  <si>
    <t>Management and Leadership Development</t>
  </si>
  <si>
    <t>Assessment of Learning</t>
  </si>
  <si>
    <t>101 Ways to Sell More of Anything to Anyone : Sales Tips for Individuals, Business Owners and Sales Professionals</t>
  </si>
  <si>
    <t>Brain Metastasis : A Multidisciplinary Approach</t>
  </si>
  <si>
    <t>Demos Medical</t>
  </si>
  <si>
    <t>Enterprise Support Systems : An International Perspective</t>
  </si>
  <si>
    <t>Managing Indian Banks : The Challenges Ahead</t>
  </si>
  <si>
    <t>E-Finance : Log in to the Future!</t>
  </si>
  <si>
    <t>American Culture in the 1920s</t>
  </si>
  <si>
    <t>American Culture in the 1970s</t>
  </si>
  <si>
    <t>Eighteenth-Century British Literature and Postcolonial Studies</t>
  </si>
  <si>
    <t>In Memory of Jacques Derrida</t>
  </si>
  <si>
    <t>Chinese Martial Arts Cinema : The Wuxia Tradition</t>
  </si>
  <si>
    <t>Cool Gent : The Nine Lives of Radio Legend Herb Kent</t>
  </si>
  <si>
    <t>Earthquakes, Volcanoes, and Tsunamis : Projects and Principles for Beginning Geologists</t>
  </si>
  <si>
    <t>USB Complete : The Developer's Guide</t>
  </si>
  <si>
    <t>Excel Gurus Gone Wild : Do the IMPOSSIBLE with Microsoft Excel</t>
  </si>
  <si>
    <t>Holy Macro! Books</t>
  </si>
  <si>
    <t>You Are the Blessings : Meditations and Reflections on Life, God and Us</t>
  </si>
  <si>
    <t>Mandeville Press</t>
  </si>
  <si>
    <t>The Lennon Prophecy : A New Examination of the Death Clues of the Beatles</t>
  </si>
  <si>
    <t>New Chapter Press</t>
  </si>
  <si>
    <t>Collage Lost and Found : Creating Unique Projects With Vintage Ephemera</t>
  </si>
  <si>
    <t>North Light Books</t>
  </si>
  <si>
    <t>Dreamscapes : Creating Magical Angel, Faery &amp; Mermaid Worlds In Watercolor</t>
  </si>
  <si>
    <t>IMPACT Books</t>
  </si>
  <si>
    <t>Building Furniture for Country Living</t>
  </si>
  <si>
    <t>Popular Woodworking Books</t>
  </si>
  <si>
    <t>Administrative Assistant's and Secretary's Handbook</t>
  </si>
  <si>
    <t>Chaotics : The Business of Managing and Marketing in the Age of Turbulence</t>
  </si>
  <si>
    <t>Digital Engagement : Internet Marketing That Captures Customers and Builds Intense Brand Loyalty</t>
  </si>
  <si>
    <t>Communications Skills for Project Managers</t>
  </si>
  <si>
    <t>101 Tough Conversations to Have with Employees : A Manager's Guide to Addressing Performance, Conduct, and Discipline Challenges</t>
  </si>
  <si>
    <t>e-Policy Handbook : Rules and Best Practices to Safely Manage Your Company's E-Mail, Blogs, Social Networking, and Other Electronic Communication Tools</t>
  </si>
  <si>
    <t>Strategic Customer Service : Managing the Customer Experience to Increase Positive Word of Mouth, Build Loyalty, and Maximize Profits</t>
  </si>
  <si>
    <t>e-Learning 2.0 : Proven Practices and Emerging Technologies to Achieve Real Results</t>
  </si>
  <si>
    <t>Young Guns : The Fearless Entrepreneur's Guide to Chasing Your Dreams and Breaking Out on Your Own</t>
  </si>
  <si>
    <t>World Famous : How to Give Your Business a Kick-Ass Brand Identity</t>
  </si>
  <si>
    <t>Amacom</t>
  </si>
  <si>
    <t>AMACOM Books</t>
  </si>
  <si>
    <t>Children and Childhood in American Religions</t>
  </si>
  <si>
    <t>Pleasures and Perils : Girls' Sexuality in a Caribbean Consumer Culture</t>
  </si>
  <si>
    <t>Cosmopolitan Publics : Anglophone Print Culture in Semi-Colonial Shanghai</t>
  </si>
  <si>
    <t>Afghanistan : The Mirage of Peace (Updated Edition)</t>
  </si>
  <si>
    <t>East Asian Sexualities : Modernity, Gender and New Sexual Cultures</t>
  </si>
  <si>
    <t>Reference Guide to Christian Missionary Societies in China: from the Sixteenth to the Twentieth Century</t>
  </si>
  <si>
    <t>Organization Theory</t>
  </si>
  <si>
    <t>Learning to Read in a New Language : Making Sense of Words and Worlds</t>
  </si>
  <si>
    <t>Tourism and Hospitality Marketing : A Global Perspective</t>
  </si>
  <si>
    <t>Marketing Research : A Practical Approach</t>
  </si>
  <si>
    <t>A Sociology of Health</t>
  </si>
  <si>
    <t>Introducing Cultural Studies : Learning through Practice</t>
  </si>
  <si>
    <t>Modelpsychologie</t>
  </si>
  <si>
    <t>Studying Islam in the Soviet Union</t>
  </si>
  <si>
    <t>Functional Performance in Older Adults</t>
  </si>
  <si>
    <t>50 Activities for Developing Counseling Skills</t>
  </si>
  <si>
    <t>Guaranteeing Performance Improvement</t>
  </si>
  <si>
    <t>Good Practice in Safeguarding Children : Working Effectively in Child Protection</t>
  </si>
  <si>
    <t>Art Therapy Exercises : Inspirational and Practical Ideas to Stimulate the Imagination</t>
  </si>
  <si>
    <t>Analysing Teaching-Learning Interactions in Higher Education : Accounting for Structure and Agency</t>
  </si>
  <si>
    <t>English and American Studies in German 2007 : A Supplement to Anglia. Summaries of Theses and Monographs Jahrgang 2007</t>
  </si>
  <si>
    <t>Walter de Gruyter, Inc.</t>
  </si>
  <si>
    <t>English and American Studies in German 2006</t>
  </si>
  <si>
    <t>Living Longer : Ageing, Development and Social Protection</t>
  </si>
  <si>
    <t>Language Contact and Bilingualism</t>
  </si>
  <si>
    <t>Fassbinder's Germany : History, Identity, Subject</t>
  </si>
  <si>
    <t>Acting Emotions</t>
  </si>
  <si>
    <t>Audiovisions : Cinema and Television as Entr'actes in History</t>
  </si>
  <si>
    <t>Considering Transcendence : Elements of a Philosophical Theology</t>
  </si>
  <si>
    <t>Textbook of Computer based Numerical and Statistical Techniques</t>
  </si>
  <si>
    <t>Basic Environmental Engineering</t>
  </si>
  <si>
    <t>OECD Economic Surveys New Zealand 2009 : New Zealand 2009</t>
  </si>
  <si>
    <t>The Works : Poems Selected from Five Decades</t>
  </si>
  <si>
    <t>University of Alabama Press</t>
  </si>
  <si>
    <t>Architectural Body</t>
  </si>
  <si>
    <t>Elements of German : Phonology and Morphology</t>
  </si>
  <si>
    <t>Catawba Indian Pottery : The Survival of a Folk Tradition</t>
  </si>
  <si>
    <t>American Drama in the Age of Film</t>
  </si>
  <si>
    <t>Grass Roots Leaders : The BrainSmart Revolution in Business</t>
  </si>
  <si>
    <t>Financing Development : The G8 and UN Contribution</t>
  </si>
  <si>
    <t>The Relationship-Driven Supply Chain : Creating a Culture of Collaboration throughout the Chain</t>
  </si>
  <si>
    <t>Genre and Women's Life Writing in Early Modern England</t>
  </si>
  <si>
    <t>Geography and Genealogy : Locating Personal Pasts</t>
  </si>
  <si>
    <t>Services and Economic Development in the Asia-Pacific</t>
  </si>
  <si>
    <t>A Sociology of Spirituality</t>
  </si>
  <si>
    <t>Higher Education and Civic Engagement: International Perspectives</t>
  </si>
  <si>
    <t>Private Rented Housing Market : Regulation or Deregulation?</t>
  </si>
  <si>
    <t>Risks, Identities and the Everyday</t>
  </si>
  <si>
    <t>(En)Gendering the War on Terror : War Stories and Camouflaged Politics</t>
  </si>
  <si>
    <t>Fraud and Corruption : Prevention and Detection</t>
  </si>
  <si>
    <t>Realism and Religion : Philosophical and Theological Perspectives</t>
  </si>
  <si>
    <t>The Revival of Private Enterprise in China</t>
  </si>
  <si>
    <t>The City and the Senses : Urban Culture Since 1500</t>
  </si>
  <si>
    <t>Multinationals on Trial : Foreign Investment Matters</t>
  </si>
  <si>
    <t>Brand Risk : Adding Risk Literacy to Brand Management</t>
  </si>
  <si>
    <t>Global Perspectives on E-Commerce Taxation Law</t>
  </si>
  <si>
    <t>A Darwinian Worldview : Sociobiology, Environmental Ethics and the Work of Edward O. Wilson</t>
  </si>
  <si>
    <t>Global Project Management : Communication, Collaboration and Management Across Borders</t>
  </si>
  <si>
    <t>Airline Network Development in Europe and its Implications for Airport Planning</t>
  </si>
  <si>
    <t>Kant on God : Exploring the Notion of the Divine in the Critical Philosophy</t>
  </si>
  <si>
    <t>Popular Music and the State in the UK : Culture, Trade or Industry?</t>
  </si>
  <si>
    <t>From Primitive to Indigenous : The Academic Study of Indigenous Religions</t>
  </si>
  <si>
    <t>How to Get Research Published in Journals</t>
  </si>
  <si>
    <t>Sociologists in a Global Age : Biographical Perspectives</t>
  </si>
  <si>
    <t>Revitalising Communities in a Globalising World</t>
  </si>
  <si>
    <t>Defending Royal Supremacy and Discerning God's Will in Tudor England</t>
  </si>
  <si>
    <t>Adaptations of Calvinism in Reformation Europe : Essays in Honour of Brian G. Armstrong</t>
  </si>
  <si>
    <t>Communicating Strategy</t>
  </si>
  <si>
    <t>Liberalism, Communitarianism and Education : Reclaiming Liberal Education</t>
  </si>
  <si>
    <t>Aristotle, Emotions, and Education</t>
  </si>
  <si>
    <t>From Wives to Widows in Early Modern Paris : Gender, Economy, and Law</t>
  </si>
  <si>
    <t>Tennyson and Victorian Periodicals : Commodities in Context</t>
  </si>
  <si>
    <t>Environmental Protection of International Watercourses under International Law</t>
  </si>
  <si>
    <t>Airline Finance</t>
  </si>
  <si>
    <t>Redeeming Beauty : Soundings in Sacral Aesthetics</t>
  </si>
  <si>
    <t>Balancing Reasonable Justice : John Rawls and Crucial Steps Beyond</t>
  </si>
  <si>
    <t>Prisoners of Want : The Experience and Protest of the Unemployed in France, 1921-45</t>
  </si>
  <si>
    <t>Age Discrimination in Employment</t>
  </si>
  <si>
    <t>How Britain Got the Blues: the Transmission and Reception of American Blues Style in the United Kingdom</t>
  </si>
  <si>
    <t>The CEO: Chief Engagement Officer</t>
  </si>
  <si>
    <t>Film and Television Distribution and the Internet : A Legal Guide for the Media Industry</t>
  </si>
  <si>
    <t>Jurisdiction of Medical Law</t>
  </si>
  <si>
    <t>Modernity, Religion, and the War on Terror</t>
  </si>
  <si>
    <t>Warrior, Courtier, Singer : Giulio Cesare Brancaccio and the Performance of Identity in the Late Renaissance</t>
  </si>
  <si>
    <t>Anger and Conflict Management : Leader's Guide</t>
  </si>
  <si>
    <t>Personhood Press</t>
  </si>
  <si>
    <t>Anger and Conflict Management : Personal Handbook</t>
  </si>
  <si>
    <t>Ask Yourself Questions and Change Your Life : Stop Wishing Your Life Were Different and Make it Happen</t>
  </si>
  <si>
    <t>The Awakened Leader : One Simple Leadership Style That Works Every Time, Everywhere</t>
  </si>
  <si>
    <t>Medea</t>
  </si>
  <si>
    <t>Short Course in International Business Plans : Charting a Strategy for Success in Global Commerce</t>
  </si>
  <si>
    <t>World Trade Press</t>
  </si>
  <si>
    <t>to Z World Food &amp; Recipes : 175 Countries - Appetizers, Soups, Salads, Main Dishes, Side Dishes, Desserts, Beverages and Holiday Favorites</t>
  </si>
  <si>
    <t>to Z World Lifecycles : 175 Countries - Birth, Childhood, Coming of Age, Dating and Courtship, Marriage, Family and Parenting, Work Life, Old Age and Death</t>
  </si>
  <si>
    <t>A to Z World Sports : 175 Countries - Individual Sports Participation, Private Sports Clubs, School Sports, Professional Sports, Major Spectator Sporting Events</t>
  </si>
  <si>
    <t>to Z World Superstitions &amp; Folklore : 175 Countries - Spirit Worship, Curses, Mystical Characters, Folk Tales, Burial and the Dead, Animals, Food, Marriage, Good Luck, and More</t>
  </si>
  <si>
    <t>Short Course in International Contracts : Drafting the International Sales Contract</t>
  </si>
  <si>
    <t>Short Course in International Intellectual Property Rights : Protecting Your Brands, Marks, Copyrights, Patents, Designs and Related Rights Worldwide</t>
  </si>
  <si>
    <t>Fuzzy Logic and Neural Networks : Basic Concepts &amp; Application</t>
  </si>
  <si>
    <t>Business Communication</t>
  </si>
  <si>
    <t>Financial Management</t>
  </si>
  <si>
    <t>Preventing Child Maltreatment : Community Approaches</t>
  </si>
  <si>
    <t>Reading More, Reading Better : Reading More, Reading Better</t>
  </si>
  <si>
    <t>Emergent Literacy and Language Development : Promoting Learning in Early Childhood</t>
  </si>
  <si>
    <t>Beyond Decoding : The Behavioral and Biological Foundations of Reading Comprehension</t>
  </si>
  <si>
    <t>Real Cost of Prisons Comix</t>
  </si>
  <si>
    <t>PM Press</t>
  </si>
  <si>
    <t>Arena One : On Anarchist Cinema</t>
  </si>
  <si>
    <t>Christie Books</t>
  </si>
  <si>
    <t>When the Soul Awakens : The Path to Spiritual Evolution and a New World Era</t>
  </si>
  <si>
    <t>Gathering Wave Press</t>
  </si>
  <si>
    <t>The Lost Supreme : The Life of Dreamgirl Florence Ballard</t>
  </si>
  <si>
    <t>Lawrence Hill Books</t>
  </si>
  <si>
    <t>One God One Message : Discover the Mystery, Take the Journey</t>
  </si>
  <si>
    <t>Rock International</t>
  </si>
  <si>
    <t>Absinthe &amp; Flamethrowers : Projects and Ruminations on the Art of Living Dangerously</t>
  </si>
  <si>
    <t>Isaac Newton and Physics for Kids : His Life and Ideas with 21 Activities</t>
  </si>
  <si>
    <t>Cook Food : A Manualfesto for Easy, Healthy, Local Eating</t>
  </si>
  <si>
    <t>London's Burning : True Adventures on the Front Lines of Punk, 19761977</t>
  </si>
  <si>
    <t>Demons, Dreamers, and Madmen : The Defense of Reason in Descartes's Meditations</t>
  </si>
  <si>
    <t>Princeton University Press</t>
  </si>
  <si>
    <t>Culture 1922 : The Emergence of a Concept</t>
  </si>
  <si>
    <t>Innovation and Inequality : How Does Technical Progress Affect Workers?</t>
  </si>
  <si>
    <t>Reasons Without Rationalism</t>
  </si>
  <si>
    <t>Social Insurance and Social Justice : Social Security, Medicare and the Campaign Against Entitlements</t>
  </si>
  <si>
    <t>Forensic Social Work : Psychosocial and Legal Issues in Diverse Practice Settings</t>
  </si>
  <si>
    <t>Essentials of Personality Disorders</t>
  </si>
  <si>
    <t>American Psychiatric Publishing</t>
  </si>
  <si>
    <t>The American Psychiatric Publishing Textbook of Alzheimer Disease and Other Dementias</t>
  </si>
  <si>
    <t>Colloquial Turkish : The Complete Course for Beginners</t>
  </si>
  <si>
    <t>Colloquial Urdu : The Complete Course for Beginners</t>
  </si>
  <si>
    <t>An Introduction to Game Studies</t>
  </si>
  <si>
    <t>The Body and Society : Explorations in Social Theory</t>
  </si>
  <si>
    <t>Petrarch : A Critical Guide to the Complete Works</t>
  </si>
  <si>
    <t>Wild Justice : The Moral Lives of Animals</t>
  </si>
  <si>
    <t>International Trade in Services and Intangibles in the Era of Globalization</t>
  </si>
  <si>
    <t>African American Urban History since World War II</t>
  </si>
  <si>
    <t>Arrernte Present, Arrernte Past : Invasion, Violence, and Imagination in Indigenous Central Australia</t>
  </si>
  <si>
    <t>The Empire of Civilization : The Evolution of an Imperial Idea</t>
  </si>
  <si>
    <t>Magic Flutes and Enchanted Forests : The Supernatural in Eighteenth-Century Musical Theater</t>
  </si>
  <si>
    <t>The Gargoyles of Notre-Dame : Medievalism and the Monsters of Modernity</t>
  </si>
  <si>
    <t>The Commerce of War : Exchange and Social Order in Latin Epic</t>
  </si>
  <si>
    <t>Contemporary Athletics and Ancient Greek Ideals</t>
  </si>
  <si>
    <t>SpecLab : Digital Aesthetics and Projects in Speculative Computing</t>
  </si>
  <si>
    <t>Buying Power : A History of Consumer Activism in America</t>
  </si>
  <si>
    <t>True-Love : Essays on Poetry and Valuing</t>
  </si>
  <si>
    <t>Political Spiritualities : The Pentecostal Revolution in Nigeria</t>
  </si>
  <si>
    <t>Apocryphal Lorca : Translation, Parody, Kitsch</t>
  </si>
  <si>
    <t>The Philosophy of Improvisation</t>
  </si>
  <si>
    <t>Framing Finance : The Boundaries of Markets and Modern Capitalism</t>
  </si>
  <si>
    <t>The Complete Danteworlds : A Reader's Guide to the Divine Comedy</t>
  </si>
  <si>
    <t>A Transnational Poetics</t>
  </si>
  <si>
    <t>The Rape of Mesopotamia : Behind the Looting of the Iraq Museum</t>
  </si>
  <si>
    <t>In Excess : Sergei Eisenstein's Mexico</t>
  </si>
  <si>
    <t>Art Without Borders : A Philosophical Exploration of Art and Humanity</t>
  </si>
  <si>
    <t>The Plan of Chicago : Daniel Burnham and the Remaking of the American City</t>
  </si>
  <si>
    <t>Developments in the Economics of Aging</t>
  </si>
  <si>
    <t>Deleuze and Performance</t>
  </si>
  <si>
    <t>A Glossary of Cognitive Linguistics</t>
  </si>
  <si>
    <t>Phenomenology or Deconstruction? : The Question of Ontology in Maurice Merleau-Ponty, Paul Ricoeur and Jean-Luc Nancy</t>
  </si>
  <si>
    <t>Amyotrophic Lateral Sclerosis : A Guide for Patients and Families</t>
  </si>
  <si>
    <t>Demos Medical Publishing</t>
  </si>
  <si>
    <t>Demos Health</t>
  </si>
  <si>
    <t>Arthritis : 300 Tips for Making Life Easier</t>
  </si>
  <si>
    <t>Brain Injury Survival Kit : 365 Tips, Tools &amp; Tricks to Deal with Cognitive Function Loss</t>
  </si>
  <si>
    <t>Little Words : Their History, Phonology, Syntax, Semantics, Pragmatics, and Acquisition</t>
  </si>
  <si>
    <t>Georgetown University Press</t>
  </si>
  <si>
    <t>Fashion : A Philosophy</t>
  </si>
  <si>
    <t>A Philosophy of Boredom</t>
  </si>
  <si>
    <t>Animals in Film</t>
  </si>
  <si>
    <t>Modern Japanese Cuisine : Food, Power and National Identity</t>
  </si>
  <si>
    <t>Childhood and Cinema</t>
  </si>
  <si>
    <t>London : After a Fashion</t>
  </si>
  <si>
    <t>EC Competition Law and Policy</t>
  </si>
  <si>
    <t>Willan Publishing</t>
  </si>
  <si>
    <t>Investing in Children : Policy, Law and Practice in Practice</t>
  </si>
  <si>
    <t>The Unheard Voices : Community Organizations and Service Learning</t>
  </si>
  <si>
    <t>Once the American Dream : Inner-Ring Suburbs of the Metropolitan United States</t>
  </si>
  <si>
    <t>Objectifying Measures : The Dominance of High-Stakes Testing and the Politics of Schooling</t>
  </si>
  <si>
    <t>Mobilizing Science : Movements, Participation, and the Remaking of Knowledge</t>
  </si>
  <si>
    <t>Nature in Common? : Environmental Ethics and the Contested Foundations of Environmental Policy</t>
  </si>
  <si>
    <t>Implicit and Explicit Knowledge in Second Language Learning, Testing and Teaching</t>
  </si>
  <si>
    <t>Collaborative Research in Multilingual Classrooms</t>
  </si>
  <si>
    <t>Sustainable Tourism in Southern Africa : Local Communities and Natural Resources in Transition</t>
  </si>
  <si>
    <t>Becoming Interculturally Competent through Education and Training</t>
  </si>
  <si>
    <t>The Acquisition of Sociolinguistic Competence in a Study Abroad Context</t>
  </si>
  <si>
    <t>Rural Tourism Development : Localism and Cultural Change</t>
  </si>
  <si>
    <t>Lexical Processing in Second Language Learners : Papers and Perspectives in Honour of Paul Meara</t>
  </si>
  <si>
    <t>Health and Wellness Tourism : Spas and Hot Springs</t>
  </si>
  <si>
    <t>First Language Use in Second and Foreign Language Learning</t>
  </si>
  <si>
    <t>Content and Language Integrated Learning : Evidence from Research in Europe</t>
  </si>
  <si>
    <t>The Darker Side of Travel : The Theory and Practice of Dark Tourism</t>
  </si>
  <si>
    <t>The Politics of Language Education : Individuals and Institutions</t>
  </si>
  <si>
    <t>New Trends in Audiovisual Translation</t>
  </si>
  <si>
    <t>Early Learning of Modern Foreign Languages : Processes and Outcomes</t>
  </si>
  <si>
    <t>Crisis and Disaster Management for Tourism</t>
  </si>
  <si>
    <t>Philosophical Issues in Tourism</t>
  </si>
  <si>
    <t>Rainy River Lives : Stories Told by Maggie Wilson</t>
  </si>
  <si>
    <t>Under the Big Sky : A Biography of A. B. Guthrie Jr.</t>
  </si>
  <si>
    <t>One Hundred Summers : A Kiowa Calendar Record</t>
  </si>
  <si>
    <t>Narrative Beginnings : Theories and Practices</t>
  </si>
  <si>
    <t>Pioneer Cemeteries : Sculpture Gardens of the Old West</t>
  </si>
  <si>
    <t>Native Storiers : Five Selections</t>
  </si>
  <si>
    <t>Yellowstone Autumn : A Season of Discovery in a Wondrous Land</t>
  </si>
  <si>
    <t>City Crime Rankings 2008 : Crime in Metropolitan America</t>
  </si>
  <si>
    <t>CQ Press, a Division of SAGE</t>
  </si>
  <si>
    <t>CQ Press</t>
  </si>
  <si>
    <t>Sport, Revolution and the Beijing Olympics</t>
  </si>
  <si>
    <t>Berg Publishers</t>
  </si>
  <si>
    <t>Anthropology and the New Cosmopolitanism : Rooted, Feminist and Vernacular Perspectives</t>
  </si>
  <si>
    <t>101 Activities for Delivering Knock Your Socks Off Service</t>
  </si>
  <si>
    <t>Coaching Connection : A Manager's Guide to Developing Individual Potential in the Context of the Organization</t>
  </si>
  <si>
    <t>Preparing for Leadership : What It Takes to Take the Lead</t>
  </si>
  <si>
    <t>eBay Marketing Bible : Everything You Need to Know to Reach More Customers and Maximize Your Profits</t>
  </si>
  <si>
    <t>Internet Riches : The Simple Money-Making Secrets of Online Millionaires</t>
  </si>
  <si>
    <t>Fundamentals of Enterprise Risk Management : How Top Companies Assess Risk, Manage Exposures, and Seize Opportunities</t>
  </si>
  <si>
    <t>ProActive Sales Management : How to Lead, Motivate, and Stay Ahead of the Game</t>
  </si>
  <si>
    <t>Advances in Global Leadership</t>
  </si>
  <si>
    <t>A Research Annual : A Research Annual</t>
  </si>
  <si>
    <t>Advances in Library Administration and Organization : Advances in Library Administration and Organization</t>
  </si>
  <si>
    <t>Business-To-Business Brand Management : Theory, Research and Executive Case Study Exercises</t>
  </si>
  <si>
    <t>Advances in Accounting Behavioral Research</t>
  </si>
  <si>
    <t>Advances in Library Administration and Organization</t>
  </si>
  <si>
    <t>Critical Care Notes Clinical Pocket Guide</t>
  </si>
  <si>
    <t>Statistical Methods for Practice and Research : A Guide to Data Analysis Using SPSS</t>
  </si>
  <si>
    <t>Politics of Globalization</t>
  </si>
  <si>
    <t>Value Engineering Mastermind : From Concept to Value Engineering Certification</t>
  </si>
  <si>
    <t>Challenge and Strategy : Rethinking India's Foreign Policy</t>
  </si>
  <si>
    <t>History of the Language Sciences / Geschichte der Sprachwissenschaften / Histoire des Sciences du Langage, 1. Teilband : An International Handbook on the Evolution of the Study of Language from the Beginnings to the Present</t>
  </si>
  <si>
    <t>Global Library and Information Science : A Handbook for Students and Educators</t>
  </si>
  <si>
    <t>Computational Linguistics /Computerlinguistik : An International Handbook on Computer Oriented Language Research and Applications /Ein Internationales Handbuch Zur Computergestützten Sprachforschung und Ihrer Anwendungen</t>
  </si>
  <si>
    <t>Cognitive Poetics : Goals, Gains and Gaps</t>
  </si>
  <si>
    <t>The Nature of the Self : Recognition in the Form of Right and Morality</t>
  </si>
  <si>
    <t>Describing and Modeling Variation in Grammar</t>
  </si>
  <si>
    <t>Analytical and Numerical Aspects of Partial Differential Equations : Notes of a Lecture Series</t>
  </si>
  <si>
    <t>Mediation, Remediation, and the Dynamics of Cultural Memory</t>
  </si>
  <si>
    <t>Words and Other Wonders : Papers on Lexical and Semantic Topics</t>
  </si>
  <si>
    <t>Narratology and Interpretation : The Content of Narrative Form in Ancient Literature</t>
  </si>
  <si>
    <t>Library Statistics for the Twenty-First Century World : Proceedings of the conference held in MontrÃ©al on 18-19 August 2008 reporting on the Global Library Statistics Project</t>
  </si>
  <si>
    <t>Unity and Time in Metaphysics</t>
  </si>
  <si>
    <t>Handbook of Narratology</t>
  </si>
  <si>
    <t>Life - Work - Reception : Leben – Werk – Wirkung</t>
  </si>
  <si>
    <t>Research and Perspectives on Processing Instruction</t>
  </si>
  <si>
    <t>Best of the Web - Geography : Geography</t>
  </si>
  <si>
    <t>The Translation of German Poetry into French During the First Half of the 19th Century Â¿¿ Reception and Poetic Interaction : Réception et interaction poétique</t>
  </si>
  <si>
    <t>Kantâs Philosophy of Nature : Ihre Entwicklung im "Opus postumum" und ihre Wirkung</t>
  </si>
  <si>
    <t>Minimalist Inquiries into Child and Adult Language Acquisition : Case Studies across Portuguese</t>
  </si>
  <si>
    <t>Word Frequency Studies : Word Frequency Studies</t>
  </si>
  <si>
    <t>Globalization and Education : Proceedings of the Joint Working Group, the Pontifical Academy of Sciences, the Pontifical Academy of Social Sciences, 16-17 November 2005, Casino Pio IV</t>
  </si>
  <si>
    <t>Rhythmic Grammar : The Influence of Rhythm on Grammatical Variation and Change in English</t>
  </si>
  <si>
    <t>Development of Nominal Inflection in First Language Acquisition : A Cross-Linguistic Perspective</t>
  </si>
  <si>
    <t>Lexical Semantics and Diachronic Morphology : The Development of -hood, -dom and -ship in the History of English</t>
  </si>
  <si>
    <t>Modality in English : Theory and Description</t>
  </si>
  <si>
    <t>Speech and Thought Representation in English : A Cognitive-Functional Approach</t>
  </si>
  <si>
    <t>Strategies for Regenerating the Library and Information Profession</t>
  </si>
  <si>
    <t>Deconstructing the English Passive</t>
  </si>
  <si>
    <t>The Social Embeddedness of Media Use : Action Theoretical Contributions to the Study of TV Use in Everyday Life</t>
  </si>
  <si>
    <t>The Fruits of Empirical Linguistics : Process</t>
  </si>
  <si>
    <t>A Typology of Verbal Borrowings</t>
  </si>
  <si>
    <t>A World Engraved : Archaeology of the Swift Creek Culture</t>
  </si>
  <si>
    <t>Norman Corwin and Radio : The Golden Years</t>
  </si>
  <si>
    <t>Addressing Postmodernity : Kenneth Burke, Rhetoric, and a Theory of Social Change</t>
  </si>
  <si>
    <t>Women in a Man's World, Crying : Essays</t>
  </si>
  <si>
    <t>A Florida Fiddler : The Life and Times of Richard Seaman</t>
  </si>
  <si>
    <t>Theatre History Studies 2008, Vol. 28</t>
  </si>
  <si>
    <t>Edith Wharton and the Visual Arts</t>
  </si>
  <si>
    <t>Chesnutt and Realism : A Study of the Novels</t>
  </si>
  <si>
    <t>Willa Cather and Material Culture : Real-World Writing, Writing the Real World</t>
  </si>
  <si>
    <t>Conceptions of the Afterlife in Early Civilizations : Universalism, Constructivism and near-Death Experience</t>
  </si>
  <si>
    <t>Issues in Second Language Proficiency</t>
  </si>
  <si>
    <t>A Neural Network Model of Lexical Organisation</t>
  </si>
  <si>
    <t>Art, Myth and Society in Hegel's Aesthetics : Art, Myth, and Society in Hegel's Aesthetics</t>
  </si>
  <si>
    <t>Rethinking Citizenship Education : A Curriculum for Participatory Democracy</t>
  </si>
  <si>
    <t>Handbook of Child Development and Early Education : Research to Practice</t>
  </si>
  <si>
    <t>Cognitive Therapy Techniques for Children and Adolescents : Tools for Enhancing Practice</t>
  </si>
  <si>
    <t>Building Motivational Interviewing Skills : A Practitioner Workbook</t>
  </si>
  <si>
    <t>Queer in Black and White : Interraciality, Same Sex Desire, and Contemporary African American Culture</t>
  </si>
  <si>
    <t>We Make a Life by What We Give</t>
  </si>
  <si>
    <t>Handbook of Cosmetic Skin Care</t>
  </si>
  <si>
    <t>Mastering Autodesk 3ds Max Design 2010</t>
  </si>
  <si>
    <t>Introduction to Occupational Health in Public Health Practice</t>
  </si>
  <si>
    <t>Rethinking residential child care : Positive perspectives</t>
  </si>
  <si>
    <t>Key Texts in Human Geography</t>
  </si>
  <si>
    <t>Blank Minds and Sticky Moments in Counselling : Practical Strategies and Provocative Themes</t>
  </si>
  <si>
    <t>The Autism Inclusion Toolkit : Training Materials and Facilitator Notes</t>
  </si>
  <si>
    <t>Communication, Language and Literacy from Birth to Five</t>
  </si>
  <si>
    <t>Understanding Environmental Issues</t>
  </si>
  <si>
    <t>Leadership and Management Development in Education</t>
  </si>
  <si>
    <t>Anatomy Live : Performance and the Operating Theatre</t>
  </si>
  <si>
    <t>Place of Play : Toys and Digital Cultures</t>
  </si>
  <si>
    <t>Owl and the Dove : Knowledge Strategies to Improve the Peacebuilding Practice of Local Non-Governmental Organisations</t>
  </si>
  <si>
    <t>Rebirth and Renewal : Rebirth and Renewal</t>
  </si>
  <si>
    <t>Climate Systems : Interactive Forces of Global Warming</t>
  </si>
  <si>
    <t>Photography : Photography</t>
  </si>
  <si>
    <t>Facts On File Geometry Handbook : (Revised Edition)</t>
  </si>
  <si>
    <t>Encyclopedia of Animated Cartoons</t>
  </si>
  <si>
    <t>Cleaning Up the Environment : Hazardous Waste Technology</t>
  </si>
  <si>
    <t>America's Role in the World</t>
  </si>
  <si>
    <t>Encyclopedia of Stanley Kubrick : Encyclopedia of Stanley Kubrick</t>
  </si>
  <si>
    <t>World Trade Organization : The World Trade Organization</t>
  </si>
  <si>
    <t>Aesthetic Journalism : How to Inform Without Informing</t>
  </si>
  <si>
    <t>The Smarter Preschooler : Unlocking Your Child's Intellectual Potential</t>
  </si>
  <si>
    <t>Brighter Insights</t>
  </si>
  <si>
    <t>Cult Magazines : A to Z:A Compendium of Culturally Obsessive &amp; Curiously Expressive Publications</t>
  </si>
  <si>
    <t>NonStop Press</t>
  </si>
  <si>
    <t>1-2-3 Magic for Teachers : Effective Classroom Discipline Pre-K through Grade 8</t>
  </si>
  <si>
    <t>ParentMagic, Inc.</t>
  </si>
  <si>
    <t>Paint or Pixel : The Digital Divide in Illustration Art</t>
  </si>
  <si>
    <t>100+ Educational Strategies to Teach Children</t>
  </si>
  <si>
    <t>African American Images</t>
  </si>
  <si>
    <t>Emshwiller : Infinity x Two:The Art &amp; Life of Ed &amp; Carol Emshwiller</t>
  </si>
  <si>
    <t>Arts Unknown : The Life &amp; Art of Lee Brown Coye</t>
  </si>
  <si>
    <t>The Yarn of Old Harbour Town</t>
  </si>
  <si>
    <t>McBooks Press</t>
  </si>
  <si>
    <t>Beyond Death Anxiety : Achieving Life-affirming Death Awareness</t>
  </si>
  <si>
    <t>Novel Violence : A Narratography of Victorian Fiction</t>
  </si>
  <si>
    <t>Plato's Philosophers : The Coherence of the Dialogues</t>
  </si>
  <si>
    <t>Logistics and Retail Management : Emerging Issues and New Challenges in the Retail Supply Chain</t>
  </si>
  <si>
    <t>Marketing Accountability : How to Measure Marketing Effectiveness</t>
  </si>
  <si>
    <t>Online Public Relations : A Practical Guide to Developing an Online Strategy in the World of Social Media</t>
  </si>
  <si>
    <t>Armstrong's Handbook of Human Resource Management Practice</t>
  </si>
  <si>
    <t>Successful Selling Skills</t>
  </si>
  <si>
    <t>Handbook of International Corporate Governance : A Definitive Guide</t>
  </si>
  <si>
    <t>Selected Writings on Aesthetics</t>
  </si>
  <si>
    <t>The Good in the Right : A Theory of Intuition and Intrinsic Value</t>
  </si>
  <si>
    <t>Getting Saved in America : Taiwanese Immigration and Religious Experience</t>
  </si>
  <si>
    <t>Wittgenstein on the Arbitrariness of Grammar</t>
  </si>
  <si>
    <t>The Aesthetics of Mimesis : Ancient Texts and Modern Problems</t>
  </si>
  <si>
    <t>Gender, Class, and Freedom in Modern Political Theory</t>
  </si>
  <si>
    <t>The Importance of Feeling English : American Literature and the British Diaspora, 1750-1850</t>
  </si>
  <si>
    <t>Double Vision : Moral Philosophy and Shakespearean Drama</t>
  </si>
  <si>
    <t>The Basics : A Really Useful Cookbook</t>
  </si>
  <si>
    <t>Category Management in Purchasing : A Strategic Approach to Maximize Business Profitability</t>
  </si>
  <si>
    <t>Diversity in Coaching : Working with Gender, Culture, Race and Age</t>
  </si>
  <si>
    <t>The Reading Specialist : Leadership for the Classroom, School, and Community</t>
  </si>
  <si>
    <t>Children As Victims, Witnesses, and Offenders : Psychological Science and the Law</t>
  </si>
  <si>
    <t>Common Factors in Couple and Family Therapy : The Overlooked Foundation for Effective Practice</t>
  </si>
  <si>
    <t>Dying, Death and Grief : Working with Adult Bereavement</t>
  </si>
  <si>
    <t>Development Theory</t>
  </si>
  <si>
    <t>The Labour of Leisure : The Culture of Free Time</t>
  </si>
  <si>
    <t>Media and Communication</t>
  </si>
  <si>
    <t>Developing the Gifted and Talented Young Learner</t>
  </si>
  <si>
    <t>Safeguarding Children Living with Trauma and Family Violence : Evidence-Based Assessment, Analysis, and Planning Interventions</t>
  </si>
  <si>
    <t>Your Special Student : A Book for Educators of Children Diagnosed with Asperger Syndrome</t>
  </si>
  <si>
    <t>A Special Book about Me : A Book for Children Diagnosed with Asperger Syndrome</t>
  </si>
  <si>
    <t>Your Special Friend : A Book for Peers of Children Diagnosed with Asperger Syndrome</t>
  </si>
  <si>
    <t>Activities for Adults with Learning Disabilities : Having Fun, Meeting Needs</t>
  </si>
  <si>
    <t>Safeguarding Children in Primary Health Care</t>
  </si>
  <si>
    <t>Quality Matters in Children's Services : Messages from Research</t>
  </si>
  <si>
    <t>Art Therapy Techniques and Applications</t>
  </si>
  <si>
    <t>Asperger Syndrome and Anxiety : A Guide to Successful Stress Management</t>
  </si>
  <si>
    <t>Learning Through Child Observation : Second Edition</t>
  </si>
  <si>
    <t>Attention and Listening in the Early Years</t>
  </si>
  <si>
    <t>Great Answers to Difficult Questions about Death : What Children Need to Know</t>
  </si>
  <si>
    <t>Autism and Diet : What You Need to Know</t>
  </si>
  <si>
    <t>Coach Yourself Through the Autism Spectrum</t>
  </si>
  <si>
    <t>Art as an Early Intervention Tool for Children with Autism</t>
  </si>
  <si>
    <t>A Short Introduction to Attachment and Attachment Disorder</t>
  </si>
  <si>
    <t>22 Things a Woman Must Know : If She Loves a Man with Asperger's Syndrome</t>
  </si>
  <si>
    <t>Can the World Afford Autistic Spectrum Disorder? : Nonverbal Communication, Asperger Syndrome and the Interbrain</t>
  </si>
  <si>
    <t>Creative Coping Skills for Children : Emotional Support Through Arts and Crafts Activities</t>
  </si>
  <si>
    <t>A Child Sees God : Children Talk about Bible Stories</t>
  </si>
  <si>
    <t>Guiding Students into Information Literacy : Strategies for Teachers and Teacher-Librarians</t>
  </si>
  <si>
    <t>Scarecrow Press</t>
  </si>
  <si>
    <t>Affective Teacher Education : Exploring Connections among Knowledge, Skills, and Dispositions</t>
  </si>
  <si>
    <t>R&amp;L Education</t>
  </si>
  <si>
    <t>Dutch Messengers : A History of Science Publishing, 1930-1980</t>
  </si>
  <si>
    <t>Animals as Disguised Symbols in Renaissance Art</t>
  </si>
  <si>
    <t>The Colonial 'Civilizing Process' in Dutch Formosa, 1624-1662</t>
  </si>
  <si>
    <t>Clinical Manual of Sexual Disorders</t>
  </si>
  <si>
    <t>Writing from Life : How to Turn Your Personal Experience into Profitable Prose</t>
  </si>
  <si>
    <t>Video Compression Systems : From First Principles to Concatenated Codecs</t>
  </si>
  <si>
    <t>Institution of Engineering &amp; Technology</t>
  </si>
  <si>
    <t>Microgrids and Active Distribution Networks</t>
  </si>
  <si>
    <t>Anime Machine : A Media Theory of Animation</t>
  </si>
  <si>
    <t>Selected Philosophical and Scientific Writings</t>
  </si>
  <si>
    <t>Preschool in Three Cultures Revisited : China, Japan, and the United States</t>
  </si>
  <si>
    <t>Social Security Policy in a Changing Environment</t>
  </si>
  <si>
    <t>"Do You Know...?" : The Jazz Repertoire in Action</t>
  </si>
  <si>
    <t>Enrico; or, Byzantium Conquered : A Heroic Poem</t>
  </si>
  <si>
    <t>201 Knockout Answers to Tough Interview Questions : The Ultimate Guide to Handling the New Comptency-based Interview Style</t>
  </si>
  <si>
    <t>Manager's Guide to Maximizing Employee Potential : Quick and Easy Strategies to Develop Talent Every Day</t>
  </si>
  <si>
    <t>Sport, Media and Society</t>
  </si>
  <si>
    <t>Hollywood Blockbusters : The Anthropology of Popular Movies</t>
  </si>
  <si>
    <t>American Science Fiction Film and Television</t>
  </si>
  <si>
    <t>Anthropology of Magic</t>
  </si>
  <si>
    <t>Anthropology and the Individual : A Material Culture Perspective</t>
  </si>
  <si>
    <t>How to Improve Governance : A New Framework for Analysis and Action</t>
  </si>
  <si>
    <t>Climate Change and Forests : Emerging Policy and Market Opportunities</t>
  </si>
  <si>
    <t>Brookings Inst. Press/Chatham House</t>
  </si>
  <si>
    <t>Digital Medicine : Health Care in the Internet Era</t>
  </si>
  <si>
    <t>Wiki Government : How Technology Can Make Government Better, Democracy Stronger, and Citizens More Powerful</t>
  </si>
  <si>
    <t>China into Africa : Trade, Aid, and Influence</t>
  </si>
  <si>
    <t>Brookings Inst. Press/World Peace Fdn.</t>
  </si>
  <si>
    <t>Learning Cultures in Online Education</t>
  </si>
  <si>
    <t>Foreign Language Learning with Digital Technology</t>
  </si>
  <si>
    <t>Girls Are Not Chicks Coloring Book</t>
  </si>
  <si>
    <t>For All the People : Uncovering the Hidden History of Cooperation, Cooperative Movements, and Communalism in America</t>
  </si>
  <si>
    <t>Insurance Statistics Yearbook 2009 : 1998-2007</t>
  </si>
  <si>
    <t>Analyzing Library Collection Use with Excel</t>
  </si>
  <si>
    <t>ALA Editions</t>
  </si>
  <si>
    <t>Teen Spaces : The Step-by-Step Library Makeover</t>
  </si>
  <si>
    <t>Whole Digital Library Handbook</t>
  </si>
  <si>
    <t>Global Built Environment as a Representation of Realities : Why and How Architecture Should Be the Subject of Worldwide Comparison</t>
  </si>
  <si>
    <t>Topics in Market Microstructure</t>
  </si>
  <si>
    <t>The 100 Most Influential Inventors of All Time</t>
  </si>
  <si>
    <t>Rosen Publishing Group</t>
  </si>
  <si>
    <t>Britannica Educational Publishing</t>
  </si>
  <si>
    <t>The 100 Most Influential Musicians of All Time : 100 Most Influential Musicians of All Time</t>
  </si>
  <si>
    <t>The 100 Most Influential Painters and Sculptors of the Renaissance : 100 Most Influential Painters and Sculptors of the Renaissance</t>
  </si>
  <si>
    <t>The 100 Most Influential Scientists of All Time</t>
  </si>
  <si>
    <t>The 100 Most Influential Women of All Time : 100 Most Influential Women of All Time</t>
  </si>
  <si>
    <t>The 100 Most Influential Writers of All Time : 100 Most Influential Writers of All Time</t>
  </si>
  <si>
    <t>The American Civil War and Reconstruction : People, Politics, and Power</t>
  </si>
  <si>
    <t>Social Policy Review 21 : Analysis and debate in social policy, 2009</t>
  </si>
  <si>
    <t>A new deal for children? : Re-forming education and care in England, Scotland and Sweden</t>
  </si>
  <si>
    <t>Child protection and mental health services : Interprofessional responses to the needs of mothers</t>
  </si>
  <si>
    <t>From community care to market care? : The development of welfare services for older people</t>
  </si>
  <si>
    <t>Contemporary fathering : Theory, policy and practice</t>
  </si>
  <si>
    <t>Learning for Development</t>
  </si>
  <si>
    <t>Mostly Harmless Econometrics : An Empiricist's Companion</t>
  </si>
  <si>
    <t>Semantic Role Universals and Argument Linking : Theoretical, Typological, and Psycholinguistic Perspectives</t>
  </si>
  <si>
    <t>Culture and Explosion</t>
  </si>
  <si>
    <t>Cause - Condition - Concession - Contrast : Cognitive and Discourse Perspectives</t>
  </si>
  <si>
    <t>Speech Acts Across Cultures : Challenges to Communication in a Second Language</t>
  </si>
  <si>
    <t>Narratology in the Age of Cross-Disciplinary Narrative Research</t>
  </si>
  <si>
    <t>Multimodal Metaphor</t>
  </si>
  <si>
    <t>Acquisition of Word Order in Chinese as a Foreign Language</t>
  </si>
  <si>
    <t>Classifying the Absolute Toral Rank Two Case</t>
  </si>
  <si>
    <t>Cellular Signaling and the Innate Immune Response to RNA Virus Infections</t>
  </si>
  <si>
    <t>ASM Press</t>
  </si>
  <si>
    <t>Diagnostic Microbiology of the Immunocompromoised Host</t>
  </si>
  <si>
    <t>Academic Writing : At the Interface of Corpus and Discourse</t>
  </si>
  <si>
    <t>Globalization and Language in Contact : Scale, Migration, and Communicative Practices</t>
  </si>
  <si>
    <t>Education after Dewey</t>
  </si>
  <si>
    <t>Vocational and Professional Capability : An Epistemological and Ontological Study of Occupational Expertise</t>
  </si>
  <si>
    <t>The Ethical Travel Guide : Your Passport to Exciting Alternative Holidays</t>
  </si>
  <si>
    <t>Design Activism : Beautiful Strangeness for a Sustainable World</t>
  </si>
  <si>
    <t>Bureaus of Efficiency : Reforming Local Government in the Progressive Era</t>
  </si>
  <si>
    <t>Marquette University Press</t>
  </si>
  <si>
    <t>Advances in Multivariate Statistical Methods</t>
  </si>
  <si>
    <t>Dynamics and Robust Control of Robot-Environment Interaction</t>
  </si>
  <si>
    <t>Exactly Solved Models: A Journey In Statistical Mechanics - Selected Papers With Commentaries (1963–2008)</t>
  </si>
  <si>
    <t>Encyclopedia of Physical Science : (2-Volume Set)</t>
  </si>
  <si>
    <t>Ecology : Plants, Animals, and the Environment</t>
  </si>
  <si>
    <t>Pollution : Treating Environmental Toxins</t>
  </si>
  <si>
    <t>Conservation : Protecting Our Plant Resources</t>
  </si>
  <si>
    <t>Latinos in the Arts : Latinos in the Arts</t>
  </si>
  <si>
    <t>Biofuels : Biofuels</t>
  </si>
  <si>
    <t>Solar and Geothermal Energy : Solar and Geothermal Energy</t>
  </si>
  <si>
    <t>Seven Skills for School Success : Activities to Develop Social and Emotional Intelligence in Young Children</t>
  </si>
  <si>
    <t>Gryphon House</t>
  </si>
  <si>
    <t>Baby Smarts : Games for Playing and Learning</t>
  </si>
  <si>
    <t>Critical Inquiry : The Process of Argument</t>
  </si>
  <si>
    <t>Change Your Questions, Change Your Life : 10 Powerful Tools for Life and Work</t>
  </si>
  <si>
    <t>Berrett-Koehler Publishers</t>
  </si>
  <si>
    <t>Agenda for a New Economy : From Phantom Wealth to Real Wealth</t>
  </si>
  <si>
    <t>Berrett-Koehler Publishers, Inc.</t>
  </si>
  <si>
    <t>Lift : Becoming a Positive Force in Any Situation</t>
  </si>
  <si>
    <t>Incredible iPhone Apps For Dummies</t>
  </si>
  <si>
    <t>Twitter Marketing : An Hour a Day</t>
  </si>
  <si>
    <t>Enhancing Adult Motivation to Learn : A Comprehensive Guide for Teaching All Adults</t>
  </si>
  <si>
    <t>Cultural Codes : Makings of a Black Music Philosophy</t>
  </si>
  <si>
    <t>Middle School General Music : The Best Part of Your Day</t>
  </si>
  <si>
    <t>Accounting Workbook for Dummies</t>
  </si>
  <si>
    <t>Forecasting Financial Markets : The Psychology of Successful Investing</t>
  </si>
  <si>
    <t>Facilitating Problem-Based Learning</t>
  </si>
  <si>
    <t>Pictures and Visuality in Early Modern China</t>
  </si>
  <si>
    <t>The Modern Interior</t>
  </si>
  <si>
    <t>Piracy : The Intellectual Property Wars from Gutenberg to Gates</t>
  </si>
  <si>
    <t>Key Concepts in Sport and Exercise Sciences</t>
  </si>
  <si>
    <t>Key Concepts in Education</t>
  </si>
  <si>
    <t>Experiencing Social Work : Learning from Service Users</t>
  </si>
  <si>
    <t>Gender and Diversity in Management : A Concise Introduction</t>
  </si>
  <si>
    <t>Anti-Oppressive Social Work : A Guide for Developing Cultural Competence</t>
  </si>
  <si>
    <t>The Invention of Enterprise : Entrepreneurship from Ancient Mesopotamia to Modern Times</t>
  </si>
  <si>
    <t>Experimental Economics : Rethinking the Rules</t>
  </si>
  <si>
    <t>International Trade with Equilibrium Unemployment</t>
  </si>
  <si>
    <t>The Calculus of Selfishness</t>
  </si>
  <si>
    <t>Cultural Intelligence : Living and Working Globally</t>
  </si>
  <si>
    <t>Alternatives to Economic Globalization : A Better World Is Possible</t>
  </si>
  <si>
    <t>The Art of Quantum Planning : Lessons from Quantum Physics for Breakthrough Strategy, Innovation, and Leadership</t>
  </si>
  <si>
    <t>Effective Apology : Mending Fences, Building Bridges, and Restoring Trust</t>
  </si>
  <si>
    <t>Cultivating Curious and Creative Minds : The Role of Teachers and Teacher Educators, Part I</t>
  </si>
  <si>
    <t>A Pianist's Dictionary : Reflections on a Life</t>
  </si>
  <si>
    <t>Hamilton Books</t>
  </si>
  <si>
    <t>Consumer Research for Museum Marketers : Audience Insights Money Can't Buy</t>
  </si>
  <si>
    <t>AltaMira Press</t>
  </si>
  <si>
    <t>Community-Based Health Interventions</t>
  </si>
  <si>
    <t>3D for iPhone Apps with Blender and SIO2 : Your Guide to Creating 3D Games and More with Open-Source Software</t>
  </si>
  <si>
    <t>2010 Britannica Student Encyclopedia</t>
  </si>
  <si>
    <t>Polymer Electronics : A Flexible Technology</t>
  </si>
  <si>
    <t>iSmithers Rapra Publishing</t>
  </si>
  <si>
    <t>Eat What You Love : More than 300 Incredible Recipes Low in Sugar, Fat, and Calories</t>
  </si>
  <si>
    <t>Running Press</t>
  </si>
  <si>
    <t>The Language-Rich Classroom : A Research-Based Framework for Teaching English Language Learners</t>
  </si>
  <si>
    <t>The New Teacher's Companion : Practical Wisdom for Succeeding in the Classroom</t>
  </si>
  <si>
    <t>Challenging the Whole Child : Reflections on Best Practices in Learning, Teaching, and Leadership</t>
  </si>
  <si>
    <t>British Vocational Qualifications : A Directory of Vocational Qualifications Available in the United Kingdom</t>
  </si>
  <si>
    <t>Portfolio Risk Analysis</t>
  </si>
  <si>
    <t>Electronic Elections : The Perils and Promises of Digital Democracy</t>
  </si>
  <si>
    <t>Innovation, Intellectual Property, and Economic Growth</t>
  </si>
  <si>
    <t>Behavioral Economics and Its Applications</t>
  </si>
  <si>
    <t>Climate Change Justice</t>
  </si>
  <si>
    <t>Awakening Giants, Feet of Clay : Assessing the Economic Rise of China and India</t>
  </si>
  <si>
    <t>Investors and Markets : Portfolio Choices, Asset Prices, and Investment Advice</t>
  </si>
  <si>
    <t>Architecture for the Poor : An Experiment in Rural Egypt</t>
  </si>
  <si>
    <t>Human Rights and Gender Violence : Translating International Law into Local Justice</t>
  </si>
  <si>
    <t>Art, Time and Technology</t>
  </si>
  <si>
    <t>Accounting Savvy for Business Owners : A Guide to the Bare Essentials</t>
  </si>
  <si>
    <t>CPA911 PUBLISHING</t>
  </si>
  <si>
    <t>Differentiated Instruction for the Middle School Science Teacher : Activities and Strategies for an Inclusive Classroom</t>
  </si>
  <si>
    <t>Advanced Web Metrics with Google Analytics</t>
  </si>
  <si>
    <t>Envisioning America : New Chinese Americans and the Politics of Belonging</t>
  </si>
  <si>
    <t>Stanford University Press</t>
  </si>
  <si>
    <t>The Global Achievement Gap : Why Even Our Best Schools Don't Teach the New Survival Skills Our Children Need--and What We Can Do</t>
  </si>
  <si>
    <t>Basic Books</t>
  </si>
  <si>
    <t>Energy Efficiency and Climate Change : Conserving Power for a Sustainable Future</t>
  </si>
  <si>
    <t>Changing Attitudes Toward Economic Reform During the Yeltsin Era</t>
  </si>
  <si>
    <t>ABC-CLIO, LLC</t>
  </si>
  <si>
    <t>Greenwood</t>
  </si>
  <si>
    <t>Childhood and Adolescence : Cross-Cultural Perspectives and Applications</t>
  </si>
  <si>
    <t>Praeger</t>
  </si>
  <si>
    <t>Reading and Writing to Learn : Strategies Across the Curriculum</t>
  </si>
  <si>
    <t>Re-designing the High School Library for the Forgotten Half : The Information Needs of the Non-college Bound Student</t>
  </si>
  <si>
    <t>Supply Chain Excellence : A Handbook for Dramatic Improvement Using the SCOR Model</t>
  </si>
  <si>
    <t>The Girls' Guide to Building a Million-Dollar Business</t>
  </si>
  <si>
    <t>Corpus-Based Approaches to English Language Teaching</t>
  </si>
  <si>
    <t>Children As Decision Makers in Education : Sharing Experiences Across Cultures</t>
  </si>
  <si>
    <t>The Cultural Politics of Analytic Philosophy : Britishness and the Spectre of Europe</t>
  </si>
  <si>
    <t>The Ethics of Husserl's Phenomenology : Responsibility and Ethical Life</t>
  </si>
  <si>
    <t>Postmodern Fiction and the Break-Up of Britain</t>
  </si>
  <si>
    <t>Technical and Vocational Education and Training : An Investment-Based Approach</t>
  </si>
  <si>
    <t>Aristotle's Ethics : Moral Development and Human Nature</t>
  </si>
  <si>
    <t>PISA 2009 Assessment Framework : Key Competencies in Reading, Mathematics and Science</t>
  </si>
  <si>
    <t>The Case for Books : Past, Present, and Future</t>
  </si>
  <si>
    <t>PublicAffairs</t>
  </si>
  <si>
    <t>China's Growing Role in World Trade</t>
  </si>
  <si>
    <t>The Future of Islam and the West : Clash of Civilizations or Peaceful Coexistence?</t>
  </si>
  <si>
    <t>Who's in Charge : Leadership During a Public Health Crisis</t>
  </si>
  <si>
    <t>The Customer-Focused Library : Re-Inventing the Library from the Outside-In</t>
  </si>
  <si>
    <t>Service-Learning and Social Justice : Engaging Students in Social Change</t>
  </si>
  <si>
    <t>Rowman &amp; Littlefield Publishers</t>
  </si>
  <si>
    <t>Chinese Civil Justice, Past and Present</t>
  </si>
  <si>
    <t>Filling the Hole in the Nuclear Future : Art and Popular Culture Respond to the Bomb</t>
  </si>
  <si>
    <t>Lexington Books</t>
  </si>
  <si>
    <t>The Value of Time and Leisure in a World of Work</t>
  </si>
  <si>
    <t>Dynamics of Local Governance in China During the Reform Era</t>
  </si>
  <si>
    <t>Cultural Resources Archaeology : An Introduction</t>
  </si>
  <si>
    <t>Library Programs for Teens : Mystery Theater</t>
  </si>
  <si>
    <t>Historical Dictionary of Modern Chinese Literature</t>
  </si>
  <si>
    <t>How to Understand Business Finance</t>
  </si>
  <si>
    <t>Ethics and Integrity in Public Administration: Concepts and Cases</t>
  </si>
  <si>
    <t>Encyclopedia of Elder Care : Encyclopedia of Elder Care (2nd Edition)</t>
  </si>
  <si>
    <t>Health Promotion Programs : From Theory to Practice</t>
  </si>
  <si>
    <t>Personal Finance for Seniors for Dummies</t>
  </si>
  <si>
    <t>Brand for Talent : Eight Essentials to Make Your Talent as Famous as Your Brand</t>
  </si>
  <si>
    <t>The Early Years of Folk Music : Fifty Founders of the Tradition</t>
  </si>
  <si>
    <t>McFarland &amp; Company, Incorporated Publishers</t>
  </si>
  <si>
    <t>A/V A to Z : An Encyclopedic Dictionary of Media, Entertainment and Other Audiovisual Terms</t>
  </si>
  <si>
    <t>RAND in Southeast Asia : A History of the Vietnam War Era</t>
  </si>
  <si>
    <t>Moving People : Sustainable Transport Development</t>
  </si>
  <si>
    <t>Pathogens and Toxins in Foods : Challenges and Intervention</t>
  </si>
  <si>
    <t>Advancing Formative Assessment in Every Classroom : A Guide for Instructional Leaders</t>
  </si>
  <si>
    <t>Teaching English Language Learners Across the Content Areas</t>
  </si>
  <si>
    <t>Curriculum 21 : Essential Education for a Changing World</t>
  </si>
  <si>
    <t>Yoga tips for people with multiple sclerosis : Quick and Simple Techniques to Improve Posture and Mobility</t>
  </si>
  <si>
    <t>The History of China</t>
  </si>
  <si>
    <t>World Education Indicators 2005 : Education Trends in Perspective</t>
  </si>
  <si>
    <t>E-learning in Tertiary Education : Where Do We Stand?</t>
  </si>
  <si>
    <t>Renewables Information 2005</t>
  </si>
  <si>
    <t>Promoting Adult Learning : Promoting Adult Learning</t>
  </si>
  <si>
    <t>Terrorism Risk Insurance in OECD Countries : Number 09  : Terrorism Risk Insurance in OECD Countries</t>
  </si>
  <si>
    <t>Learning a Living : First Results of the Adult Literacy and Life Skills Survey</t>
  </si>
  <si>
    <t>OECD in Figures 2005 : Statistics on the Member Countries</t>
  </si>
  <si>
    <t>Why Fish Piracy Persists : The Economics of Illegal, Unreported and Unregulated Fishing</t>
  </si>
  <si>
    <t>Advances in Risk Management of Government Debt</t>
  </si>
  <si>
    <t>OECD Environmental Performance Reviews, Czech Republic 2005 : Czech Republic</t>
  </si>
  <si>
    <t>OECD Regions at a Glance 2005</t>
  </si>
  <si>
    <t>PISA 2003 Data Analysis Manual : SAS</t>
  </si>
  <si>
    <t>Global Faulkner : Faulkner and Yoknapatawpha, 2006</t>
  </si>
  <si>
    <t>University Press of Mississippi</t>
  </si>
  <si>
    <t>Faulkner and Material Culture</t>
  </si>
  <si>
    <t>Blues Traveling : The Holy Sites of Delta Blues</t>
  </si>
  <si>
    <t>Beatles : Image and the Media</t>
  </si>
  <si>
    <t>Life on the Press : The Popular Art and Illustrations of George Benjamin Luks</t>
  </si>
  <si>
    <t>Let's Make Some Noise : Axé and the African Roots of Brazilian Popular Music</t>
  </si>
  <si>
    <t>Accordion Dreams : A Journey into Cajun and Creole Music</t>
  </si>
  <si>
    <t>Faulkner and Welty and the Southern Literary Tradition</t>
  </si>
  <si>
    <t>Pearl Harbor Jazz : Change in Popular Music in the Early 1940s</t>
  </si>
  <si>
    <t>African American Writers and Classical Tradition</t>
  </si>
  <si>
    <t>Real Democracy : The New England Town Meeting and How It Works</t>
  </si>
  <si>
    <t>Measuring and Managing Federal Financial Risk</t>
  </si>
  <si>
    <t>Face, Communication and Social Interaction</t>
  </si>
  <si>
    <t>Equinox Publishing Ltd</t>
  </si>
  <si>
    <t>What the Buddha Thought</t>
  </si>
  <si>
    <t>Crosslinguistic Research in Syntax and Semantics : Negation, Tense, and Clausal Architecture</t>
  </si>
  <si>
    <t>Future of Genetics : Beyond the Human Genome Project</t>
  </si>
  <si>
    <t>Leading the Learner-Centered Campus : An Administrator's Framework for Improving Student Learning Outcomes</t>
  </si>
  <si>
    <t>CEH Certified Ethical Hacker Study Guide : Certified Ethical Hacker Study Guide</t>
  </si>
  <si>
    <t>Leonardo's Legacy : How Da Vinci Reimagined the World</t>
  </si>
  <si>
    <t>Da Capo Press</t>
  </si>
  <si>
    <t>Social work and global health inequalities : Practice and policy developments</t>
  </si>
  <si>
    <t>Changing local governance, changing citizens</t>
  </si>
  <si>
    <t>Kids online : Opportunities and risks for children</t>
  </si>
  <si>
    <t>How Learning Works : Seven Research-Based Principles for Smart Teaching</t>
  </si>
  <si>
    <t>iPhone Application Development All-In-One For Dummies</t>
  </si>
  <si>
    <t>Meaningful Workplaces : Reframing How and Where We Work</t>
  </si>
  <si>
    <t>Center for Creative Leadership</t>
  </si>
  <si>
    <t>English Grammar for Dummies</t>
  </si>
  <si>
    <t>Commercial Mortgages 101 : Everything You Need to Know to Create a Winning Loan Request Package</t>
  </si>
  <si>
    <t>Internet : An Introduction to New Media</t>
  </si>
  <si>
    <t>500 Words, Phrases, and Idioms for the TOEFL iBT plus Typing Strategies</t>
  </si>
  <si>
    <t>Nova Press</t>
  </si>
  <si>
    <t>Advaita Vedanta and Zen Buddhism : Deconstructive Modes of Spiritual Inquiry</t>
  </si>
  <si>
    <t>Family Health Care Nursing : Theory, Practice, and Research</t>
  </si>
  <si>
    <t>Nurse Practitioner Certification Examination and Practice Preparation</t>
  </si>
  <si>
    <t>American Culture in the 1990s</t>
  </si>
  <si>
    <t>The United States and Iraq since 1979 : Hegemony, Oil and War</t>
  </si>
  <si>
    <t>Corpus Linguistics and the Description of English</t>
  </si>
  <si>
    <t>An Introduction to English Phonetics</t>
  </si>
  <si>
    <t>American Culture in the 1910s</t>
  </si>
  <si>
    <t>Balancing the Banks : Global Lessons from the Financial Crisis</t>
  </si>
  <si>
    <t>The Elements of Library Research : What Every Student Needs to Know</t>
  </si>
  <si>
    <t>Forward-Looking Decision Making : Dynamic Programming Models Applied to Health, Risk, Employment, and Financial Stability</t>
  </si>
  <si>
    <t>Labor Markets and Business Cycles</t>
  </si>
  <si>
    <t>Learning by Example : Imitation and Innovation at a Global Bank</t>
  </si>
  <si>
    <t>Management for Social Enterprise</t>
  </si>
  <si>
    <t>Passionate Leadership in Education</t>
  </si>
  <si>
    <t>English as an Additional Language : Approaches to Teaching Linguistic Minority Students</t>
  </si>
  <si>
    <t>Understanding Gender and Organizations</t>
  </si>
  <si>
    <t>Cultures and Globalization : Cultural Expression, Creativity and Innovation</t>
  </si>
  <si>
    <t>Getting to the Heart of Leadership : Emotion and Educational Leadership</t>
  </si>
  <si>
    <t>Child Social Work Policy &amp; Practice</t>
  </si>
  <si>
    <t>Understanding Children as Consumers</t>
  </si>
  <si>
    <t>Consumer Society : Critical Issues &amp; Environmental Consequences</t>
  </si>
  <si>
    <t>Phenomenology of the Visual Arts (even the Frame)</t>
  </si>
  <si>
    <t>Hedge Funds : An Analytic Perspective - Updated Edition</t>
  </si>
  <si>
    <t>Thinking Through Tourism</t>
  </si>
  <si>
    <t>Business and Construction : Business and Construction</t>
  </si>
  <si>
    <t>Auditing for Dummies</t>
  </si>
  <si>
    <t>Are the New Millennium Learners Making the Grade? : Technology Use and Educational Performance in PISA 2006</t>
  </si>
  <si>
    <t>Fundamentals of Risk Management : Understanding, Evaluating and Implementing Effective Risk Management</t>
  </si>
  <si>
    <t>Dictionary and Introduction to Global Environmental Governance</t>
  </si>
  <si>
    <t>The Future Control of Food : A Guide to International Negotiations and Rules on Intellectual Property, Biodiversity and Food Security</t>
  </si>
  <si>
    <t>Culturally and Linguistically Diverse Classrooms : New Dilemmas for Teachers</t>
  </si>
  <si>
    <t>China and English : Globalisation and the Dilemmas of Identity</t>
  </si>
  <si>
    <t>Tourism, Power and Culture : Anthropological Insights</t>
  </si>
  <si>
    <t>Beyond Backpacker Tourism : Mobilities and Experiences</t>
  </si>
  <si>
    <t>Translating China</t>
  </si>
  <si>
    <t>Official Tourism Websites : A Discourse Analysis Perspective</t>
  </si>
  <si>
    <t>Lexical Inferencing in a First and Second Language : Cross-linguistic Dimensions</t>
  </si>
  <si>
    <t>Re-Investing Authenticity : Tourism, Place and Emotions</t>
  </si>
  <si>
    <t>Communication Disorders in Turkish</t>
  </si>
  <si>
    <t>Tourism in Japan : An Ethno-Semiotic Analysis</t>
  </si>
  <si>
    <t>Language Diversity in the Classroom</t>
  </si>
  <si>
    <t>Tourists and Travellers : Women's Non-fictional Writing about Scotland, 1770-1830</t>
  </si>
  <si>
    <t>Coffee Culture, Destinations and Tourism</t>
  </si>
  <si>
    <t>Measuring Second Language Vocabulary Acquisition</t>
  </si>
  <si>
    <t>Dyslexia in the Foreign Language Classroom</t>
  </si>
  <si>
    <t>The Experiences of Film Location Tourists</t>
  </si>
  <si>
    <t>A Practical Guide for Translators : Fifth Edition</t>
  </si>
  <si>
    <t>The Knowledge Economy, Language and Culture</t>
  </si>
  <si>
    <t>Academic Writing : A Guide for Management Students and Researchers</t>
  </si>
  <si>
    <t>How to Choose Winning Stocks : Rewriting Formula</t>
  </si>
  <si>
    <t>Economic Reforms in India and China : Emerging Issues and Challenges</t>
  </si>
  <si>
    <t>Emotions in the Field : The Psychology and Anthropology of Fieldwork Experience</t>
  </si>
  <si>
    <t>Myth of the Social Volcano : Perceptions of Inequality and Distributive Injustice in Contemporary China</t>
  </si>
  <si>
    <t>United in Discontent : Local Responses to Cosmopolitanism and Globalization</t>
  </si>
  <si>
    <t>Berghahn Books, Incorporated</t>
  </si>
  <si>
    <t>The Discipline of Leisure : Embodying Cultures of 'Recreation'</t>
  </si>
  <si>
    <t>Alarming Reports : Communicating Conflict in the Daily News</t>
  </si>
  <si>
    <t>Power Hungry : The Myths of "Green" Energy and the Real Fuels of the Future</t>
  </si>
  <si>
    <t>The American Psychiatric Publishing Textbook of Forensic Psychiatry</t>
  </si>
  <si>
    <t>In the Courts of the Conquerer : The 10 Worst Indian Law Cases Ever Decided</t>
  </si>
  <si>
    <t>Fulcrum Publishing</t>
  </si>
  <si>
    <t>Anime and Philosophy : Wide Eyed Wonder</t>
  </si>
  <si>
    <t>Open Court</t>
  </si>
  <si>
    <t>Breaking Bread : Recipes and Stories from Immigrant Kitchens</t>
  </si>
  <si>
    <t>Pictures for Use and Pleasure : Vernacular Painting in High Qing China</t>
  </si>
  <si>
    <t>The Culture of China</t>
  </si>
  <si>
    <t>Revisiting Waldo's Administrative State : Constancy and Change in Public Administration</t>
  </si>
  <si>
    <t>An Ethics of Biodiversity : Christianity, Ecology, and the Variety of Life</t>
  </si>
  <si>
    <t>Public Administration : Traditions of Inquiry and Philosophies of Knowledge</t>
  </si>
  <si>
    <t>Water Power : Water Power</t>
  </si>
  <si>
    <t>Clubhouse</t>
  </si>
  <si>
    <t>Hydrogen Fuel : Hydrogen Fuel</t>
  </si>
  <si>
    <t>Hospitality and Personal Care : Hospitality and Personal Care</t>
  </si>
  <si>
    <t>Nuclear Power : Nuclear Power</t>
  </si>
  <si>
    <t>Solar Power : Solar Power</t>
  </si>
  <si>
    <t>Coal, Oil, and Natural Gas : Coal, Oil, and Natural Gas</t>
  </si>
  <si>
    <t>Chemical Bonds : Chemical Bonds</t>
  </si>
  <si>
    <t>Imagined Museums : Art and Modernity in Postcolonial Morocco</t>
  </si>
  <si>
    <t>The Market for Virtue : The Potential and Limits of Corporate Social Responsibility</t>
  </si>
  <si>
    <t>Case Study Research : Theory, Methods and Practice</t>
  </si>
  <si>
    <t>Computer Science : Computer Science</t>
  </si>
  <si>
    <t>Valuation : Measuring and Managing the Value of Companies, University Edition</t>
  </si>
  <si>
    <t>Culture, Creativity and Environment : New Environmentalist Criticism</t>
  </si>
  <si>
    <t>Brill / Rodopi</t>
  </si>
  <si>
    <t>Labyrinth of Digressions : Tristram Shandy As Perceived and Influenced by Sterne's Early Imitators</t>
  </si>
  <si>
    <t>Rewriting History : Peter Carey's Fictional Biography of Australia</t>
  </si>
  <si>
    <t>The Culture of India</t>
  </si>
  <si>
    <t>Handbook of Logistics and Distribution Management</t>
  </si>
  <si>
    <t>Global Logistics : New Directions in Supply Chain Management</t>
  </si>
  <si>
    <t>Banking on the Future : The Fall and Rise of Central Banking</t>
  </si>
  <si>
    <t>The Company of Strangers : A Natural History of Economic Life - Revised Edition</t>
  </si>
  <si>
    <t>European Development Cooperation : In Between the Local and the Global</t>
  </si>
  <si>
    <t>Anthropology of Sex</t>
  </si>
  <si>
    <t>The Questions Dictionary of Art</t>
  </si>
  <si>
    <t>Heidegger and Aristotle : Philosophy As Praxis</t>
  </si>
  <si>
    <t>Continuum Guide to Geography Education</t>
  </si>
  <si>
    <t>101 Essential Lists for Secondary Teachers</t>
  </si>
  <si>
    <t>Wasted : Why Education Isn't Educating</t>
  </si>
  <si>
    <t>Continuum International Publishing</t>
  </si>
  <si>
    <t>Managing Behaviour in the Early Years</t>
  </si>
  <si>
    <t>Women in Christianity</t>
  </si>
  <si>
    <t>Language: Key Concepts in Philosophy</t>
  </si>
  <si>
    <t>100 Ideas for Supply Teachers : Secondary Edition</t>
  </si>
  <si>
    <t>Jesus Against Christianity : Reclaiming the Missing Jesus</t>
  </si>
  <si>
    <t>Trinity Press International</t>
  </si>
  <si>
    <t>Academic Vocabulary in Learner Writing : From Extraction to Analysis</t>
  </si>
  <si>
    <t>Bonhoeffer : Outstanding Christian Thinkers</t>
  </si>
  <si>
    <t>Managing Boys' Behaviour : How to Deal with It - and Help Them Succeed!</t>
  </si>
  <si>
    <t>Dyslexia 2nd Edition</t>
  </si>
  <si>
    <t>Aesthetics and Morality</t>
  </si>
  <si>
    <t>Evidence Informed Leadership in Education</t>
  </si>
  <si>
    <t>Social Media for Business : 101 Ways to Grow Your Business Without Wasting Your Time</t>
  </si>
  <si>
    <t>Starting an IPhone Application Business for Dummies</t>
  </si>
  <si>
    <t>Social Media Marketing</t>
  </si>
  <si>
    <t>Energy Technology Perspectives 2010 : Scenarios and Strategies to 2050</t>
  </si>
  <si>
    <t>The 100 Best Vegan Baking Recipes : Amazing Cookies, Cakes, Muffins, Pies, Brownies and Breads</t>
  </si>
  <si>
    <t>Ulysses Press</t>
  </si>
  <si>
    <t>Functional Training for Athletes at All Levels : Workouts for Agility, Speed and Power</t>
  </si>
  <si>
    <t>Rethinking the public : Innovations in research, theory and politics</t>
  </si>
  <si>
    <t>Community development and civil society : Making connections in the European context</t>
  </si>
  <si>
    <t>The Coming Famine : The Global Food Crisis and What We Can Do to Avoid It</t>
  </si>
  <si>
    <t>A Malleable Map : Geographies of Restoration in Central Japan, 1600-1912</t>
  </si>
  <si>
    <t>Assessing Student Learning : A Common Sense Guide</t>
  </si>
  <si>
    <t>Evidence-Based Reward Management : Creating Measurable Business Impact from Your Pay and Reward Practices</t>
  </si>
  <si>
    <t>The Experiential Learning Toolkit : Blending Practice with Concepts</t>
  </si>
  <si>
    <t>Social Change and Human Development : Concept and Results</t>
  </si>
  <si>
    <t>American Universities in a Global Market</t>
  </si>
  <si>
    <t>Instructional Design for Action Learning</t>
  </si>
  <si>
    <t>The Power of Charm : How to Win Anyone over in Any Situation</t>
  </si>
  <si>
    <t>Principles of Biomedical Engineering</t>
  </si>
  <si>
    <t>Free Access to the Past : Romanticism, Cultural Heritage and the Nation</t>
  </si>
  <si>
    <t>Institutions of Education - Then and Today : The Legacy of German Idealism</t>
  </si>
  <si>
    <t>Culture and Social Transformations in Reform Era China</t>
  </si>
  <si>
    <t>State-religion Relationships and Human Rights Law : Towards a Right to Religiously Neutral Governance</t>
  </si>
  <si>
    <t>Globalization and Internationalization in Higher Education : Theoretical, Strategic and Management Perspectives</t>
  </si>
  <si>
    <t>Bloomsbury Academic</t>
  </si>
  <si>
    <t>Task-Based Language Learning and Teaching with Technology</t>
  </si>
  <si>
    <t>Theory Building in Educational Research</t>
  </si>
  <si>
    <t>Biotechnology : Fundamentals and Applications</t>
  </si>
  <si>
    <t>Oxford Book Co.</t>
  </si>
  <si>
    <t>Advancement in LibraryandInformation Science</t>
  </si>
  <si>
    <t>Stimuli Responsive Drug Delivery Systems : From Introduction to Application</t>
  </si>
  <si>
    <t>Key Concepts in Marketing</t>
  </si>
  <si>
    <t>Key Issues for Education Researchers</t>
  </si>
  <si>
    <t>Understanding Children's Books : A Guide for Education Professionals</t>
  </si>
  <si>
    <t>Britain's Chinese Eye : Literature, Empire, and Aesthetics in Nineteenth-Century Britain</t>
  </si>
  <si>
    <t>The 10,000 Year Explosion : How Civilization Accelerated Human Evolution</t>
  </si>
  <si>
    <t>Wind Power Generation and Wind Turbine Design</t>
  </si>
  <si>
    <t>WIT Press</t>
  </si>
  <si>
    <t>Aesthetic Anxiety : Uncanny Symptoms in German Literature and Culture</t>
  </si>
  <si>
    <t>Against the Grain : Reading Pynchon's Counternarratives</t>
  </si>
  <si>
    <t>Tourism-Marketing Performance Metrics and Usefulness Auditing of Destination Websites</t>
  </si>
  <si>
    <t>Innovative Marketing Strategy : Balancing Commercial Goal and Corporate Social Responsibility</t>
  </si>
  <si>
    <t>Himalaya Publishing House</t>
  </si>
  <si>
    <t>Financial Accounting, 2</t>
  </si>
  <si>
    <t>Environmental Management</t>
  </si>
  <si>
    <t>Advanced Cost Accounting : Theory, Problems and Solutions</t>
  </si>
  <si>
    <t>Cost and Management Accounting : Theory, Problems and Solutions</t>
  </si>
  <si>
    <t>Quantitative Analysis for Business Decisions</t>
  </si>
  <si>
    <t>International Trade and Export Management</t>
  </si>
  <si>
    <t>Materials and Purchasing Management</t>
  </si>
  <si>
    <t>Business Analysis</t>
  </si>
  <si>
    <t>Recruitment Management</t>
  </si>
  <si>
    <t>Economics for Management : Text &amp; Cases</t>
  </si>
  <si>
    <t>Air Pollution and Plant Biotechnology</t>
  </si>
  <si>
    <t>Mangalam Publishers</t>
  </si>
  <si>
    <t>ABC of Social Psychology</t>
  </si>
  <si>
    <t>ABD Publishers</t>
  </si>
  <si>
    <t>Tourism Marketing and Crisis Management</t>
  </si>
  <si>
    <t>Rajat Publications</t>
  </si>
  <si>
    <t>Handbook of Literary Criticism in English</t>
  </si>
  <si>
    <t>Synthetic Organic Chemistry</t>
  </si>
  <si>
    <t>Global Marketing and Consumer Decision Making</t>
  </si>
  <si>
    <t>Paradise Publishers</t>
  </si>
  <si>
    <t>Electronic Devices and Circuits</t>
  </si>
  <si>
    <t>BS Publications</t>
  </si>
  <si>
    <t>Tourism Management in 21st Century</t>
  </si>
  <si>
    <t>Book Enclave</t>
  </si>
  <si>
    <t>Brand Management</t>
  </si>
  <si>
    <t>Management of Tourism &amp; Hospitality Industry</t>
  </si>
  <si>
    <t>Operation and Control in Power Systems</t>
  </si>
  <si>
    <t>Modern Research Methodology : New Trends and Techniques</t>
  </si>
  <si>
    <t>Greenhouse Technology and Management</t>
  </si>
  <si>
    <t>Advertising and Personal Selling</t>
  </si>
  <si>
    <t>Crisis in World Higher Education</t>
  </si>
  <si>
    <t>Microbial physiology genetics and ecology : Genetics and Ecology</t>
  </si>
  <si>
    <t>Textbook of Remote Sensing and Geographical Information Systems</t>
  </si>
  <si>
    <t>Environmental Biology</t>
  </si>
  <si>
    <t>Studium Press</t>
  </si>
  <si>
    <t>Entrepreneurship Development and Management</t>
  </si>
  <si>
    <t>Abhishek Publications</t>
  </si>
  <si>
    <t>New Trends in Tourism and Hotel Industry</t>
  </si>
  <si>
    <t>Navyug Publishers &amp; Distributors</t>
  </si>
  <si>
    <t>Marketing and Sales Management</t>
  </si>
  <si>
    <t>Research Methodology in Physical Education and Sports</t>
  </si>
  <si>
    <t>English as a Second Language : Experience into Essays</t>
  </si>
  <si>
    <t>Methods, Measurement and Evaluation in Physical Education</t>
  </si>
  <si>
    <t>Laboratory Techniques in Microbiology &amp; Biotechnology</t>
  </si>
  <si>
    <t>Bureaucracy and Public Administration</t>
  </si>
  <si>
    <t>Discovering the Nano-Electronics</t>
  </si>
  <si>
    <t>Investing in Nanotechnology</t>
  </si>
  <si>
    <t>Knockout Interview Answers : 52 Brilliant Ideas to Clinch Your Dream Job</t>
  </si>
  <si>
    <t>Infinite Ideas</t>
  </si>
  <si>
    <t>52 brilliant ideas</t>
  </si>
  <si>
    <t>Social Media Marketing All-in-One For Dummies</t>
  </si>
  <si>
    <t>Social Innovation, Inc : 5 Strategies for Driving Business Growth Through Social Change</t>
  </si>
  <si>
    <t>Your Creative Brain : Seven Steps to Maximize Imagination, Productivity, and Innovation in Your Life</t>
  </si>
  <si>
    <t>IPhone Photography and Video for Dummies</t>
  </si>
  <si>
    <t>Mobile Marketing for Dummies</t>
  </si>
  <si>
    <t>Trade and Economic Effects of Responses to the Economic Crisis</t>
  </si>
  <si>
    <t>China Complex : From the Sublime to the Absurd on the U.S.-China Scene</t>
  </si>
  <si>
    <t>Long River Press</t>
  </si>
  <si>
    <t>A Global Life : My Journey Among Rich and Poor, from Sydney to Wall Street to the World Bank</t>
  </si>
  <si>
    <t>Michael Oakeshott's Skepticism</t>
  </si>
  <si>
    <t>Beyond the Invisible Hand : Groundwork for a New Economics</t>
  </si>
  <si>
    <t>The Limits of Constitutional Democracy</t>
  </si>
  <si>
    <t>100 Must Read Life-Changing Books</t>
  </si>
  <si>
    <t>Learn to Transform : Developing a 21st Century Approach to Sustainable School Transformation</t>
  </si>
  <si>
    <t>Developing a Self-Evaluating School : A Practical Guide</t>
  </si>
  <si>
    <t>Attitudes to Modern Foreign Language Learning : Insights from Comparative Education</t>
  </si>
  <si>
    <t>The Behaviour Guru : Behaviour Management Solutions for Teachers</t>
  </si>
  <si>
    <t>The New Testament and Jewish Law: a Guide for the Perplexed</t>
  </si>
  <si>
    <t>T&amp;T Clark</t>
  </si>
  <si>
    <t>Corpus Linguistics in Literary Analysis : Jane Austen and Her Contemporaries</t>
  </si>
  <si>
    <t>Online Second Language Acquisition : Conversation Analysis of Online Chat</t>
  </si>
  <si>
    <t>Design of Learning Spaces</t>
  </si>
  <si>
    <t>The Ascent of the West : From Prehistory Through the Renaissance</t>
  </si>
  <si>
    <t>Oscar Wilde : (New Edition)</t>
  </si>
  <si>
    <t>Gene Therapy : (Revised Edition)</t>
  </si>
  <si>
    <t>The Ethics of Earth Art</t>
  </si>
  <si>
    <t>Screens : Viewing Media Installation Art</t>
  </si>
  <si>
    <t>194X : Architecture, Planning, and Consumer Culture on the American Home Front</t>
  </si>
  <si>
    <t>Social Responsibility and Environmental Sustainability in Business : How Organizations Handle Profits and Social Duties</t>
  </si>
  <si>
    <t>Towards a New Poverty Agenda in Asia : Social Policies and Economic Transformation</t>
  </si>
  <si>
    <t>Basic Research Methods : An Entry to Social Science Research</t>
  </si>
  <si>
    <t>Collaborative Research in Management : Inside Out</t>
  </si>
  <si>
    <t>Occurrence of intestinal fish parasites in Australia : Identification of anisakid nematodes in commercially available fish species from south Australian Waters</t>
  </si>
  <si>
    <t>Diplomica Verlag</t>
  </si>
  <si>
    <t>Real Option Valuation of Product Innovation</t>
  </si>
  <si>
    <t>The Acquisition of Interjections in Early Childhood</t>
  </si>
  <si>
    <t>How Big Banks Fail and What to Do about It</t>
  </si>
  <si>
    <t>Language Learning in New English Contexts : Studies of Acquisition and Development</t>
  </si>
  <si>
    <t>Exile and Restoration Revisited : Essays on the Babylonian and Persian Periods in Memory of Peter R. Ackroyd</t>
  </si>
  <si>
    <t>Whose Childhood Is It? : The Roles of Children, Adults and Policy Makers</t>
  </si>
  <si>
    <t>Essay on Transcendental Philosophy</t>
  </si>
  <si>
    <t>Gilles Deleuze: Image and Text</t>
  </si>
  <si>
    <t>Special Educational Needs : A New Look</t>
  </si>
  <si>
    <t>Teaching Thinking Skills</t>
  </si>
  <si>
    <t>Key Terms in Second Language Acquisition</t>
  </si>
  <si>
    <t>Learning to Lead : Using Leadership Skills to Motivate Students</t>
  </si>
  <si>
    <t>School Management and Multi-Professional Partnerships</t>
  </si>
  <si>
    <t>Phenomenology of Intuition and Expression</t>
  </si>
  <si>
    <t>Continuum</t>
  </si>
  <si>
    <t>Extended Schools : A Guide to Making It Work</t>
  </si>
  <si>
    <t>The Citizenship Teacher's Handbook</t>
  </si>
  <si>
    <t>The Thinking Child : Brain-Based Learning for the Early Years Foundation Stage</t>
  </si>
  <si>
    <t>Effective Learning</t>
  </si>
  <si>
    <t>Leading the Leaders for the Future : A Transformational Opportunity</t>
  </si>
  <si>
    <t>Network Continuum Education</t>
  </si>
  <si>
    <t>Essentials for Successful English Language Teaching</t>
  </si>
  <si>
    <t>Translation Studies in Africa : Central Issues in Interpreting and Literary and Media Translation</t>
  </si>
  <si>
    <t>Language Ideologies and Media Discourse : Texts, Practices, Politics</t>
  </si>
  <si>
    <t>Creating Tomorrow's Schools Today : Education - Our Children - Their Futures</t>
  </si>
  <si>
    <t>Crossover City : Resources for Urban Mission and Transformation</t>
  </si>
  <si>
    <t>Bloomsbury Companion to Systemic Functional Linguistics</t>
  </si>
  <si>
    <t>Teaching Children to Listen : A Practical Approach to Developing Children's Listening Skills</t>
  </si>
  <si>
    <t>Contemporary Corpus Linguistics</t>
  </si>
  <si>
    <t>100 Ideas for Teaching Physical Development</t>
  </si>
  <si>
    <t>Making Assessment Matter</t>
  </si>
  <si>
    <t>Advanced Language Learning : The Contribution of Halliday and Vygotsky</t>
  </si>
  <si>
    <t>Literature in Second Language Education : Enhancing the Role of Texts in Learning</t>
  </si>
  <si>
    <t>The English Teacher's Handbook</t>
  </si>
  <si>
    <t>Shaping a New Educational Landscape : Exploring Possibilities for Education in the 21st Century</t>
  </si>
  <si>
    <t>How to Survive Your First Year in Teaching</t>
  </si>
  <si>
    <t>Women's Lives in Biblical Times</t>
  </si>
  <si>
    <t>Bloomsbury Academic &amp; Professional</t>
  </si>
  <si>
    <t>Value of Play</t>
  </si>
  <si>
    <t>Meeting the Needs of Gifted and Talented Students</t>
  </si>
  <si>
    <t>Bloomsbury Continuum</t>
  </si>
  <si>
    <t>Academic Discourse : English in a Global Context</t>
  </si>
  <si>
    <t>A Theology of Love</t>
  </si>
  <si>
    <t>Ethics of Metropolitan Growth : The Future of Our Built Environment</t>
  </si>
  <si>
    <t>Acoustic Territories : Sound Culture and Everyday Life</t>
  </si>
  <si>
    <t>Managing Very Challenging Behaviour 2nd Edition</t>
  </si>
  <si>
    <t>Teaching Critical Thinking Skills</t>
  </si>
  <si>
    <t>Key Terms in Philosophy of Mind</t>
  </si>
  <si>
    <t>Key Terms in Translation Studies</t>
  </si>
  <si>
    <t>Academic Writing and Plagiarism : A Linguistic Analysis</t>
  </si>
  <si>
    <t>Teaching Creativity : Multi-Mode Transitional Practices</t>
  </si>
  <si>
    <t>101 Great Philosophers : Makers of Modern Thought</t>
  </si>
  <si>
    <t>An Introduction to Religious and Spiritual Experience</t>
  </si>
  <si>
    <t>Literary Art in Digital Performance : Case Studies in New Media Art and Criticism</t>
  </si>
  <si>
    <t>Comparative Theories of Nonduality : The Search for a Middle Way</t>
  </si>
  <si>
    <t>100 Ideas for Teaching Literacy</t>
  </si>
  <si>
    <t>100 Ideas for Teaching Personal, Social and Emotional Development</t>
  </si>
  <si>
    <t>Planning for Educational Change : Putting People and Their Contexts First</t>
  </si>
  <si>
    <t>Inspired English Teaching : A Practical Guide for Teachers</t>
  </si>
  <si>
    <t>Rethinking Educational Leadership : From Improvement to Transformation</t>
  </si>
  <si>
    <t>Physicochemical Treatment Processes</t>
  </si>
  <si>
    <t>Clinical Virology</t>
  </si>
  <si>
    <t>Molecular Biotechnology : Principles and Applications of Recombinant DNA</t>
  </si>
  <si>
    <t>Cellular &amp; Molecular Biology of Filamentous Fungi</t>
  </si>
  <si>
    <t>Bacteriophage in the Control of Food- and Waterborne Pathogens</t>
  </si>
  <si>
    <t>Food Microbiology : An Introduction</t>
  </si>
  <si>
    <t>Virology : Molecular Biology and Pathogenesis</t>
  </si>
  <si>
    <t>Thoracic Malignancies</t>
  </si>
  <si>
    <t>Art and the Human Adventure : Andre´ Malraux's Theory of Art</t>
  </si>
  <si>
    <t>Climate and Climate Change</t>
  </si>
  <si>
    <t>The Objective Eye : Color, Form, and Reality in the Theory of Art</t>
  </si>
  <si>
    <t>After Life</t>
  </si>
  <si>
    <t>Campaign Finance Reform : The Political Shell Game</t>
  </si>
  <si>
    <t>Gramsci, Language, and Translation</t>
  </si>
  <si>
    <t>China's Rise in Historical Perspective</t>
  </si>
  <si>
    <t>U.S.-Chinese Relations : Perilous Past, Pragmatic Present</t>
  </si>
  <si>
    <t>A History of American Movies : A Film-by-Film Look at the Art, Craft, and Business of Cinema</t>
  </si>
  <si>
    <t>Applying Social Statistics : An Introduction to Quantitative Reasoning in Sociology</t>
  </si>
  <si>
    <t>Social Security Handbook 2010 : Overview of Social Security Programs</t>
  </si>
  <si>
    <t>Bernan Press</t>
  </si>
  <si>
    <t>Developing Preservice Problem-Solving Skills through Case Studies</t>
  </si>
  <si>
    <t>Artists, Patrons, and the Public : Why Culture Changes</t>
  </si>
  <si>
    <t>Mistakes in Academic Library Management : Grievous Errors and How to Avoid Them</t>
  </si>
  <si>
    <t>Education and Social Change : Connecting Local and Global Perspectives</t>
  </si>
  <si>
    <t>The Secular Visionaries : Aestheticism and New Zealand Short Fiction in the Twentieth Century</t>
  </si>
  <si>
    <t>Popular Avant-Garde</t>
  </si>
  <si>
    <t>Educational Management</t>
  </si>
  <si>
    <t>Quantitative Methods for Management and Economics</t>
  </si>
  <si>
    <t>Art of Reading and Speaking</t>
  </si>
  <si>
    <t>Accounting for Management</t>
  </si>
  <si>
    <t>Textile Spinning, Weaving and Designing</t>
  </si>
  <si>
    <t>Economics for Managers</t>
  </si>
  <si>
    <t>Management and Organisational Behaviour</t>
  </si>
  <si>
    <t>Human Resource Planning and Audit</t>
  </si>
  <si>
    <t>Service Marketing</t>
  </si>
  <si>
    <t>Assessment of the U.S. Environmental Protection Agency's National Environmental Performance Track Program</t>
  </si>
  <si>
    <t>Reflections on Baroque</t>
  </si>
  <si>
    <t>Constantin Brancusi</t>
  </si>
  <si>
    <t>China's Christian Colleges : Cross-Cultural Connections, 1900-1950</t>
  </si>
  <si>
    <t>(Re)Negotiating East and Southeast Asia : Region, Regionalism, and the Association of Southeast Asian Nations</t>
  </si>
  <si>
    <t>Multimedia : A Critical Introduction</t>
  </si>
  <si>
    <t>Cooking Club : Great Ideas and Delicious Recipes for Fabulous Get-Togethers</t>
  </si>
  <si>
    <t>Sasquatch Books</t>
  </si>
  <si>
    <t>Gender and Migration : Feminist Interventions</t>
  </si>
  <si>
    <t>Compassionate Life : Walking the Path of Kindness</t>
  </si>
  <si>
    <t>(In)vulnerable Domains in Multilingualism</t>
  </si>
  <si>
    <t>John Benjamins Publishing Company</t>
  </si>
  <si>
    <t>(Mis)Representing Islam : The racism and rhetoric of British broadsheet newspapers</t>
  </si>
  <si>
    <t>Acquisition in Interlanguage Pragmatics : Learning how to do things with words in a study abroad context</t>
  </si>
  <si>
    <t>Adverb Licensing and Clause Structure in English</t>
  </si>
  <si>
    <t>Agents of Translation</t>
  </si>
  <si>
    <t>Analogy as Structure and Process : Approaches in linguistics, cognitive psychology and philosophy of science</t>
  </si>
  <si>
    <t>Applied Cultural Linguistics : Implications for second language learning and intercultural communication</t>
  </si>
  <si>
    <t>Armenian : Modern Eastern Armenian</t>
  </si>
  <si>
    <t>Aspects of Meaning Construction</t>
  </si>
  <si>
    <t>Attention and Implicit Learning</t>
  </si>
  <si>
    <t>Beyond Descriptive Translation Studies : Investigations in homage to Gideon Toury</t>
  </si>
  <si>
    <t>Bilingual Lexicography from a Communicative Perspective</t>
  </si>
  <si>
    <t>Bilingual Sentence Processing : Relative clause attachment in English and Spanish</t>
  </si>
  <si>
    <t>Child Second Language Acquisition : A bi-directional study of English and Italian tense-aspect morphology</t>
  </si>
  <si>
    <t>Classical Spanish Drama in Restoration English (1660–1700)</t>
  </si>
  <si>
    <t>Codeswitching on the Web : English and Jamaican Creole in e-mail communication</t>
  </si>
  <si>
    <t>Cognitive English Grammar</t>
  </si>
  <si>
    <t>Cognitive Technologies and the Pragmatics of Cognition</t>
  </si>
  <si>
    <t>Confronting Metaphor in Use : An applied linguistic approach</t>
  </si>
  <si>
    <t>Connectivity in Grammar and Discourse</t>
  </si>
  <si>
    <t>Constraints in Discourse</t>
  </si>
  <si>
    <t>Constructional Reorganization</t>
  </si>
  <si>
    <t>Context and Appropriateness : Micro meets macro</t>
  </si>
  <si>
    <t>Contrastive Rhetoric : Reaching to intercultural rhetoric</t>
  </si>
  <si>
    <t>Copy Theory of Movement</t>
  </si>
  <si>
    <t>Coreference, Modality, and Focus : Studies on the syntax–semantics interface</t>
  </si>
  <si>
    <t>Corpora and Language Teaching</t>
  </si>
  <si>
    <t>Corpus-Based Perspectives in Linguistics</t>
  </si>
  <si>
    <t>Creative Compounding in English : The Semantics of Metaphorical and Metonymical Noun-Noun Combinations</t>
  </si>
  <si>
    <t>Critical Link 4 : Professionalisation of interpreting in the community. Selected papers from the 4th International Conference on Interpreting in Legal, Health and Social Service Settings, Stockholm, Sweden, 20-23 May 2004</t>
  </si>
  <si>
    <t>Cross-Linguistic Aspects of Processability Theory</t>
  </si>
  <si>
    <t>Cross-Linguistic Semantics</t>
  </si>
  <si>
    <t>Declarative and Procedural Determinants of Second Languages</t>
  </si>
  <si>
    <t>Developmental Psycholinguistics : On-line methods in children’s language processing</t>
  </si>
  <si>
    <t>Discourse and Power in a Multilingual World</t>
  </si>
  <si>
    <t>Discourse Constructions of Youth Identities</t>
  </si>
  <si>
    <t>Discourse of Child Counselling</t>
  </si>
  <si>
    <t>Discourse on the Move : Using corpus analysis to describe discourse structure</t>
  </si>
  <si>
    <t>Discourse, of Course : An overview of research in discourse studies</t>
  </si>
  <si>
    <t>Early Language Development : Bridging brain and behaviour</t>
  </si>
  <si>
    <t>Early Modern English News Discourse : Newspapers, pamphlets and scientific news discourse</t>
  </si>
  <si>
    <t>Electronic Discourse in Language Learning and Language Teaching</t>
  </si>
  <si>
    <t>Emotions, Ethics, and Authenticity</t>
  </si>
  <si>
    <t>Exploring Corpora for ESP Learning</t>
  </si>
  <si>
    <t>Finding Metaphor in Grammar and Usage : A methodological analysis of theory and research</t>
  </si>
  <si>
    <t>From Interaction to Symbol : A systems view of the evolution of signs and communication</t>
  </si>
  <si>
    <t>Functional Approaches to Culture and Translation : Selected papers by José Lambert</t>
  </si>
  <si>
    <t>Grammar–Pragmatics Interface : Essays in honor of Jeanette K. Gundel</t>
  </si>
  <si>
    <t>Grammatical Change and Linguistic Theory : The Rosendal papers</t>
  </si>
  <si>
    <t>Grammatical Constructions : Back to the roots</t>
  </si>
  <si>
    <t>History of the English Language</t>
  </si>
  <si>
    <t>Impoliteness in Interaction</t>
  </si>
  <si>
    <t>In Translation – Reflections, Refractions, Transformations : Reflections, Refractions, Transformations</t>
  </si>
  <si>
    <t>Information Structure and the Dynamics of Language Acquisition</t>
  </si>
  <si>
    <t>Intersubjective Mirror in Infant Learning and Evolution of Speech</t>
  </si>
  <si>
    <t>Introduction to Old Frisian : History, Grammar, Reader, Glossary</t>
  </si>
  <si>
    <t>Language of Business Studies Lectures : A corpus-assisted analysis</t>
  </si>
  <si>
    <t>Learning and Teaching Languages Through Content : A counterbalanced approach</t>
  </si>
  <si>
    <t>Lexical Cohesion and Corpus Linguistics</t>
  </si>
  <si>
    <t>Lexicon–Syntax Interface in Second Language Acquisition</t>
  </si>
  <si>
    <t>Locality and Information Structure : A cartographic approach to Japanese</t>
  </si>
  <si>
    <t>Memory, Psychology and Second Language Learning</t>
  </si>
  <si>
    <t>Mental Spaces in Discourse and Interaction</t>
  </si>
  <si>
    <t>Metadiscourse in L1 and L2 English</t>
  </si>
  <si>
    <t>Metalanguage of Translation</t>
  </si>
  <si>
    <t>Metaphors for Learning : Cross-cultural Perspectives</t>
  </si>
  <si>
    <t>Metapragmatics in Use</t>
  </si>
  <si>
    <t>Methods in Cognitive Linguistics</t>
  </si>
  <si>
    <t>Minimalist Syntax of Defective Domains : Gerunds and infinitives</t>
  </si>
  <si>
    <t>Multidisciplinary Approaches to Code Switching</t>
  </si>
  <si>
    <t>Multiple Wh-Fronting</t>
  </si>
  <si>
    <t>Narrative – State of the Art</t>
  </si>
  <si>
    <t>New Agenda in (Critical) Discourse Analysis : Theory, methodology and interdisciplinarity</t>
  </si>
  <si>
    <t>New Directions in Cognitive Linguistics</t>
  </si>
  <si>
    <t>Perspectives on Grammar Writing</t>
  </si>
  <si>
    <t>Phonology and Second Language Acquisition</t>
  </si>
  <si>
    <t>Preferred Argument Structure : Grammar as architecture for function</t>
  </si>
  <si>
    <t>Progressives, Patterns, Pedagogy : A corpus-driven approach to English progressive forms, functions, contexts and didactics</t>
  </si>
  <si>
    <t>Prolific Domains : On the Anti-Locality of movement dependencies</t>
  </si>
  <si>
    <t>Quality of Literature : Linguistic studies in literary evaluation</t>
  </si>
  <si>
    <t>Re/reading the past : Critical and functional perspectives on time and value</t>
  </si>
  <si>
    <t>Representational Deficits in SLA : Studies in honor of Roger Hawkins</t>
  </si>
  <si>
    <t>Second Language Acquisition of Articles : Empirical findings and theoretical implications</t>
  </si>
  <si>
    <t>Self-Preservation in Simultaneous Interpreting : Surviving the role</t>
  </si>
  <si>
    <t>Sociocultural Aspects of Translating and Interpreting</t>
  </si>
  <si>
    <t>Sociolinguistics of Narrative</t>
  </si>
  <si>
    <t>Speech Acts in the History of English</t>
  </si>
  <si>
    <t>Texture of Discourse : Towards an outline of connectivity theory</t>
  </si>
  <si>
    <t>Translation as a Profession</t>
  </si>
  <si>
    <t>Translation Studies at the Interface of Disciplines</t>
  </si>
  <si>
    <t>Vocalize to Localize</t>
  </si>
  <si>
    <t>World Englishes : Problems, Properties and Prospects</t>
  </si>
  <si>
    <t>Written Communication Across Cultures : A Sociocognitive Perspective on Business Discourse</t>
  </si>
  <si>
    <t>Chain of Being and Having in Slavic</t>
  </si>
  <si>
    <t>Research in Second Language Processing and Parsing</t>
  </si>
  <si>
    <t>Academic and Professional Discourse Genres in Spanish</t>
  </si>
  <si>
    <t>Adjectives : Formal analyses in syntax and semantics</t>
  </si>
  <si>
    <t>Appositive Relative Clauses in English : Discourse functions and competing structures</t>
  </si>
  <si>
    <t>Appraising Research in Second Language Learning : A practical approach to critical analysis of quantitative research. &lt;strong&gt;Second edition&lt;/strong&gt;</t>
  </si>
  <si>
    <t>Clause Linking and Clause Hierarchy : Syntax and pragmatics</t>
  </si>
  <si>
    <t>Cognitive Processing in Second Language Acquisition : Inside the learner's mind</t>
  </si>
  <si>
    <t>Experimental Methods in Language Acquisition Research</t>
  </si>
  <si>
    <t>Language, Gender and Sexual Identity : Poststructuralist perspectives</t>
  </si>
  <si>
    <t>Narrative Revisited : Telling a story in the age of new media</t>
  </si>
  <si>
    <t>New Horizons in the Neuroscience of Consciousness</t>
  </si>
  <si>
    <t>Processing of Events</t>
  </si>
  <si>
    <t>Representations and Othering in Discourse : The construction of Turkey in the EU context</t>
  </si>
  <si>
    <t>Why Translation Studies Matters</t>
  </si>
  <si>
    <t>Social Media Marketing : The Next Generation of Business Engagement</t>
  </si>
  <si>
    <t>Your Money Your Investment : Preserving and Growing Your Wealth in Good and Tough Times</t>
  </si>
  <si>
    <t>Marshall Cavendish International (Asia) Private Limited</t>
  </si>
  <si>
    <t>Marshall Cavendish Editions</t>
  </si>
  <si>
    <t>100 Great Presentation Ideas : From Successful Managers and Companies Around the World</t>
  </si>
  <si>
    <t>100 Great Cost Cutting Ideas : From Leading Companies Around the World</t>
  </si>
  <si>
    <t>Plunkett's Airline, Hotel &amp; Travel Industry Almanac 2011 : Airline, Hotel &amp; Travel Industry Market Research, Statistics, Trends &amp; Leading Companies</t>
  </si>
  <si>
    <t>Plunkett Research, Ltd.</t>
  </si>
  <si>
    <t>Best Food Writing 2010</t>
  </si>
  <si>
    <t>Da Capo Lifelong Books</t>
  </si>
  <si>
    <t>Feminism and Pop Culture : Seal Studies</t>
  </si>
  <si>
    <t>Seal Press</t>
  </si>
  <si>
    <t>Cities and Climate Change</t>
  </si>
  <si>
    <t>Higher Education Assessments : Leadership Matters</t>
  </si>
  <si>
    <t>Revisiting Dewey : Best Practices for Educating the Whole Child Today</t>
  </si>
  <si>
    <t>Educating Elites : Class Privilege and Educational Advantage</t>
  </si>
  <si>
    <t>Sondheim on Music : Minor Details and Major Decisions</t>
  </si>
  <si>
    <t>Historical Dictionary of Surrealism</t>
  </si>
  <si>
    <t>Convergence of Project Management and Knowledge Management</t>
  </si>
  <si>
    <t>Hiroshima : The Autobiography of Barefoot Gen</t>
  </si>
  <si>
    <t>Researching Education : Data, Methods and Theory in Educational Enquiry</t>
  </si>
  <si>
    <t>Parmenides, Plato and Mortal Philosophy : Return from Transcendence</t>
  </si>
  <si>
    <t>Freedom and Nature in Schelling's Philosophy of Art</t>
  </si>
  <si>
    <t>Reading the Dao : A Thematic Inquiry</t>
  </si>
  <si>
    <t>Senior Executive Reward : Key Models and Practices</t>
  </si>
  <si>
    <t>Handbook of Treatment Planning In Radiation Oncology</t>
  </si>
  <si>
    <t>Suburban Beijing : Housing and Consumption in Contemporary China</t>
  </si>
  <si>
    <t>Women and the Everyday City : Public Space in San Francisco, 1890-1915</t>
  </si>
  <si>
    <t>Academically Adrift : Limited Learning on College Campuses</t>
  </si>
  <si>
    <t>Technology Enhanced Learning and Cognition</t>
  </si>
  <si>
    <t>Digital Games and Learning</t>
  </si>
  <si>
    <t>Adam Smith</t>
  </si>
  <si>
    <t>Graphic Poetics : Poetry As Visual Art</t>
  </si>
  <si>
    <t>Effective Action Research : Developing Reflective Thinking and Practice</t>
  </si>
  <si>
    <t>Including and Supporting Learners of English As an Additional Language</t>
  </si>
  <si>
    <t>Testing English : Formative and Summative Approaches to English Assessment</t>
  </si>
  <si>
    <t>Analyzing Literature-To-Film Adaptations : A Novelist's Exploration and Guide</t>
  </si>
  <si>
    <t>The Ecology of Place : Contributions of Place-Based Research to Ecological Understanding</t>
  </si>
  <si>
    <t>Music in German Philosophy : An Introduction</t>
  </si>
  <si>
    <t>The Movement of Nihilism : Heidegger's Thinking after Nietzsche</t>
  </si>
  <si>
    <t>Successful Dissertations : The Complete Guide for Education and Childhood Studies Students</t>
  </si>
  <si>
    <t>Vygotsky and Special Needs Education : Rethinking Support for Children and Schools</t>
  </si>
  <si>
    <t>Education As a Global Concern</t>
  </si>
  <si>
    <t>The Concept of Justice : Is Social Justice Just?</t>
  </si>
  <si>
    <t>The Continuum Companion to Philosophy of Mind</t>
  </si>
  <si>
    <t>The University in Translation : Internationalizing Higher Education</t>
  </si>
  <si>
    <t>Cognitive Explorations of Translation : Eyes, Keys, Taps</t>
  </si>
  <si>
    <t>Education and Technology : Key Issues and Debates</t>
  </si>
  <si>
    <t>OECD Banking Statistics : Methodological Country Notes 2010</t>
  </si>
  <si>
    <t>Challenges for Agricultural Research</t>
  </si>
  <si>
    <t>Goethe Yearbook 18</t>
  </si>
  <si>
    <t>Boydell &amp; Brewer, Incorporated</t>
  </si>
  <si>
    <t>Camden House</t>
  </si>
  <si>
    <t>Shaping and Reshaping Chinese American Identity : New York's Chinese during the Depression and World War II</t>
  </si>
  <si>
    <t>Higher Education as a Field of Study in China : Defining Knowledge and Curriculum Structure</t>
  </si>
  <si>
    <t>Where Is My Home? : The Art and Life of the Russian-Jewish Sculptor Mark Antokolskii, 1843-1902</t>
  </si>
  <si>
    <t>The Standards-Based Digital School Leader Portfolio : Using TaskStream, LiveText, and PowerPoint</t>
  </si>
  <si>
    <t>The Opera Singer's Career Guide : Understanding the European Fach System</t>
  </si>
  <si>
    <t>Killing Me Softly : My Life in Music</t>
  </si>
  <si>
    <t>China's New Confucianism : Politics and Everyday Life in a Changing Society</t>
  </si>
  <si>
    <t>Formations of Violence : The Narrative of the Body and Political Terror in Northern Ireland</t>
  </si>
  <si>
    <t>Advanced Transport Phenomena : Fluid Mechanics and Convective Transport Processes</t>
  </si>
  <si>
    <t>Language Ideologies, Policies and Practices : Language and the Future of Europe</t>
  </si>
  <si>
    <t>Hybrid Cultures - Nervous States : Britain and Germany in a (Post)Colonial World</t>
  </si>
  <si>
    <t>Addressing Modernity : Social Systems Theory and U. S. Cultures</t>
  </si>
  <si>
    <t>Collective Creativity : Collaborative Work in the Sciences, Literature and the Arts</t>
  </si>
  <si>
    <t>Dynamic Approach to Second Language Development : Methods and techniques</t>
  </si>
  <si>
    <t>Effective Teaching</t>
  </si>
  <si>
    <t>Hodder Education Group</t>
  </si>
  <si>
    <t>Philip Allan</t>
  </si>
  <si>
    <t>Applying priming methods to L2 learning, teaching and research : Insights from Psycholinguistics</t>
  </si>
  <si>
    <t>Complex Predicates : The syntax-morphology interface</t>
  </si>
  <si>
    <t>Useful Research : Advancing Theory and Practice</t>
  </si>
  <si>
    <t>Arts and Humanities Academics in Schools : Mapping the Pedagogical Interface</t>
  </si>
  <si>
    <t>Paul As Missionary : Identity, Activity, Theology, and Practice</t>
  </si>
  <si>
    <t>Nozick's Libertarian Project : An Elaboration and Defense</t>
  </si>
  <si>
    <t>Education and Reconciliation : Exploring Conflict and Post-Conflict Situations</t>
  </si>
  <si>
    <t>British Prime Ministers and Democracy : From Disraeli to Blair</t>
  </si>
  <si>
    <t>Investigative Journalism in China : Journalism, Power, and Society</t>
  </si>
  <si>
    <t>Continuum Companion to Spinoza</t>
  </si>
  <si>
    <t>Mentoring in the Library : Building for the Future</t>
  </si>
  <si>
    <t>American Library Association</t>
  </si>
  <si>
    <t>Manual of Industrial Microbiology and Biotechnology</t>
  </si>
  <si>
    <t>Genomes of Foodborne and Waterborne Pathogens</t>
  </si>
  <si>
    <t>Molecular Microbiology : Diagnostic Principles and Practice</t>
  </si>
  <si>
    <t>Immune Response to Infection</t>
  </si>
  <si>
    <t>Bacterial Pathogenesis : a Molecular Approach</t>
  </si>
  <si>
    <t>Bacterial Stress Responses</t>
  </si>
  <si>
    <t>Alphaville : French Film Guide</t>
  </si>
  <si>
    <t>I. B. Tauris &amp; Company, Limited</t>
  </si>
  <si>
    <t>New Hollywood Cinema : An Introduction</t>
  </si>
  <si>
    <t>American Independent Cinema</t>
  </si>
  <si>
    <t>Spatial Conceptions of the Nation : Modernizing Geographies in Greece and Turkey</t>
  </si>
  <si>
    <t>Investigating Charmed : The Magic Power of TV</t>
  </si>
  <si>
    <t>Practice As Research : Approaches to Creative Arts Enquiry</t>
  </si>
  <si>
    <t>Investigating Alias : Secrets and Spies</t>
  </si>
  <si>
    <t>Investigating Firefly and Serenity : Science Fiction on the Frontier</t>
  </si>
  <si>
    <t>Makhmalbaf at Large : The Making of a Rebel Filmmaker</t>
  </si>
  <si>
    <t>Live Flesh : The Male Body in Contemporary Spanish Cinema</t>
  </si>
  <si>
    <t>The Sacred and the Feminine : Imagination and Sexual Difference</t>
  </si>
  <si>
    <t>Reading 'CSI' : Crime TV under the Microscope</t>
  </si>
  <si>
    <t>The New Orientalists : Postmodern Representations of Islam from Foucault to Baudrillard</t>
  </si>
  <si>
    <t>Islam and Secularism in Turkey : Kemalism, Religion and the Nation State</t>
  </si>
  <si>
    <t>Investigating 'Farscape' : Uncharted Territories of Sex and Science Fiction</t>
  </si>
  <si>
    <t>Art and War</t>
  </si>
  <si>
    <t>Hollywood Genres and Postwar America : Masculinity, Family and Nation in Popular Movies and Film Noir</t>
  </si>
  <si>
    <t>Hollywood's New Radicalism : War, Globalisation and the Movies from Reagan to George W. Bush</t>
  </si>
  <si>
    <t>Art and Science</t>
  </si>
  <si>
    <t>Artisans of Empire : Crafts and Craftspeople under the Ottomans</t>
  </si>
  <si>
    <t>The Art of Self Invention : Image and Identity in Popular Visual Culture</t>
  </si>
  <si>
    <t>Contemporary Art and Memory : Images of Recollection and Remembrance</t>
  </si>
  <si>
    <t>Hollywood Heroines : Women in Film Noir and the Female Gothic Film</t>
  </si>
  <si>
    <t>Makeover Television : Realities Remodelled</t>
  </si>
  <si>
    <t>The Art of the Sacred : An Introduction to the Aesthetics of Art and Belief</t>
  </si>
  <si>
    <t>Crime Wave : The Filmgoers' Guide to the Great Crime Movies</t>
  </si>
  <si>
    <t>Dracula : The British Film Guide 7</t>
  </si>
  <si>
    <t>Crime Watching : Investigating Real Crime TV</t>
  </si>
  <si>
    <t>Filming the Modern Middle East : Politics in the Cinemas of Hollywood and the Arab World</t>
  </si>
  <si>
    <t>The British in the Levant : Trade and Perceptions of the Ottoman Empire in the Eighteenth Century</t>
  </si>
  <si>
    <t>Between Sacred and Profane : Researching Religion and Popular Culture</t>
  </si>
  <si>
    <t>Art and Obscenity</t>
  </si>
  <si>
    <t>Elia Kazan : The Cinema of an American Outsider</t>
  </si>
  <si>
    <t>Traditional Buildings : A Global Survey of Structural Forms and Cultural Functions</t>
  </si>
  <si>
    <t>Charles Sheeler : Modernism, Precisionism and the Borders of Abstraction</t>
  </si>
  <si>
    <t>Helen Frankenthaler : Painting History, Writing Painting</t>
  </si>
  <si>
    <t>Iranian Cinema : A Political History</t>
  </si>
  <si>
    <t>Altered Memories of the Great War : Divergent Narratives of Britain, Australia, New Zealand and Canada</t>
  </si>
  <si>
    <t>Fashion As Photograph : Viewing and Reviewing Images of Fashion</t>
  </si>
  <si>
    <t>Black Narcissus : Turner Classic Movies British Film Guide</t>
  </si>
  <si>
    <t>Engaged with the Arts : Writings from the Frontline</t>
  </si>
  <si>
    <t>The Arts As a Weapon of War : Britain and the Shaping of National Morale in World War II</t>
  </si>
  <si>
    <t>Re-Viewing Television History : Critical Issues in Television Historiography</t>
  </si>
  <si>
    <t>The Happy Stripper : Pleasures and Politics of the New Burlesque</t>
  </si>
  <si>
    <t>Religion and Film : An Introduction</t>
  </si>
  <si>
    <t>The Young Turk Legacy and Nation Building : From the Ottoman Empire to Atatürk's Turkey</t>
  </si>
  <si>
    <t>Turkey : A Modern History</t>
  </si>
  <si>
    <t>Corporate Governance and Financial Reform in China's Transition Economy : In the Context of Globalization and Transition</t>
  </si>
  <si>
    <t>Hong Kong University Press</t>
  </si>
  <si>
    <t>Qualitative Inquiry and the Politics of Evidence</t>
  </si>
  <si>
    <t>Return to Alexandria : An Ethnography of Cultural Heritage Revivalism and Museum Memory</t>
  </si>
  <si>
    <t>Disaster Culture : Knowledge and Uncertainty in the Wake of Human and Environmental Catastrophe</t>
  </si>
  <si>
    <t>The Magic Children : Racial Identity at the End of the Age of Race</t>
  </si>
  <si>
    <t>Interpreting Landscapes : Geologies, Topographies, Identities; Explorations in Landscape Phenomenology 3</t>
  </si>
  <si>
    <t>A History of Ottoman Architecture</t>
  </si>
  <si>
    <t>Geographical Distribution of Financial Flows to Developing Countries 2011 : Disbursements, Commitments, Country Indicators</t>
  </si>
  <si>
    <t>City, Revisited : Urban Theory from Chicago, Los Angeles, and New York</t>
  </si>
  <si>
    <t>The AMA Handbook of Financial Risk Management</t>
  </si>
  <si>
    <t>Southeast Asia : Past and Present</t>
  </si>
  <si>
    <t>Westview Press</t>
  </si>
  <si>
    <t>The New Paradigm for Financial Markets : The Credit Crisis of 2008 and What It Means</t>
  </si>
  <si>
    <t>Becoming a Professional Tutor in the Lifelong Learning Sector</t>
  </si>
  <si>
    <t>Learning Matters</t>
  </si>
  <si>
    <t>Understanding Research for Nursing Students</t>
  </si>
  <si>
    <t>Contexts of Contemporary Nursing</t>
  </si>
  <si>
    <t>Critical Thinking and Writing for Nursing Students</t>
  </si>
  <si>
    <t>Nursing and Collaborative Practice : A guide to interprofessional learning and working</t>
  </si>
  <si>
    <t>Child Development for Early Childhood Studies</t>
  </si>
  <si>
    <t>Social Work with Drug and Substance Misusers</t>
  </si>
  <si>
    <t>Sport in the UK</t>
  </si>
  <si>
    <t>Applied Psychology for Social Work</t>
  </si>
  <si>
    <t>Information Skills for Education Students</t>
  </si>
  <si>
    <t>Communication and Interpersonal Skills for Nurses</t>
  </si>
  <si>
    <t>Doing your Research Project in Sport</t>
  </si>
  <si>
    <t>Research Methods in Sport</t>
  </si>
  <si>
    <t>Critical Learning for Social Work Students : A Student Guide</t>
  </si>
  <si>
    <t>Sport Sociology</t>
  </si>
  <si>
    <t>Positive and Trusting Relationships with Children in Early Years Settings</t>
  </si>
  <si>
    <t>Critical Thinking Skills for Education Students</t>
  </si>
  <si>
    <t>Experimental Pragmatics/Semantics</t>
  </si>
  <si>
    <t>Adjective Complementation : An empirical analysis of adjectives followed by &lt;i&gt;that&lt;/i&gt;-clauses</t>
  </si>
  <si>
    <t>Economic Aspects of Obesity</t>
  </si>
  <si>
    <t>Contemplating Violence : Critical Studies in Modern German Culture</t>
  </si>
  <si>
    <t>Becoming Asia : Change and Continuity in Asian International Relations since World War II</t>
  </si>
  <si>
    <t>Introductory Econometrics : Intuition, Proof, and Practice</t>
  </si>
  <si>
    <t>Stanford Economics &amp; Finance</t>
  </si>
  <si>
    <t>The Librarian As Information Consultant : Transforming Reference for the Information Age</t>
  </si>
  <si>
    <t>The Historian and the Bible : Essays in Honour of Lester L. Grabbe</t>
  </si>
  <si>
    <t>New Trends in Corpora and Language Learning</t>
  </si>
  <si>
    <t>Leadership in Post-Compulsory Education</t>
  </si>
  <si>
    <t>Developing Student Criticality in Higher Education : Undergraduate Learning in the Arts and Social Sciences</t>
  </si>
  <si>
    <t>Shakespeare and the Translation of Identity in Early Modern England</t>
  </si>
  <si>
    <t>Explorations in the Economics of Aging</t>
  </si>
  <si>
    <t>Heritage That Hurts : Tourists in the Memoryscapes of September 11</t>
  </si>
  <si>
    <t>Voice of the Past : Oral History</t>
  </si>
  <si>
    <t>Atlas : Global Resources for Persons with Intellectual Disabilities 2007</t>
  </si>
  <si>
    <t>Unsettling Narratives : Postcolonial Readings of Children's Literature</t>
  </si>
  <si>
    <t>Wilfrid Laurier University Press</t>
  </si>
  <si>
    <t>The Challenge of Children's Rights for Canada</t>
  </si>
  <si>
    <t>A Question of Commitment : Children's Rights in Canada</t>
  </si>
  <si>
    <t>Child Welfare : Connecting Research, Policy, and Practice</t>
  </si>
  <si>
    <t>WLU Press</t>
  </si>
  <si>
    <t>By Word of Mouth : The Poetry of Dennis Cooley</t>
  </si>
  <si>
    <t>Children in English-Canadian Society : Framing the Twentieth-Century Consensus</t>
  </si>
  <si>
    <t>Building Globalization : Transnational Architecture Production in Urban China</t>
  </si>
  <si>
    <t>Switching Codes : Thinking Through Digital Technology in the Humanities and the Arts</t>
  </si>
  <si>
    <t>Creativity in Primary Education</t>
  </si>
  <si>
    <t>Management and Organisations in Social Work</t>
  </si>
  <si>
    <t>Learning in Contemporary Culture</t>
  </si>
  <si>
    <t>Education Studies : An Issues-based Approach</t>
  </si>
  <si>
    <t>Behaviour for Learning in the Primary School</t>
  </si>
  <si>
    <t>Achieving your Masters in Teaching and Learning</t>
  </si>
  <si>
    <t>Learning Theory and Classroom Practice in the Lifelong Learning Sector</t>
  </si>
  <si>
    <t>Leadership and Management in Integrated Services</t>
  </si>
  <si>
    <t>Action and Appearance : Ethics and the Politics of Writing in Hannah Arendt</t>
  </si>
  <si>
    <t>A Critical Introduction to Translation Studies</t>
  </si>
  <si>
    <t>Ecomuseums : A Sense of Place</t>
  </si>
  <si>
    <t>Student Writing and Genre : Reconfiguring Academic Knowledge</t>
  </si>
  <si>
    <t>The Mood of Information : A Critique of Online Behavioural Advertising</t>
  </si>
  <si>
    <t>The Animated Film Encyclopedia : A Complete Guide to American Shorts, Features and Sequences, 1900-1979</t>
  </si>
  <si>
    <t>Criminalisation of Bribery in Asia and the Pacific : ADB/OECD Anti-Corruption Initiative for Asia and the Pacific</t>
  </si>
  <si>
    <t>National Accounts of OECD Countries : Financial Accounts 2010</t>
  </si>
  <si>
    <t>Art and Architecture in the Islamic Tradition : Aesthetics, Politics and Desire in Early Islam</t>
  </si>
  <si>
    <t>Ottoman Haifa : A History of Four Centuries under Turkish Rule</t>
  </si>
  <si>
    <t>Kurds of Modern Turkey : Migration, Neoliberalism and Exclusion in Turkish Society</t>
  </si>
  <si>
    <t>Identity and Turkish Foreign Policy : The Kemalist Influence in Cyprus and the Caucasus</t>
  </si>
  <si>
    <t>Art and the City</t>
  </si>
  <si>
    <t>Race and Antiracism in Black British and British Asian Literature</t>
  </si>
  <si>
    <t>Liverpool University Press</t>
  </si>
  <si>
    <t>The New Cultural Climate in Turkey : Living in a Shop Window</t>
  </si>
  <si>
    <t>The Business of Human Rights : An Evolving Agenda for Corporate Responsibility</t>
  </si>
  <si>
    <t>German and European Poetics after the Holocaust : Crisis and Creativity</t>
  </si>
  <si>
    <t>Making Requests by Chinese EFL Learners</t>
  </si>
  <si>
    <t>Classroom Assessment and Grading That Work</t>
  </si>
  <si>
    <t>Making Standards Useful in the Classroom</t>
  </si>
  <si>
    <t>Mirrors and Reflections : Processes of Systemic Supervision</t>
  </si>
  <si>
    <t>The Body of the Organisation and Its Health</t>
  </si>
  <si>
    <t>Telling Stories? : Attachment-Based Approaches to the Treatment of Psychosis</t>
  </si>
  <si>
    <t>Children's Dreams : From Freud's Observations to Modern Dream Research</t>
  </si>
  <si>
    <t>The Early Years of Life : Psychoanalytical Development Theory According to Freud, Klein, and Bion</t>
  </si>
  <si>
    <t>Being with Older People : A Systemic Approach</t>
  </si>
  <si>
    <t>The Groups Book : Psychoanalytic Group Therapy: Principles and Practice</t>
  </si>
  <si>
    <t>Technique in Child and Adolescent Analysis</t>
  </si>
  <si>
    <t>Enduring Loss : Mourning, Depression and Narcissism Throughout the Life Cycle</t>
  </si>
  <si>
    <t>No More Stress! : Be Your Own Stress Management Coach</t>
  </si>
  <si>
    <t>Play and Power</t>
  </si>
  <si>
    <t>Attachment and New Beginnings : Reflections on Psychoanalytic Therapy</t>
  </si>
  <si>
    <t>Knowing, Not-Knowing and Sort-Of-Knowing : Psychoanalysis and the Experience of Uncertainty</t>
  </si>
  <si>
    <t>The Philosophy of Cognitive-Behavioural Therapy (CBT) : Stoic Philosophy As Rational and Cognitive Psychotherapy</t>
  </si>
  <si>
    <t>Crossing Borders - Integrating Differences : Psychoanalytic Psychotherapy in Transition</t>
  </si>
  <si>
    <t>The Psychoanalytic Therapy of Severe Disturbance</t>
  </si>
  <si>
    <t>Help Yourself Towards Mental Health</t>
  </si>
  <si>
    <t>Good Feelings : Psychoanalytic Reflections on Positive Emotions and Attitudes</t>
  </si>
  <si>
    <t>Adaptation and Innovation : Theory, Design and Role-Taking in Group Relations Conferences and Their Applications</t>
  </si>
  <si>
    <t>The Art of Inspired Living : Coach Yourself with Positive Psychology</t>
  </si>
  <si>
    <t>Soul-Making : Interweaving Art and Analysis</t>
  </si>
  <si>
    <t>Sweet Sorrow : Love, Loss and Attachment in Human Life</t>
  </si>
  <si>
    <t>Coping Better with Chronic Fatigue Syndrome/Myalgic Encephalomyelitis : Cognitive Behaviour Therapy for CFS/ME</t>
  </si>
  <si>
    <t>Identity, Gender, and Sexuality : 150 Years after Freud</t>
  </si>
  <si>
    <t>Life and Art : The Creative Synthesis in Literature</t>
  </si>
  <si>
    <t>Attachment Therapy with Adolescents and Adults : Theory and Practice Post-Bowlby</t>
  </si>
  <si>
    <t>Karnac Books</t>
  </si>
  <si>
    <t>Emotion and the Psychodynamics of the Cerebellum : A Neuro-Psychoanalytic Analysis and Synthesis</t>
  </si>
  <si>
    <t>Siblings in Development : A Psychoanalytic View</t>
  </si>
  <si>
    <t>Child-Centred Attachment Therapy : The CcAT Programme</t>
  </si>
  <si>
    <t>Business Coaching International : Transforming Individuals and Organizations</t>
  </si>
  <si>
    <t>At Midnight in a Flaming Town</t>
  </si>
  <si>
    <t>The Injured Self : The Psychopathology and Psychotherapy of Developmental Deviations</t>
  </si>
  <si>
    <t>Child and Adolescent Psychotherapy</t>
  </si>
  <si>
    <t>Counselling .... Me? : A Guide to the Talking Therapies</t>
  </si>
  <si>
    <t>The Psychology of Aristotle, the Philosopher : A Psychoanalytic Therapist's Perspective</t>
  </si>
  <si>
    <t>Analytical Psychology : A Modern Science</t>
  </si>
  <si>
    <t>The Arthurian Tradition</t>
  </si>
  <si>
    <t>Aeon Books</t>
  </si>
  <si>
    <t>Recreation and Style : Translating humorous literature in Italian and English</t>
  </si>
  <si>
    <t>Faces of Aging : The Lived Experiences of the Elderly in Japan</t>
  </si>
  <si>
    <t>Melancholy and the Archive : Trauma, History and Memory in the Contemporary Novel</t>
  </si>
  <si>
    <t>Morality, Leadership, and Public Policy : On Experimentalism in Ethics</t>
  </si>
  <si>
    <t>Intertextuality</t>
  </si>
  <si>
    <t>The Novel Now : Contemporary British Fiction</t>
  </si>
  <si>
    <t>Geomarketing : Methods and Strategies in Spatial Marketing</t>
  </si>
  <si>
    <t>Wiley-ISTE</t>
  </si>
  <si>
    <t>Digital Signal and Image Processing Using MATLAB</t>
  </si>
  <si>
    <t>Ceramic Materials : Processes, Properties, and Applications</t>
  </si>
  <si>
    <t>Analysis and Control of Linear Systems</t>
  </si>
  <si>
    <t>Digital Filters Design for Signal and Image Processing</t>
  </si>
  <si>
    <t>Looking Back and Going Forward in IT</t>
  </si>
  <si>
    <t>Global Consumer Behavior</t>
  </si>
  <si>
    <t>Moodle for Dummies</t>
  </si>
  <si>
    <t>Doing Environmental Ethics</t>
  </si>
  <si>
    <t>Coaching in the Family Owned Business : A Path to Growth</t>
  </si>
  <si>
    <t>A Basic Theory of Neuropsychoanalysis</t>
  </si>
  <si>
    <t>The Power of Silence : Silent Communication in Daily Life</t>
  </si>
  <si>
    <t>Starting with Derrida : Plato, Aristotle and Hegel</t>
  </si>
  <si>
    <t>The Death of a Child</t>
  </si>
  <si>
    <t>Landscape in Language : Transdisciplinary perspectives</t>
  </si>
  <si>
    <t>Linguistic Theory and Empirical Evidence</t>
  </si>
  <si>
    <t>Structure and Properties of Crosslinked Polymers</t>
  </si>
  <si>
    <t>Art Outside the Lines : New Perspectives on GDR Art Culture</t>
  </si>
  <si>
    <t>Language Contact in Times of Globalization</t>
  </si>
  <si>
    <t>Colour in Art, Design and Nature</t>
  </si>
  <si>
    <t>Growing an Entrepreneurial Business : Concepts and Cases</t>
  </si>
  <si>
    <t>Stanford Business Books</t>
  </si>
  <si>
    <t>Higher Education and Democracy : Essays on Service-Learning and Civic Engagement</t>
  </si>
  <si>
    <t>Philosophy of Language: the Key Thinkers</t>
  </si>
  <si>
    <t>Foucault and Theology</t>
  </si>
  <si>
    <t>OECD Reviews of Regional Innovation Regions and Innovation Policy : Regions and Innovation Policy</t>
  </si>
  <si>
    <t>Art and Institution : Aesthetics in the Late Works of Merleau-Ponty</t>
  </si>
  <si>
    <t>Personality Pathology : Developmental Perspectives</t>
  </si>
  <si>
    <t>Trauma, Torture and Dissociation : A Psychoanalytic View</t>
  </si>
  <si>
    <t>Understanding Rock : Essays in Musical Analysis</t>
  </si>
  <si>
    <t>Art of Dialectic between Dialogue and Rhetoric : The Aristotelian Tradition</t>
  </si>
  <si>
    <t>Nominalization in Asian Languages : Diachronic and typological perspectives</t>
  </si>
  <si>
    <t>Academies and Educational Reform : Governance, Leadership and Strategy</t>
  </si>
  <si>
    <t>The Intercultural Dynamics of Multicultural Working : Myths of Progress in a Neocolonial World</t>
  </si>
  <si>
    <t>Festival Places : Revitalising Rural Australia</t>
  </si>
  <si>
    <t>Accessible Tourism : Concepts and Issues</t>
  </si>
  <si>
    <t>Ethnographic Fieldwork : A Beginner's Guide</t>
  </si>
  <si>
    <t>Constructing Cultural Tourism : John Ruskin and the Tourist Gaze</t>
  </si>
  <si>
    <t>Authenticating Ethnic Tourism</t>
  </si>
  <si>
    <t>Color Atlas of Pediatric Pathology</t>
  </si>
  <si>
    <t>The Tavistock Model : Papers on Child Development and Psychoanalytic Training</t>
  </si>
  <si>
    <t>Harris Meltzer Trust</t>
  </si>
  <si>
    <t>Much Ado About English : Up and Down the Bizarre Byways of a Fascinating Language</t>
  </si>
  <si>
    <t>Nicholas Brealey Publishing</t>
  </si>
  <si>
    <t>The Sneaky Chef to the Rescue : 101 All-New Recipes and Sneaky Tricks for Creating Healthy Meals Kids Will Love</t>
  </si>
  <si>
    <t>Auditing Your Human Resources Department : A Step-By-Step Guide to Assessing the Key Areas of Your Program</t>
  </si>
  <si>
    <t>The Innovation Killer : How What We Know Limits What We Can Imagine- And What Smart Companies Are Doing about It</t>
  </si>
  <si>
    <t>Becoming Human : From pointing gestures to syntax</t>
  </si>
  <si>
    <t>Causatives in Minimalism</t>
  </si>
  <si>
    <t>Mathematics Education with Digital Technology</t>
  </si>
  <si>
    <t>Corpus-Based Translation Studies : Research and Applications</t>
  </si>
  <si>
    <t>Mobile Urbanism : Cities and Policymaking in the Global Age</t>
  </si>
  <si>
    <t>Digital Art and Meaning : Reading Kinetic Poetry, Text Machines, Mapping Art, and Interactive Installations</t>
  </si>
  <si>
    <t>Fallout Shelter : Designing for Civil Defense in the Cold War</t>
  </si>
  <si>
    <t>Global Citizenship and the University : Advancing Social Life and Relations in an Interdependent World</t>
  </si>
  <si>
    <t>Telecinematic Discourse : Approaches to the language of films and television series</t>
  </si>
  <si>
    <t>Where Do Phonological Features Come From? : Cognitive, Physical and Developmental Bases of Distinctive Speech Categories</t>
  </si>
  <si>
    <t>Modern Optics And Photonics: Atoms And Structured Media</t>
  </si>
  <si>
    <t>Cognitive Approaches to Tense, Aspect, and Epistemic Modality</t>
  </si>
  <si>
    <t>Polysaccharides in Medicinal and Pharmaceutical Applications</t>
  </si>
  <si>
    <t>On the Edge of the Global : Modern Anxieties in a Pacific Island Nation</t>
  </si>
  <si>
    <t>Transfigured Stages : Major Practitioners and Theatre Aesthetics in Australia</t>
  </si>
  <si>
    <t>Creating the National Mosaic : Multiculturalism in Canadian Children¿s Literature from 1950 To 1994</t>
  </si>
  <si>
    <t>Organizational Behavior 6 : Integrated Theory Development and the Role of the Unconscious</t>
  </si>
  <si>
    <t>Marxism's Ethical Thinkers</t>
  </si>
  <si>
    <t>Romantic Medievalism : History and the Romantic Literary Ideal</t>
  </si>
  <si>
    <t>Unbalanced: A View From The Vestibule - Schizophrenia And Hyperattention</t>
  </si>
  <si>
    <t>Distance Psychoanalysis : The Theory and Practice of Using Communication Technology in the Clinic</t>
  </si>
  <si>
    <t>The Kurds of Iraq : Nationalism and Identity in Iraqi Kurdistan</t>
  </si>
  <si>
    <t>Afghanistan and the Defence of Empire : Diplomacy and Strategy During the Great Game</t>
  </si>
  <si>
    <t>Political Economies of Media : The Transformation of the Global Media Industries</t>
  </si>
  <si>
    <t>Advanced Java EE Development for Rational Application Developer 7.5 : Developers' Guidebook</t>
  </si>
  <si>
    <t>MC Press</t>
  </si>
  <si>
    <t>Architecture of Thought</t>
  </si>
  <si>
    <t>Entrepreneurial Finance : Strategy, Valuation, and Deal Structure</t>
  </si>
  <si>
    <t>Understanding Long-Run Economic Growth : Geography, Institutions, and the Knowledge Economy</t>
  </si>
  <si>
    <t>Jewish and Christian Scriptures : The Function of 'Canonical' and 'Non-Canonical' Religious Texts</t>
  </si>
  <si>
    <t>Supporting Deaf Children and Young People : Strategies for Intervention, Inclusion and Improvement</t>
  </si>
  <si>
    <t>Sustaining Fictions : Intertextuality, Midrash, Translation, and the Literary Afterlife of the Bible</t>
  </si>
  <si>
    <t>Communication in Modern Social Ordering : History and Philosophy</t>
  </si>
  <si>
    <t>Morphology in English : Word Formation in Cognitive Grammar</t>
  </si>
  <si>
    <t>Teaching Happiness and Well-Being in Schools : Learning to Ride Elephants</t>
  </si>
  <si>
    <t>On Conditionals in the Greek Pentateuch : A Study of Translation Syntax</t>
  </si>
  <si>
    <t>The Ethics of Care : A Feminist Approach to Human Security</t>
  </si>
  <si>
    <t>The Sociology of Architecture : Constructing Identities</t>
  </si>
  <si>
    <t>What's Law Got to Do with It? : What Judges Do, Why They Do It, and What's at Stake</t>
  </si>
  <si>
    <t>Morphology and its Interfaces</t>
  </si>
  <si>
    <t>The Clinical Application of the Theory of Psychoanalysis</t>
  </si>
  <si>
    <t>The Life and Death of Psychoanalysis</t>
  </si>
  <si>
    <t>Aggression : From Fantasy to Action</t>
  </si>
  <si>
    <t>Encountering the Chinese : A Modern Country, An Ancient Culture</t>
  </si>
  <si>
    <t>Intercultural Press</t>
  </si>
  <si>
    <t>50 Prosperity Classics : Attract It, Create It, Manage It, Share It : Wisdom from the Best Books on Wealth Creation and Abundance</t>
  </si>
  <si>
    <t>Breaking Through the Noise : Presidential Leadership, Public Opinion, and the News Media</t>
  </si>
  <si>
    <t>Fashion and Music</t>
  </si>
  <si>
    <t>On Critical Pedagogy</t>
  </si>
  <si>
    <t>The Teachers' Animation Toolkit</t>
  </si>
  <si>
    <t>1 Henry IV : A Critical Guide</t>
  </si>
  <si>
    <t>The Crises of Multiculturalism : Racism in a Neoliberal Age</t>
  </si>
  <si>
    <t>The New Maids : Transnational Women and the Care Economy</t>
  </si>
  <si>
    <t>The Women, Gender and Development Reader</t>
  </si>
  <si>
    <t>Approach to Translation Criticism : &lt;i&gt;Emma&lt;/i&gt; and &lt;i&gt;Madame Bovary&lt;/i&gt; in translation</t>
  </si>
  <si>
    <t>Interpreters in Early Imperial China</t>
  </si>
  <si>
    <t>A Dictionary of Philosophy of Religion</t>
  </si>
  <si>
    <t>School Improvement Through Drama : A creative whole class, whole school approach</t>
  </si>
  <si>
    <t>Jesus, a Jewish Galilean : A New Reading of the Jesus Story</t>
  </si>
  <si>
    <t>Sartre's 'Being and Nothingness' : A Reader's Guide</t>
  </si>
  <si>
    <t>The Art and Design Teacher's Handbook</t>
  </si>
  <si>
    <t>21st-Century Diplomacy : A Practitioner's Guide</t>
  </si>
  <si>
    <t>America Through the Eyes of China and India : Television, Identity, and Intercultural Communication in a Changing World</t>
  </si>
  <si>
    <t>Your Writing Coach : From Concept to Character, from Pitch to Publication Â Everything You Need to Know About Writing Novels, Non-fiction, New Media, Scripts and Short Stories</t>
  </si>
  <si>
    <t>Speak Easy : 52 brilliant ideas for giving stunning speeches</t>
  </si>
  <si>
    <t>Second Language Task Complexity : Researching the Cognition Hypothesis of language learning and performance</t>
  </si>
  <si>
    <t>Lipid Nanocarriers in Cancer Diagnosis and Therapy</t>
  </si>
  <si>
    <t>Student Nurse Guide To Decision Making In Practice</t>
  </si>
  <si>
    <t>The Real Wealth of Nations : Creating a Caring Economics</t>
  </si>
  <si>
    <t>Salsa, Soul, and Spirit : Leadership for a Multicultural Age</t>
  </si>
  <si>
    <t>A History of Japanese Buddhism</t>
  </si>
  <si>
    <t>Global Oriental</t>
  </si>
  <si>
    <t>Moving Toward Positive Systems of Child and Family Welfare : Current Issues and Future Directions</t>
  </si>
  <si>
    <t>Philosophical Hermeneutics Reinterpreted : Dialogues with Existentialism, Pragmatism, Critical Theory and Postmodernism</t>
  </si>
  <si>
    <t>Confucius, the Analects and Western Education</t>
  </si>
  <si>
    <t>Children's Literature in Context : Children's Literature In Context</t>
  </si>
  <si>
    <t>Childhood Depression : A Place for Psychotherapy</t>
  </si>
  <si>
    <t>Psyche and Brain : The Biology of Talking Cures</t>
  </si>
  <si>
    <t>Adaptive Sampling with Mobile WSN : Simultaneous Robot Localisation and Mapping of Paramagnetic Spatio-Temporal Fields</t>
  </si>
  <si>
    <t>Scenarios for a Future Electricity Supply : Cost-Optimised Variations on Supplying Europe and Its Neighbours with Electricity from Renewable Energies</t>
  </si>
  <si>
    <t>Standard Codecs : Image Compression to Advanced Video Coding</t>
  </si>
  <si>
    <t>American Consumer Culture and its Society: From F. Scott Fitzgerald`s 1920s Modernism to Bret Easton Ellis`1980s Blank Fiction</t>
  </si>
  <si>
    <t>10 Simple Solutions for Building Self-Esteem : How to End Self-Doubt, Gain Confidence, and Create a Positive Self-Image</t>
  </si>
  <si>
    <t>New Harbinger Publications</t>
  </si>
  <si>
    <t>ACT with Love : Stop Struggling, Reconcile Differences, and Strengthen Your Relationship with Acceptance and Commitment Therapy</t>
  </si>
  <si>
    <t>Cool, Calm, and Confident : A Workbook to Help Kids Learn Assertiveness Skills</t>
  </si>
  <si>
    <t>Instant Help Books</t>
  </si>
  <si>
    <t>Emotional Fitness for Intimacy : Sweeten and Deepen Your Love in Only 10 Minutes a Day</t>
  </si>
  <si>
    <t>Building in Research and Evaluation : Human Inquiry for Living Systems</t>
  </si>
  <si>
    <t>Landscapes of the Dark : History, Trauma, Psychoanalysis</t>
  </si>
  <si>
    <t>Accessorizing the Body : Habits of Being I</t>
  </si>
  <si>
    <t>Animal Welfare and Meat Production,</t>
  </si>
  <si>
    <t>Adventure Tourism,</t>
  </si>
  <si>
    <t>Learning-to-Write and Writing-to-Learn in an Additional Language</t>
  </si>
  <si>
    <t>Education at a Glance 2011 : OECD Indicators</t>
  </si>
  <si>
    <t>Historic English Churches : A Guide to Their Construction, Design and Features</t>
  </si>
  <si>
    <t>Traditional Buildings of the English Countryside : An Illustrated Guide</t>
  </si>
  <si>
    <t>High-Performance Government : Structure, Leadership, Incentives</t>
  </si>
  <si>
    <t>Analysis of Healthcare Interventions that Change Patient Trajectories</t>
  </si>
  <si>
    <t>Choices Women Make : Agency in Domestic Violence, Assisted Reproduction, and Sex Work</t>
  </si>
  <si>
    <t>Transit of Empire : Indigenous Critiques of Colonialism</t>
  </si>
  <si>
    <t>Methods and Strategies of Process Research : Integrative approaches in Translation Studies</t>
  </si>
  <si>
    <t>Referring Expressions in English and Japanese : Patterns of use in dialogue processing</t>
  </si>
  <si>
    <t>Racism and Cultural Diversity : Cultivating Racial Harmony Through Counselling, Group Analysis, and Psychotherapy</t>
  </si>
  <si>
    <t>Images in Use : Towards the critical analysis of visual communication</t>
  </si>
  <si>
    <t>The Enigma of the Suicide Bomber : A Psychoanalytic Essay</t>
  </si>
  <si>
    <t>The Essential Science Fiction Television Reader</t>
  </si>
  <si>
    <t>University Press of Kentucky</t>
  </si>
  <si>
    <t>Narnia and the Fields of Arbol : The Environmental Vision of C. S. Lewis</t>
  </si>
  <si>
    <t>Reconstructing American Historical Cinema : From Cimarron to Citizen Kane</t>
  </si>
  <si>
    <t>A Coat of Many Colors : Religion and Society along the Cape Fear River of North Carolina</t>
  </si>
  <si>
    <t>The Philosophy of the Coen Brothers</t>
  </si>
  <si>
    <t>Being Hal Ashby : Life of a Hollywood Rebel</t>
  </si>
  <si>
    <t>Hollywood's West : The American Frontier in Film, Television, and History</t>
  </si>
  <si>
    <t>The Art and Craft of Pedagogy : Portraits of Effective Teachers</t>
  </si>
  <si>
    <t>Aesthetic Afterlives : Irony, Literary Modernity and the Ends of Beauty</t>
  </si>
  <si>
    <t>Demystifying Disney : A History of Disney Feature Animation</t>
  </si>
  <si>
    <t>Continuum Companion to Ethics</t>
  </si>
  <si>
    <t>Empathy in Education : Engagement, Values and Achievement</t>
  </si>
  <si>
    <t>Pedagogy, Oppression and Transformation in a 'Post-Critical' Climate : The Return of Freirean Thinking</t>
  </si>
  <si>
    <t>Comparative Indo-European Linguistics : An introduction. &lt;strong&gt;Second edition&lt;/strong&gt;</t>
  </si>
  <si>
    <t>Emergent Literacy : Children's books from 0 to 3</t>
  </si>
  <si>
    <t>Cognitive Linguistics : Convergence and Expansion</t>
  </si>
  <si>
    <t>The German Picaro and Modernity : Between Underdog and Shape-Shifter</t>
  </si>
  <si>
    <t>Economic Policy and Human Rights : Holding Governments to Account</t>
  </si>
  <si>
    <t>Adolescence : Talks and Papers by Donald Meltzer and Martha Harris</t>
  </si>
  <si>
    <t>Christian Apologetics As Cross-Cultural Dialogue : Religious Witness as Cross-Cultural Dialogue</t>
  </si>
  <si>
    <t>Critical Pedagogy for Social Justice</t>
  </si>
  <si>
    <t>Nexus : Essays In German Jewish Studies: Nexus 1: Essays In German Jewish Studies</t>
  </si>
  <si>
    <t>OECD Studies on Environmental Innovation Invention and Transfer of Environmental Technologies</t>
  </si>
  <si>
    <t>Organization for Economic Co-operation and Development (OECD)</t>
  </si>
  <si>
    <t>100 Great Copywriting Ideas : From leading companies around the world</t>
  </si>
  <si>
    <t>Marshall Cavendish Edition</t>
  </si>
  <si>
    <t>100 Great Marketing Ideas : From leading companies around the world</t>
  </si>
  <si>
    <t>100 Great PR Ideas : From leading companies around the world</t>
  </si>
  <si>
    <t>100 Great Sales Ideas (New Ed) : From leading companies around the world</t>
  </si>
  <si>
    <t>100 Great Time Management Ideas : From leading companies around the world</t>
  </si>
  <si>
    <t>Red Wired : China’s Internet revolution</t>
  </si>
  <si>
    <t>Copywriting Sourcebook : How to write better copy, faster  for everything from ads to websites</t>
  </si>
  <si>
    <t>Advances in Interpreting Research : Inquiry in action</t>
  </si>
  <si>
    <t>Psychodynamic Coaching : Focus and Depth</t>
  </si>
  <si>
    <t>Art of Translation</t>
  </si>
  <si>
    <t>Converging Evidence : Methodological and theoretical issues for linguistic research</t>
  </si>
  <si>
    <t>America's Corporate Art : The Studio Authorship of Hollywood Motion Pictures</t>
  </si>
  <si>
    <t>Messages : The Communication Skills Book</t>
  </si>
  <si>
    <t>Virgil and the Augustan Reception</t>
  </si>
  <si>
    <t>Shattered States : Disorganised Attachment and Its Repair</t>
  </si>
  <si>
    <t>Addictive Personalities and Why People Take Drugs : The Spike and the Moon</t>
  </si>
  <si>
    <t>Disciplining the Poor : Neoliberal Paternalism and the Persistent Power of Race</t>
  </si>
  <si>
    <t>Design Patterns in Fluid Construction Grammar</t>
  </si>
  <si>
    <t>Yearbook of Labour Statistics : Time Series</t>
  </si>
  <si>
    <t>International Labour Office</t>
  </si>
  <si>
    <t>British Qualifications 2012 : A Complete Guide to Professional, Vocational &amp; Academic Qualifications in the United Kingdom</t>
  </si>
  <si>
    <t>Addiction and Change : How Addictions Develop and Addicted People Recover</t>
  </si>
  <si>
    <t>New Frontiers in Human-robot Interaction</t>
  </si>
  <si>
    <t>Teaching and Learning Terminology : New Strategies and Methods</t>
  </si>
  <si>
    <t>Against Ecological Sovereignty : Ethics, Biopolitics, and Saving the Natural World</t>
  </si>
  <si>
    <t>If Memory Serves : Gay Men, AIDS, and the Promise of the Queer Past</t>
  </si>
  <si>
    <t>Surface Encounters : Thinking with Animals and Art</t>
  </si>
  <si>
    <t>Narrating Indigenous Modernities : Transcultural Dimensions in Contemporary Māori Literature</t>
  </si>
  <si>
    <t>The Search for a Theory of Cognition : Early Mechanisms and New Ideas</t>
  </si>
  <si>
    <t>Personal development for learning disability workers</t>
  </si>
  <si>
    <t>Duty of care for learning disability workers</t>
  </si>
  <si>
    <t>What is Youth Work?</t>
  </si>
  <si>
    <t>Sport Studies</t>
  </si>
  <si>
    <t>Sport Management</t>
  </si>
  <si>
    <t>Health, Behaviour and Society: Clinical Medicine in Context</t>
  </si>
  <si>
    <t>Policy and Strategy for Improving Health and Wellbeing</t>
  </si>
  <si>
    <t>Early Years Work-Based Learning</t>
  </si>
  <si>
    <t>Creating the Therapeutic Relationship in Counselling and Psychotherapy</t>
  </si>
  <si>
    <t>Information Skills for Nursing Students</t>
  </si>
  <si>
    <t>Teaching Primary Art and Design</t>
  </si>
  <si>
    <t>Medicines Management in Adult Nursing</t>
  </si>
  <si>
    <t>What is Nursing? Exploring Theory and Practice : Exploring Theory and Practice</t>
  </si>
  <si>
    <t>Counselling and Psychotherapy in Organisational Settings</t>
  </si>
  <si>
    <t>Success with your Education Research Project</t>
  </si>
  <si>
    <t>Sport and Exercise Science</t>
  </si>
  <si>
    <t>Spiritual Tourism : Travel and Religious Practice in Western Society</t>
  </si>
  <si>
    <t>Globalisation, Comparative Advantage and the Changing Dynamics of Trade</t>
  </si>
  <si>
    <t>Freudian Repression, the Unconscious, and the Dynamics of Inhibition</t>
  </si>
  <si>
    <t>Regulation in Action : The Health Professions Council Fitness to Practise Hearing of Dr Malcolm Cross - Analysis, History, and Comment</t>
  </si>
  <si>
    <t>Why Can't I Help This Child to Learn? : Understanding Emotional Barriers to Learning</t>
  </si>
  <si>
    <t>Broken Bounds : Contemporary Reflections on the Antisocial Tendency</t>
  </si>
  <si>
    <t>Essential Questions to Ask When Buying a House in France : And How to Ask Them</t>
  </si>
  <si>
    <t>Social Work with People with Learning Difficulties</t>
  </si>
  <si>
    <t>Alternative and Mainstream Media : The Converging Spectrum</t>
  </si>
  <si>
    <t>Understanding Costs and Outcomes in Child Welfare Services : A Comprehensive Costing Approach to Managing Your Resources</t>
  </si>
  <si>
    <t>Advanced Control for Constrained Processes and Systems</t>
  </si>
  <si>
    <t>Energy Storage for Power Systems</t>
  </si>
  <si>
    <t>Autonomous Ground Vehicles</t>
  </si>
  <si>
    <t>Artech House Publishers</t>
  </si>
  <si>
    <t>Institutional Change and Economic Development</t>
  </si>
  <si>
    <t>United Nations University Press</t>
  </si>
  <si>
    <t>Land Matters : Landscape Photography, Culture and Identity</t>
  </si>
  <si>
    <t>Nationalism and Identity in Romania : A History of Extreme Politics from the Birth of the State to EU Accession</t>
  </si>
  <si>
    <t>Religion in Environmental and Climate Change : Suffering, Values, Lifestyles</t>
  </si>
  <si>
    <t>Gender and Religion, 2nd Edition : The Dark Side of Scripture</t>
  </si>
  <si>
    <t>Plato, Politics and a Practical Utopia : Social Constructivism and Civic Planning in The 'Laws'</t>
  </si>
  <si>
    <t>How Literature Changes the Way We Think</t>
  </si>
  <si>
    <t>Transgression 2. 0 : Media, Culture, and the Politics of a Digital Age</t>
  </si>
  <si>
    <t>Words, Images and Performances in Translation</t>
  </si>
  <si>
    <t>An a to Z of Critical Thinking</t>
  </si>
  <si>
    <t>Creating a Healthy School Using the Healthy School Report Card, Canadian : An ASCD Action Tool</t>
  </si>
  <si>
    <t>Causality and Connectives : From Grice to Relevance</t>
  </si>
  <si>
    <t>Dialogue, Science and Academic Writing</t>
  </si>
  <si>
    <t>Task-based Language Teaching from the Teacher's Perspective : Insights from New Zealand</t>
  </si>
  <si>
    <t>Body Memory, Metaphor and Movement</t>
  </si>
  <si>
    <t>English in Southeast Asia : Features, Policy and Language in Use</t>
  </si>
  <si>
    <t>A Grammar and Dictionary of the Timucua Language</t>
  </si>
  <si>
    <t>Contemporary Cases in Tourism</t>
  </si>
  <si>
    <t>Goodfellow Publishers, Limited</t>
  </si>
  <si>
    <t>Corporations and Cultural Industries : Time Warner, Bertelsmann, and News Corporation</t>
  </si>
  <si>
    <t>Religion in Criminal Justice</t>
  </si>
  <si>
    <t>LFB Scholarly Publishing LLC</t>
  </si>
  <si>
    <t>Illegitimate Practices : Global English Language Education</t>
  </si>
  <si>
    <t>Rethinking Bilingual Education in Postcolonial Contexts</t>
  </si>
  <si>
    <t>The Acquisition of L2 Phonology</t>
  </si>
  <si>
    <t>Welcoming Linguistic Diversity in Early Childhood Classrooms : Learning from International Schools</t>
  </si>
  <si>
    <t>Language Policy for the Multilingual Classroom : Pedagogy of the Possible</t>
  </si>
  <si>
    <t>The British on Holiday : Charter Tourism, Identity and Consumption</t>
  </si>
  <si>
    <t>Reflections on Translation</t>
  </si>
  <si>
    <t>Speaking and Instructed Foreign Language Acquisition</t>
  </si>
  <si>
    <t>Immersion Education : Practices, Policies, Possibilities</t>
  </si>
  <si>
    <t>L2 Interactional Competence and Development</t>
  </si>
  <si>
    <t>Lexical Errors and Accuracy in Foreign Language Writing</t>
  </si>
  <si>
    <t>Language and Learning in the International University : From English Uniformity to Diversity and Hybridity</t>
  </si>
  <si>
    <t>Discourse, Identity, and China's Internal Migration : The Long March to the City</t>
  </si>
  <si>
    <t>Sport Tourism Development</t>
  </si>
  <si>
    <t>Social Justice Language Teacher Education</t>
  </si>
  <si>
    <t>A. N. Whitehead and Social Theory : Tracing a Culture of Thought</t>
  </si>
  <si>
    <t>Anthem Press</t>
  </si>
  <si>
    <t>Applied Ethics and Human Rights : Conceptual Analysis and Contextual Applications</t>
  </si>
  <si>
    <t>Citizenship and Statelessness in Sri Lanka : The Case of the Tamil Estate Workers</t>
  </si>
  <si>
    <t>Creating Irish Tourism : The First Century, 1750-1850</t>
  </si>
  <si>
    <t>Developing Qualifications Frameworks in EU Partner Countries : Modernising Education and Training</t>
  </si>
  <si>
    <t>ICTs and Development in India : Perspectives on the Rural Network Society</t>
  </si>
  <si>
    <t>The City as Fulcrum of Global Sustainability</t>
  </si>
  <si>
    <t>Mathematics And The Natural Sciences: The Physical Singularity Of Life</t>
  </si>
  <si>
    <t>Political Parties, Party Systems And Democratization In East Asia</t>
  </si>
  <si>
    <t>Invitation To Q-series, An: From Jacobi's Triple Product Identity To Ramanujan's "Most Beautiful Identity"</t>
  </si>
  <si>
    <t>Walt Whitman and the Class Struggle</t>
  </si>
  <si>
    <t>University of Iowa Press</t>
  </si>
  <si>
    <t>University Of Iowa Press</t>
  </si>
  <si>
    <t>Who's Afraid of Bernard Shaw? : Some Personalities in Shaw's Plays</t>
  </si>
  <si>
    <t>Encyclopedia of Alzheimer's Disease</t>
  </si>
  <si>
    <t>The Spirit World in the Letters of Paul the Apostle : A Critical Examination of the Role of Spiritual Beings in the Authentic Pauline Epistles</t>
  </si>
  <si>
    <t>Vandenhoeck &amp; Ruprecht</t>
  </si>
  <si>
    <t>Handbook of Intercultural Communication and Cooperation : Basics and Areas of Application</t>
  </si>
  <si>
    <t>Christ Identity : A Social-Scientific Reading of Philippians 2.5-11</t>
  </si>
  <si>
    <t>Make Your Contacts Count : Networking Know-how for Business and Career Success</t>
  </si>
  <si>
    <t>Image Processing for Embedded Devices</t>
  </si>
  <si>
    <t>Bentham Science Publishers</t>
  </si>
  <si>
    <t>Angiogenesis &amp; Therapeutic Targets In Cancer</t>
  </si>
  <si>
    <t>Application of Alternative Food-Preservation Technologies to Enhance Food Safety and Stability</t>
  </si>
  <si>
    <t>Controversies in Neuro-Oncology (Avastin and Malignant Gliomas)</t>
  </si>
  <si>
    <t>Molecular Aspects of Neurodegeneration and Neuroprotection</t>
  </si>
  <si>
    <t>Quantum Mechanics with Applications</t>
  </si>
  <si>
    <t>Current Technologies to Increase the Transdermal Delivery of Drugs</t>
  </si>
  <si>
    <t>Physics and Technology of Semiconductor Thin Film-Based Active Elements and Devices</t>
  </si>
  <si>
    <t>State of the Science in Universal Design : Emerging Research and Developments</t>
  </si>
  <si>
    <t>Cellular and Molecular Biology of Autism Spectrum Disorders</t>
  </si>
  <si>
    <t>MicroRNAs and Cardiovascular Disease</t>
  </si>
  <si>
    <t>The Innocence Commission : Preventing Wrongful Convictions and Restoring the Criminal Justice System</t>
  </si>
  <si>
    <t>New York University Press</t>
  </si>
  <si>
    <t>Opening the Floodgates : Why America Needs to Rethink its Borders and Immigration Laws</t>
  </si>
  <si>
    <t>The Shock of the News : Media Coverage and the Making Of 9/11</t>
  </si>
  <si>
    <t>Evolution of the Judicial Opinion : Institutional and Individual Styles</t>
  </si>
  <si>
    <t>Children's Nature : The Rise of the American Summer Camp</t>
  </si>
  <si>
    <t>The Chicana/o Cultural Studies Forum : Critical and Ethnographic Practices</t>
  </si>
  <si>
    <t>Courting Change : Queer Parents, Judges, and the Transformation of American Family Law</t>
  </si>
  <si>
    <t>Pimps up, Ho's Down : Hip Hop's Hold on Young Black Women</t>
  </si>
  <si>
    <t>Educating the Whole Child for the Whole World : The Ross School Model and Education for the Global Era</t>
  </si>
  <si>
    <t>Habeas Corpus After 9/11 : Confronting America's New Global Detention System</t>
  </si>
  <si>
    <t>Political Contingency : Studying the Unexpected, the Accidental, and the Unforeseen</t>
  </si>
  <si>
    <t>Arranging Grief : Sacred Time and the Body in Nineteenth-Century America</t>
  </si>
  <si>
    <t>Once You Go Black : Choice, Desire, and the Black American Intellectual</t>
  </si>
  <si>
    <t>China : A History</t>
  </si>
  <si>
    <t>Architecture Walks : The Best Outings near New York City</t>
  </si>
  <si>
    <t>Rivergate Books</t>
  </si>
  <si>
    <t>The New Chinese America : Class, Economy, and Social Hierarchy</t>
  </si>
  <si>
    <t>Digital Dilemmas : The State, the Individual, and Digital Media in Cuba</t>
  </si>
  <si>
    <t>After Representation? : The Holocaust, Literature, and Culture</t>
  </si>
  <si>
    <t>Whoever Tells the Best Story Wins : How to Use Your Own Stories to Communicate with Power and Impact</t>
  </si>
  <si>
    <t>Yoga for Fibromyalgia : Move, Breathe, and Relax to Improve Your Quality of Life</t>
  </si>
  <si>
    <t>Rodmell Press</t>
  </si>
  <si>
    <t>The Structure and Properties of Color Spaces and the Representation of Color Images</t>
  </si>
  <si>
    <t>Morgan &amp; Claypool Publishers</t>
  </si>
  <si>
    <t>Introductory Medical Imaging</t>
  </si>
  <si>
    <t>Introduction to Biomedical Engineering : Biomechanics and Bioelectricity</t>
  </si>
  <si>
    <t>Design and Development of RFID and RFID-Enabled Sensors on Flexible Low Cost Substrates</t>
  </si>
  <si>
    <t>DSP for MATLAB(tm) and LabVIEW(tm) I : Fundamentals of Discrete Signal Processing</t>
  </si>
  <si>
    <t>DSP for MATLAB(tm) and LabVIEW(tm) II : Discrete Frequency Transforms</t>
  </si>
  <si>
    <t>DSP for MATLAB(tm) and LabVIEW(tm) III : Digital Filter Design</t>
  </si>
  <si>
    <t>DSP for MATLAB(tm) and LabVIEW(tm) IV : LMS Adaptive Filters</t>
  </si>
  <si>
    <t>Employment Law and Human Resources Handbook 2012</t>
  </si>
  <si>
    <t>Building the Responsible Enterprise : Where Vision and Values Add Value</t>
  </si>
  <si>
    <t>The Sociocultural Turn in Psychology : The Contextual Emergence of Mind and Self</t>
  </si>
  <si>
    <t>Columbia University Press</t>
  </si>
  <si>
    <t>Philosophers on Art from Kant to the Postmodernists : A Critical Reader</t>
  </si>
  <si>
    <t>Animal Ethics in Context</t>
  </si>
  <si>
    <t>Transforming Palliative Care in Nursing Homes : The Social Work Role</t>
  </si>
  <si>
    <t>Starting your Own Childminding Business : How to set up high quality childcare in your own home</t>
  </si>
  <si>
    <t>Constable &amp; Robinson</t>
  </si>
  <si>
    <t>How to Make Your Own Video or Short Film : All  you need to know to make your ideas shine</t>
  </si>
  <si>
    <t>Russia and the Arabs : Behind the Scenes in the Middle East from the Cold War to the Present</t>
  </si>
  <si>
    <t>The Politically Incorrect Guide to Hunting</t>
  </si>
  <si>
    <t>Regnery Publishing</t>
  </si>
  <si>
    <t>Living with the Dragon : How the American Public Views the Rise of China</t>
  </si>
  <si>
    <t>Taxation in Developing Countries : Six Case Studies and Policy Implications</t>
  </si>
  <si>
    <t>Teaching in Social Work : An Educators' Guide to Theory and Practice</t>
  </si>
  <si>
    <t>Religion, the Enlightenment, and the New Global Order</t>
  </si>
  <si>
    <t>Gendered Trajectories : Women, Work, and Social Change in Japan and Taiwan</t>
  </si>
  <si>
    <t>Shades of Difference : Why Skin Color Matters</t>
  </si>
  <si>
    <t>Best Practice in Accessible Tourism : Inclusion, Disability, Ageing Population and Tourism</t>
  </si>
  <si>
    <t>Multilingual Aspects of Speech Sound Disorders in Children</t>
  </si>
  <si>
    <t>Topic and Discourse Structure in West Greenlandic Agreement Constructions</t>
  </si>
  <si>
    <t>Genocide and the Geographical Imagination : Life and Death in Germany, China, and Cambodia</t>
  </si>
  <si>
    <t>Fashion and Psychoanalysis : Styling the Self</t>
  </si>
  <si>
    <t>Artificial Intelligence in Wireless Communications</t>
  </si>
  <si>
    <t>Microwave Radio Transmission Design Guide</t>
  </si>
  <si>
    <t>Microwave Scattering and Emission Models for Users</t>
  </si>
  <si>
    <t>Quick Finite Elements for Electromagnetic Waves</t>
  </si>
  <si>
    <t>Server-Side GPS and Assisted-GPS in Java</t>
  </si>
  <si>
    <t>Theoretical Foundations for Digital Libraries : The 5S (Societies, Scenarios, Spaces, Structures, Streams) Approach</t>
  </si>
  <si>
    <t>The Economics and Politics of High-Speed Rail : Lessons from Experiences Abroad</t>
  </si>
  <si>
    <t>Building Dynamic Web 2.0 Websites with Ruby on Rails</t>
  </si>
  <si>
    <t>Packt Publishing, Limited</t>
  </si>
  <si>
    <t>Packt Publishing</t>
  </si>
  <si>
    <t>Mobile Web Development</t>
  </si>
  <si>
    <t>PHP 5 Social Networking</t>
  </si>
  <si>
    <t>US Covert Operations and Cold War Strategy : Truman, Secret Warfare and the CIA, 1945-53</t>
  </si>
  <si>
    <t>New Thoughts on the Black Arts Movement</t>
  </si>
  <si>
    <t>Politics of the Female Body : Postcolonial Women Writers</t>
  </si>
  <si>
    <t>Beyond Sun and Sand : Caribbean Environmentalisms</t>
  </si>
  <si>
    <t>Game-Based Teaching and Simulation in Nursing and Healthcare</t>
  </si>
  <si>
    <t>Germany's Nature : Cultural Landscapes and Environmental History</t>
  </si>
  <si>
    <t>Principles and Practices of Teaching English as an International Language</t>
  </si>
  <si>
    <t>Slow Tourism : Experiences and Mobilities</t>
  </si>
  <si>
    <t>The Common European Framework of Reference : The Globalisation of Language Education Policy</t>
  </si>
  <si>
    <t>Growing Up with Languages : Reflections on Multilingual Childhoods</t>
  </si>
  <si>
    <t>Intercultural Dialogue in Practice : Managing Value Judgment through Foreign Language Education</t>
  </si>
  <si>
    <t>Object-Oriented JavaScript</t>
  </si>
  <si>
    <t>Assessment for Excellence : The Philosophy and Practice of Assessment and Evaluation in Higher Education</t>
  </si>
  <si>
    <t>Service Oriented Architecture with Java</t>
  </si>
  <si>
    <t>Selling Online with Drupal e-Commerce</t>
  </si>
  <si>
    <t>Building Websites with Joomla! 1.5</t>
  </si>
  <si>
    <t>Surviving the Century : Facing Climate Chaos and Other Global Challenges</t>
  </si>
  <si>
    <t>Reading Instruction That Works : The Case for Balanced Teaching</t>
  </si>
  <si>
    <t>Google Web Toolkit GWT Java AJAX Programming GWT Java Ajax Programming : A Practical Guide to Google Web Toolkit for Creating AJAX Applications with Java</t>
  </si>
  <si>
    <t>Fire Safety Science</t>
  </si>
  <si>
    <t>Strategic Issues Management : Organizations and Public Policy Challenges</t>
  </si>
  <si>
    <t>SAGE Publications, Inc</t>
  </si>
  <si>
    <t>Directory of Language Training and Services for Business : A Guide to Resources in Further and Higher Education</t>
  </si>
  <si>
    <t>Cyber Foraging : Bridging Mobile and Cloud Computing</t>
  </si>
  <si>
    <t>Personality 101</t>
  </si>
  <si>
    <t>Dictionary of French Building Terms : Essential for Renovators, Builders and Homeowners</t>
  </si>
  <si>
    <t>Summersdale</t>
  </si>
  <si>
    <t>The Pocket Lawyer for Filmmakers : A Legal Toolkit for Independent Producers</t>
  </si>
  <si>
    <t>Machiavelli and Epicureanism : An Investigation into the Origins of Early Modern Political Thought</t>
  </si>
  <si>
    <t>Managing Knock Your Socks Off Service : Revisions by Chip Bell and Dave Zielinski</t>
  </si>
  <si>
    <t>Career Match : Connecting Who You Are with What You'll Love to Do</t>
  </si>
  <si>
    <t>Historical Dictionary of Baroque Art and Architecture</t>
  </si>
  <si>
    <t>Access to Information as a Human Right</t>
  </si>
  <si>
    <t>Research Skills for Social Work</t>
  </si>
  <si>
    <t>101 Careers in Healthcare Management</t>
  </si>
  <si>
    <t>How to Be a Property Millionaire : From Coronation Street to Canary Wharf -Anne Hulley- her self-help guide to property investment</t>
  </si>
  <si>
    <t>Writing for Magazines (4th edition) : How to get your work published in local newspapers and magazines</t>
  </si>
  <si>
    <t>Basic Statistics : An Introduction with R</t>
  </si>
  <si>
    <t>Landscape in American Guides and View Books : Visual History of Touring and Travel</t>
  </si>
  <si>
    <t>The 50 Most Dynamic Duos in Sports History : Baseball, Basketball, Football, and Hockey</t>
  </si>
  <si>
    <t>Parks and People : Managing Outdoor Recreation at Acadia National Park</t>
  </si>
  <si>
    <t>University Press of New England</t>
  </si>
  <si>
    <t>How to Start and Run a Home Tutoring Business : A complete business start-up manual for home tutors</t>
  </si>
  <si>
    <t>Imperial Tombs in Tang China, 618-907 : The Politics of Paradise</t>
  </si>
  <si>
    <t>New Orleans Suite : Music and Culture in Transition</t>
  </si>
  <si>
    <t>Money in Islam : A Study in Islamic Political Economy</t>
  </si>
  <si>
    <t>Global Pension Policies. : Programs, frames and paradigms of the World Bank and the International Labour Organization.</t>
  </si>
  <si>
    <t>Duncker &amp; Humblot</t>
  </si>
  <si>
    <t>Evaluation and Testing in Nursing Education : Fourth Edition</t>
  </si>
  <si>
    <t>How Nonprofits Work : Case Studies in Nonprofit Organizations</t>
  </si>
  <si>
    <t>Queering the Pitch</t>
  </si>
  <si>
    <t>About Face : The Secrets of Emotionally Effective Advertising</t>
  </si>
  <si>
    <t>Culture and Everyday Life</t>
  </si>
  <si>
    <t>Connecting Policy and Practice : Challenges for Teaching and Learning in Schools and Universities</t>
  </si>
  <si>
    <t>Sustainable Development of Energy, Water and Environment Systems</t>
  </si>
  <si>
    <t>Sufi Visionary of Ottoman Damascus : 'Abd Al-Ghani Al-Nabulusi, 1641-1731</t>
  </si>
  <si>
    <t>Coordinating Physical Education Across the Primary School</t>
  </si>
  <si>
    <t>High Performance Computing and the Art of Parallel Programming : An Introduction for Geographers, Social Scientists and Engineers</t>
  </si>
  <si>
    <t>The Ups and Downs of Child Language : Experimental Studies on Children's Knowledge of Entailment Relationships and Polarity Phenomena</t>
  </si>
  <si>
    <t>Pimping the Welfare System : Empowering Participants with Economic, Social, and Cultural Capital</t>
  </si>
  <si>
    <t>Nurturing the Gifted Female : A Guide for Educators and Parents</t>
  </si>
  <si>
    <t>Corwin</t>
  </si>
  <si>
    <t>Stateness and Sovereign Debt : Greece in the European Conundrum</t>
  </si>
  <si>
    <t>Pin-Up Grrrls : Feminism, Sexuality, Popular Culture</t>
  </si>
  <si>
    <t>Duke University Press</t>
  </si>
  <si>
    <t>Global Cinderellas : Migrant Domestics and Newly Rich Employers in Taiwan</t>
  </si>
  <si>
    <t>Museum Frictions : Public Cultures/Global Transformations</t>
  </si>
  <si>
    <t>Writing Taiwan : A New Literary History</t>
  </si>
  <si>
    <t>The Affective Turn : Theorizing the Social</t>
  </si>
  <si>
    <t>Guidelines for Nurse Practitioners in Ambulatory Obstetric Settings</t>
  </si>
  <si>
    <t>City/Art : The Urban Scene in Latin America</t>
  </si>
  <si>
    <t>Leaving Art : Writings on Performance, Politics, and Publics, 1974-2007</t>
  </si>
  <si>
    <t>Slaves to Fashion : Black Dandyism and the Styling of Black Diasporic Identity</t>
  </si>
  <si>
    <t>Art for a Modern India, 1947-1980</t>
  </si>
  <si>
    <t>Black Arts West : Culture and Struggle in Postwar Los Angeles</t>
  </si>
  <si>
    <t>Geographies of Muslim Women : Gender, Religion, and Space</t>
  </si>
  <si>
    <t>Implementing Culture Change in Long-Term Care : Benchmarks and Strategies for Management and Practice</t>
  </si>
  <si>
    <t>Being and Nothingness : An Essay on Phenomenological Ontology</t>
  </si>
  <si>
    <t>Surviving the French Revolution : A Bridge across Time</t>
  </si>
  <si>
    <t>Air Pollution Control Engineering</t>
  </si>
  <si>
    <t>Springer</t>
  </si>
  <si>
    <t>The Adaptive School : A Sourcebook for Developing Collaborative Groups</t>
  </si>
  <si>
    <t>British Film Design : A History</t>
  </si>
  <si>
    <t>After Modernist Painting : The History of a Contemporary Practice</t>
  </si>
  <si>
    <t>Ancient Religions of the Austronesian World : From Australasia to Taiwan</t>
  </si>
  <si>
    <t>Tourism in China : Destinations, Planning and Experiences</t>
  </si>
  <si>
    <t>Keeping My Mandarin Alive : Lee Kuan Yew's Language Learning Experience</t>
  </si>
  <si>
    <t>Global Publishing Company, Incorporated</t>
  </si>
  <si>
    <t>Dancing with the Dragon : China's Emergence in the Developing World</t>
  </si>
  <si>
    <t>Be a Network Marketing Superstar : The One Book You Need to Make More Money Than You Ever Thought Possible</t>
  </si>
  <si>
    <t>Windows into Men's Souls : Religious Nonconformity in Tudor and Early Stuart England</t>
  </si>
  <si>
    <t>Across Borders : Latin Perspectives in the Americas Reshaping Religion, Theology, and Life</t>
  </si>
  <si>
    <t>Chinese Perspectives on the Environment and Sustainable Development : Chinese Perspectives on the Environment and Sustainable Development</t>
  </si>
  <si>
    <t>Climate Change and Vulnerability and Adaptation : Two Volume Set</t>
  </si>
  <si>
    <t>Historical Dictionary of the Chinese Civil War</t>
  </si>
  <si>
    <t>Handbook of Minority Aging</t>
  </si>
  <si>
    <t>China : Fragile Superpower</t>
  </si>
  <si>
    <t>Lean Six Sigma That Works : A Powerful Action Plan for Dramatically Improving Quality, Increasing Speed, and Reducing Waste</t>
  </si>
  <si>
    <t>Counseling Individuals with Life Threatening Illness, Second Edition</t>
  </si>
  <si>
    <t>Cross-Language Relations in Composition</t>
  </si>
  <si>
    <t>Southern Illinois University Press</t>
  </si>
  <si>
    <t>Music and the Southern Belle : From Accomplished Lady to Confederate Composer</t>
  </si>
  <si>
    <t>The Tolerability of Risk : A New Framework for Risk Management</t>
  </si>
  <si>
    <t>American Exceptionalism, the French Exception, and Digital Media Law</t>
  </si>
  <si>
    <t>A Class with Drucker : The Lost Lessons of the World's Greatest Management Teacher</t>
  </si>
  <si>
    <t>Strategies for Teaching Students With Learning Disabilities</t>
  </si>
  <si>
    <t>Greening International Jurisprudence : Environmental Ngos Before International Courts, Tribunals, and Compliance Committees</t>
  </si>
  <si>
    <t>Art for Social Change and Cultural Awakening : An Anthropology of Residence in Taiwan</t>
  </si>
  <si>
    <t>Leadership Teaming : The Superintendent-Principal Relationship</t>
  </si>
  <si>
    <t>College Student Mental Health Counseling : A Developmental Approach</t>
  </si>
  <si>
    <t>Depression : Treatment Strategies and Management</t>
  </si>
  <si>
    <t>Biotechnology in Personal Care</t>
  </si>
  <si>
    <t>Cosmetic Formulation of Skin Care Products</t>
  </si>
  <si>
    <t>Essentials of Paediatric Urology</t>
  </si>
  <si>
    <t>Clinical Pediatric and Adolescent Gynecology : Principles and Practice</t>
  </si>
  <si>
    <t>Avian Medicine and Surgery in Practice : Companion and Aviary Birds</t>
  </si>
  <si>
    <t>Cardiovascular Disease in Small Animal Medicine</t>
  </si>
  <si>
    <t>Cardiovascular Imaging</t>
  </si>
  <si>
    <t>Evolutionary Psychology 101</t>
  </si>
  <si>
    <t>From Silicon Valley to Shenzhen : Global Production and Work in the IT Industry</t>
  </si>
  <si>
    <t>Finite Element Analysis : Thermomechanics of Solids, Second Edition</t>
  </si>
  <si>
    <t>Children With Multiple Mental Health Challenges : An Integrated Approach to Intervention</t>
  </si>
  <si>
    <t>Saving Lives in Wartime China : How Medical Reformers Built Modern Healthcare Systems amid War and Epidemics, 1928-1945</t>
  </si>
  <si>
    <t>Coffee : A Comprehensive Guide to the Bean, the Beverage, and the Industry</t>
  </si>
  <si>
    <t>African Pasts, Presents, and Futures : Generational Shifts in African Women's Literature, Film, and Internet Discourse</t>
  </si>
  <si>
    <t>Inspiration and Innovation in Teaching and Teacher Education</t>
  </si>
  <si>
    <t>Early Childhood Qualitative Research</t>
  </si>
  <si>
    <t>Is Art History Global?</t>
  </si>
  <si>
    <t>Privilege and Diversity in the Academy</t>
  </si>
  <si>
    <t>A Critical Bibliography of Adam Smith</t>
  </si>
  <si>
    <t>Writing the Self : Henry James and America</t>
  </si>
  <si>
    <t>Pickering &amp; Chatto Publishers, Limited</t>
  </si>
  <si>
    <t>Pickering &amp; Chatto</t>
  </si>
  <si>
    <t>Political Biography of Jonathan Swift</t>
  </si>
  <si>
    <t>Sacred History and National Identity : Comparisons Between Early Modern Wales and Brittany</t>
  </si>
  <si>
    <t>Financial Markets and the Banking Sector : Roles and Responsibilities in a Global World</t>
  </si>
  <si>
    <t>British Narratives of Exploration : Case Studies on the Self and Other</t>
  </si>
  <si>
    <t>Political Biography of Henry Fielding : Political Biography of Henry Fielding</t>
  </si>
  <si>
    <t>Natural History Societies and Civic Culture in Victorian Scotland</t>
  </si>
  <si>
    <t>Charles Lamb, Elia and the London Magazine : Metropolitan Muse</t>
  </si>
  <si>
    <t>Old Age and Disease in Early Modern Medicine</t>
  </si>
  <si>
    <t>Taxation and Debt in the Early Modern City</t>
  </si>
  <si>
    <t>Pickering &amp; Chatto Publishers</t>
  </si>
  <si>
    <t>Vietnam in the Global Economy : The Dynamics of Integration, Decentralization, and Contested Politics</t>
  </si>
  <si>
    <t>A Scholar's Guide to Getting Published in English : Critical Choices and Practical Strategies</t>
  </si>
  <si>
    <t>English Language Teachers on the Discursive Faultlines : Identities, Ideologies and Pedagogies</t>
  </si>
  <si>
    <t>Making Strategy Count in the Health and Human Services Sector : Lessons Learned from 20 Organizations and Chief Strategy Officers</t>
  </si>
  <si>
    <t>Democracy and Leadership : On Pragmatism and Virtue</t>
  </si>
  <si>
    <t>Culture Shock for Asians in U.S. Academia : Breaking the Model Minority Myth</t>
  </si>
  <si>
    <t>Chinese vs. Western Perspectives : Understanding Contemporary China</t>
  </si>
  <si>
    <t>Health Policy and Advanced Practice Nursing : Impact and Implications</t>
  </si>
  <si>
    <t>Modern Budget Forecasting in the American States : Precision, Uncertainty, and Politics</t>
  </si>
  <si>
    <t>How to STEM : Science, Technology, Engineering, and Math Education in Libraries</t>
  </si>
  <si>
    <t>The Handbook of Fashion Studies</t>
  </si>
  <si>
    <t>The Great Catalyst : European Union Project and Lessons from Greece and Turkey</t>
  </si>
  <si>
    <t>The City in Slang : New York Life and Popular Speech</t>
  </si>
  <si>
    <t>The East Asian Story Finder : A Guide to 468 Tales from China, Japan and Korea, Listing Subjects and Sources</t>
  </si>
  <si>
    <t>The Seafaring Dictionary : Terms, Idioms and Legends of the Past and Present</t>
  </si>
  <si>
    <t>Recreation Handbook for Camp, Conference and Community</t>
  </si>
  <si>
    <t>The Semiotics of Heritage Tourism</t>
  </si>
  <si>
    <t>Amazing Solar System Projects : You Can Build Yourself</t>
  </si>
  <si>
    <t>Amazing Kitchen Chemistry Projects : You Can Build Yourself</t>
  </si>
  <si>
    <t>The Dream Encyclopedia</t>
  </si>
  <si>
    <t>Visible Ink Press</t>
  </si>
  <si>
    <t>Long-Term Care Administration and Management : Effective Practices and Quality Programs in Eldercare</t>
  </si>
  <si>
    <t>Agency and Participation in Childhood and Youth : International Applications of the Capability Approach in Schools and Beyond</t>
  </si>
  <si>
    <t>Social Psychology : Handbook of Basic Principles</t>
  </si>
  <si>
    <t>More Quick Team-building Activities for Busy Managers : 50 New Exercises That Get Results in Just 15 Minutes</t>
  </si>
  <si>
    <t>Red-Hot Cold Call Selling : Prospecting Techniques That Really Pay Off</t>
  </si>
  <si>
    <t>Fundamentals of Sales Management for the Newly Appointed Sales Manager</t>
  </si>
  <si>
    <t>The Art of Connecting : How to Overcome Differences, Build Rapport, and Communicate Effectively with Anyone</t>
  </si>
  <si>
    <t>The Corporate University Handbook : Designing, Managing, and Growing a Successful Program</t>
  </si>
  <si>
    <t>The Giants of Sales : What Dale Carnegie, John Patterson, Elmer Wheeler, and Joe Girard Can Teach You about Real Sales Success</t>
  </si>
  <si>
    <t>Supply Chain Cost Management : The AIM and DRIVE Process for Achieving Extraordinary Results</t>
  </si>
  <si>
    <t>The Acquisition of Sociolinguistic Competence in a Lingua Franca Context</t>
  </si>
  <si>
    <t>Multi-Scale Modelling of Composite Material Systems : The Art of Predictive Damage Modelling</t>
  </si>
  <si>
    <t>Multiscale Materials Modelling : Fundamentals and Applications</t>
  </si>
  <si>
    <t>Sizing in Clothing</t>
  </si>
  <si>
    <t>Adhesive Bonding : Science, Technology and Applications</t>
  </si>
  <si>
    <t>Nanolithography and Patterning Techniques in Microelectronics</t>
  </si>
  <si>
    <t>Materials for Energy Conversion Devices</t>
  </si>
  <si>
    <t>Cotton Trading Manual</t>
  </si>
  <si>
    <t>Modelling Microorganisms in Food</t>
  </si>
  <si>
    <t>Reducing Salt in Foods : Practical Strategies</t>
  </si>
  <si>
    <t>Amine Unit Corrosion in Refineries</t>
  </si>
  <si>
    <t>Auditing in the Food Industry : From Safety and Quality to Environmental and Other Audits</t>
  </si>
  <si>
    <t>Bread Making : Improving Quality</t>
  </si>
  <si>
    <t>Coping with Posttraumatic Stress Disorder in Returning Troops : Wounds of War II</t>
  </si>
  <si>
    <t>IOS Press</t>
  </si>
  <si>
    <t>International Fish Screening Techniques</t>
  </si>
  <si>
    <t>100 Ideas for Dads Who Love Their Kids but Find Them Exhausting</t>
  </si>
  <si>
    <t>Featherstone</t>
  </si>
  <si>
    <t>When the Earth Roars : Lessons from the History of Earthquakes in Japan</t>
  </si>
  <si>
    <t>Abolishing White Masculinity from Mark Twain to Hiphop : Crises in Whiteness</t>
  </si>
  <si>
    <t>Analyzing Strategic Behavior in Business and Economics : A Game Theory Primer</t>
  </si>
  <si>
    <t>Quick Emotional Intelligence Activities for Busy Managers : 50 Team Exercises That Get Results in Just 15 Minutes</t>
  </si>
  <si>
    <t>A Functional Analysis of Political Television Advertisements</t>
  </si>
  <si>
    <t>Globalization and Transnational Surrogacy in India : Outsourcing Life</t>
  </si>
  <si>
    <t>Heroines of Film and Television : Portrayals in Popular Culture</t>
  </si>
  <si>
    <t>Brewing : New Technologies</t>
  </si>
  <si>
    <t>Nanostructure Control of Materials</t>
  </si>
  <si>
    <t>Solving Tribology Problems in Rotating Machines</t>
  </si>
  <si>
    <t>Chemical Migration and Food Contact Materials</t>
  </si>
  <si>
    <t>Polymer Nanocomposites</t>
  </si>
  <si>
    <t>Advanced Civil Infrastructure Materials : Science, Mechanics and Applications</t>
  </si>
  <si>
    <t>Materials for Engineering</t>
  </si>
  <si>
    <t>Clothing Biosensory Engineering</t>
  </si>
  <si>
    <t>Foundations of Clinical Nurse Specialist Practice, Second Edition</t>
  </si>
  <si>
    <t>A Short History of the Wars of the Roses</t>
  </si>
  <si>
    <t>A Short History of the Spanish Civil War</t>
  </si>
  <si>
    <t>A Short History of English Renaissance Drama</t>
  </si>
  <si>
    <t>Christian Faith, Justice, and a Politics of Mercy : The Benevolent Community</t>
  </si>
  <si>
    <t>The Word Rhythm Dictionary : A Resource for Writers, Rappers, Poets, and Lyricists</t>
  </si>
  <si>
    <t>Advances in Quantitative Analysis of Finance and Accounting</t>
  </si>
  <si>
    <t>Ray and Wave Chaos in Ocean Acoustics : Chaos in Waveguides</t>
  </si>
  <si>
    <t>The Mathematics of Harmony : From Euclid to Contemporary Mathematics and Computer Science</t>
  </si>
  <si>
    <t>Stochastic Optimization Models in Finance</t>
  </si>
  <si>
    <t>Grid Computing in Life Sciences : LSGRID2005, the Second International Life Science Grid Workshop</t>
  </si>
  <si>
    <t>Cooperative Internet Computing - Proceedings Of The 4th International Conference (Cic 2006) : Proceedings of the 4th International Conference (CIC 2006)</t>
  </si>
  <si>
    <t>Applied Artificial Intelligence - Proceedings Of The 7th International Flins Conference : Proceedings of the 7th International FLINS Conference</t>
  </si>
  <si>
    <t>Theories Guiding Nursing Research and Practice : Making Nursing Knowledge Development Explicit</t>
  </si>
  <si>
    <t>A History of the Royal Navy : Napoleonic Wars</t>
  </si>
  <si>
    <t>A History of the Royal Navy: World War II</t>
  </si>
  <si>
    <t>The Medieval Christian Philosophers : An Introduction</t>
  </si>
  <si>
    <t>Rock Mechanics in Underground Construction : ISRM International Symposium 2006 - 4th Asian Rock Mechanics Symposium</t>
  </si>
  <si>
    <t>Advances In Pattern Recognition - Proceedings Of The 6th International Conference : Proceedings of the 6th International Conference</t>
  </si>
  <si>
    <t>ICTACS 2006 : The First International Conference on Theories and Applications of Computer Science 2006</t>
  </si>
  <si>
    <t>Proceedings of the 10th Asian Conference on Solid State Ionics : Advanced Materials for Emerging Technologies - Kandy, Sri Lanka, 12-16 June 2006</t>
  </si>
  <si>
    <t>Labor Economics From A Free Market Perspective: Employing The Unemployable</t>
  </si>
  <si>
    <t>Advances in Geosciences : Ocean Science (OS)</t>
  </si>
  <si>
    <t>Particles, Bubbles And Drops: Their Motion, Heat And Mass Transfer</t>
  </si>
  <si>
    <t>Contemporary Approaches To Research On Learning Environments: Worldviews</t>
  </si>
  <si>
    <t>Introduction To Systems Science, An</t>
  </si>
  <si>
    <t>Controlled Growth Of Nanomaterials</t>
  </si>
  <si>
    <t>Econometrics, Statistics And Computational Approaches In Food And Health Sciences</t>
  </si>
  <si>
    <t>Information Processing And Routing In Wireless Sensor Networks</t>
  </si>
  <si>
    <t>An Introduction to the Mathematical Theory of Vibrations of Elastic Plates</t>
  </si>
  <si>
    <t>Lecture Notes In Data Mining</t>
  </si>
  <si>
    <t>Photonic Glasses</t>
  </si>
  <si>
    <t>Processing And Properties Of Nanocomposites</t>
  </si>
  <si>
    <t>Silicon Carbide Microelectromechanical Systems For Harsh Environments</t>
  </si>
  <si>
    <t>Surface Coatings for Protection Against Wear</t>
  </si>
  <si>
    <t>The French Colonial Imagination : Writing the Indian Uprisings, 1857-1858, from Second Empire to Third Republic</t>
  </si>
  <si>
    <t>A Dictionary for the Modern Singer</t>
  </si>
  <si>
    <t>Counseling in the Family Law System : A Professional Counselor's Guide</t>
  </si>
  <si>
    <t>Touching and Imagining : An Introduction to Tactile Art</t>
  </si>
  <si>
    <t>Marketing and Social Media : A Guide for Libraries, Archives, and Museums</t>
  </si>
  <si>
    <t>Complementary &amp; Alternative Therapies in Nursing : Seventh Edition</t>
  </si>
  <si>
    <t>Library Management for the Digital Age : A New Paradigm</t>
  </si>
  <si>
    <t>Communicating with Intelligence : Writing and Briefing for National Security</t>
  </si>
  <si>
    <t>A Handbook for Evidence-Based Juvenile Justice Systems</t>
  </si>
  <si>
    <t>Palliative Care Nursing, Fourth Edition : Quality Care to the End of Life</t>
  </si>
  <si>
    <t>Spices and Tourism : Destinations, Attractions and Cuisines</t>
  </si>
  <si>
    <t>Outreach : Innovative Practices for Archives and Special Collections</t>
  </si>
  <si>
    <t>Baby Tips for Mums</t>
  </si>
  <si>
    <t>Summersdale Publishers Ltd</t>
  </si>
  <si>
    <t>Classic Women's Poetry</t>
  </si>
  <si>
    <t>A Book For The Seriously Stressed : How to Stop Stress from Killing You</t>
  </si>
  <si>
    <t>Get Top Marks in Your Exams</t>
  </si>
  <si>
    <t>How To Publish Your Own Book : Secrets from the Inside</t>
  </si>
  <si>
    <t>Multiculturalism in Art Museums Today</t>
  </si>
  <si>
    <t>Developing Materials for Language Teaching</t>
  </si>
  <si>
    <t>The Economist: Successful Strategy Execution</t>
  </si>
  <si>
    <t>Economist Guide To Analysing Companies</t>
  </si>
  <si>
    <t>The Economist: Brands and Branding</t>
  </si>
  <si>
    <t>The Economist: Business Strategy</t>
  </si>
  <si>
    <t>National Treatment and WTO Dispute Settlement : Adjudicating the Boundaries of Regulatory Autonomy</t>
  </si>
  <si>
    <t>The Modernisation of EC Antitrust Law : The Modernisation of EC Antitrust Law</t>
  </si>
  <si>
    <t>A History of the Paper Pattern Industry : The Home Dressmaking Fashion Revolution</t>
  </si>
  <si>
    <t>The Memoir and the Memoirist : Reading and Writing Personal Narrative</t>
  </si>
  <si>
    <t>Ohio University Press</t>
  </si>
  <si>
    <t>Swallow Press</t>
  </si>
  <si>
    <t>Explorer Travellers and Adventure Tourism</t>
  </si>
  <si>
    <t>A Parent's Guide to High-Functioning Autism Spectrum Disorder : How to Meet the Challenges and Help Your Child Thrive</t>
  </si>
  <si>
    <t>EMDR Toolbox : Theory and Treatment of Complex PTSD and Dissociation</t>
  </si>
  <si>
    <t>Caught in Crossfire : Civilians in Conflicts in the Middle East</t>
  </si>
  <si>
    <t>Garnet Publishing (UK) Ltd</t>
  </si>
  <si>
    <t>Ithaca Press</t>
  </si>
  <si>
    <t>Israelism : Arab Scholarship on Israel, a Critical Assessment</t>
  </si>
  <si>
    <t>Garnet Publishing</t>
  </si>
  <si>
    <t>Breaking Knees : Modern Arabic Short Stories from Syria</t>
  </si>
  <si>
    <t>The Civil Rights Act and the Battle to End Workplace Discrimination : A 50 Year History</t>
  </si>
  <si>
    <t>Handbook of Socialization, Second Edition : Theory and Research</t>
  </si>
  <si>
    <t>Understanding Buddhism</t>
  </si>
  <si>
    <t>Dunedin Academic Press</t>
  </si>
  <si>
    <t>Learning Disability and Social Inclusion</t>
  </si>
  <si>
    <t>Administrative Justice in the 21st Century</t>
  </si>
  <si>
    <t>Banking Regulation and World Trade Law : GATS, EU and Prudential Institution Building</t>
  </si>
  <si>
    <t>Contemporary Issues of the Semiotics of Law : Cultural and Symbolic Analyses of Law in a Global Context</t>
  </si>
  <si>
    <t>Constitutional Rights after Globalization</t>
  </si>
  <si>
    <t>EU Employment Law : From Rome to Amsterdam and Beyond</t>
  </si>
  <si>
    <t>Basic Legal Instruments for the Liberalisation of Trade : A Comparative Analysis of EC and WTO Law</t>
  </si>
  <si>
    <t>Biotechnology and International Law</t>
  </si>
  <si>
    <t>European Plant Intellectual Property</t>
  </si>
  <si>
    <t>Broadcasting Pluralism and Diversity : A Comparative Study of Policy and Regulation</t>
  </si>
  <si>
    <t>Boundaries and Frontiers of Labour Law : Goals and Means in the Regulation of Work</t>
  </si>
  <si>
    <t>After Enron : Improving Corporate Law and Modernising Securities Regulation in Europe and the US</t>
  </si>
  <si>
    <t>Copyright Law and the Information Society in Asia</t>
  </si>
  <si>
    <t>Death Rites and Rights</t>
  </si>
  <si>
    <t>Constitutional Politics in the Middle East : With Special Reference to Turkey, Iraq, Iran and Afghanistan</t>
  </si>
  <si>
    <t>Administrative Law in a Changing State : Essays in Honour of Mark Aronson</t>
  </si>
  <si>
    <t>Contractual Certainty in International Trade : Empirical Studies and Theoretical Debates on Institutional Support for Global Economic Exchanges</t>
  </si>
  <si>
    <t>A Simple Common Lawyer : Essays in Honour of Michael Taggart</t>
  </si>
  <si>
    <t>Age As an Equality Issue : Legal and Policy Perspectives</t>
  </si>
  <si>
    <t>Corporations and Transnational Human Rights Litigation</t>
  </si>
  <si>
    <t>Regional Organisations and the Development of Collective Security : Beyond Chapter VIII of the un Charter</t>
  </si>
  <si>
    <t>Terrorism and the State : Rethinking the Rules of State Responsibility</t>
  </si>
  <si>
    <t>On the Origin of the Right to Copy : Charting the Movement of Copyright Law in Eighteenth Century Britain (1695-1775)</t>
  </si>
  <si>
    <t>Intellectual Property Rights and the EC Competition Rules</t>
  </si>
  <si>
    <t>International Trade Regulation in China : Law and Policy</t>
  </si>
  <si>
    <t>Intellectual Property and Private International Law : Heading for the Future</t>
  </si>
  <si>
    <t>International Trade and Economic Law and the European Union</t>
  </si>
  <si>
    <t>New Frontiers of Intellectual Property Law : IP and Cultural Heritage - Geographical Indications - Enforcement - Overprotection</t>
  </si>
  <si>
    <t>Regulating Deviance : The Redirection of Criminalisation and the Futures of Criminal Law</t>
  </si>
  <si>
    <t>The EU and the WTO : Legal and Constitutional Issues</t>
  </si>
  <si>
    <t>The New Legal Framework for e-Commerce in Europe</t>
  </si>
  <si>
    <t>Law of Merger Control in the EC and the UK</t>
  </si>
  <si>
    <t>Transnational Corporations and Human Rights : Transnational Corporations and Human Rights</t>
  </si>
  <si>
    <t>The Power to Protect : Trade, Health and Uncertainty in the WTO</t>
  </si>
  <si>
    <t>The Philosophical Foundations of Environmental Law : Property, Rights and Nature</t>
  </si>
  <si>
    <t>The European Union and China, 1949-2008 : Basic Documents and Commentary</t>
  </si>
  <si>
    <t>EU International Relations Law : EU International Relations Law</t>
  </si>
  <si>
    <t>You Can Teach Advanced Med-Surg Nursing! : The Authoritative Guide and Toolkit for the Advanced Medical- Surgical Nursing Clinical Instructor</t>
  </si>
  <si>
    <t>Consent in the Law : Consent in the Law</t>
  </si>
  <si>
    <t>Writing Brave and Free : Encouraging Words for People Who Want to Start Writing</t>
  </si>
  <si>
    <t>Applied Christian Ethics : Foundations, Economic Justice, and Politics</t>
  </si>
  <si>
    <t>Careers in Health Information Technology</t>
  </si>
  <si>
    <t>Teacher Evaluation in Second Language Education</t>
  </si>
  <si>
    <t>12-Lead EKG Confidence, Third Edition : A Step-By-Step Guide</t>
  </si>
  <si>
    <t>China's Economic Development, 1950-2014 : Fundamental Changes and Long-Term Prospects</t>
  </si>
  <si>
    <t>Reporting the EU : News, Media and the European Institutions</t>
  </si>
  <si>
    <t>Earthquake Ground Motion : Input Definition for Aseismic Design</t>
  </si>
  <si>
    <t>Old Yukon : Tales, Trails, and Trials</t>
  </si>
  <si>
    <t>University of Alaska Press</t>
  </si>
  <si>
    <t>A Safer World</t>
  </si>
  <si>
    <t>Projecting 9/11 : Race, Gender, and Citizenship in Recent Hollywood Films</t>
  </si>
  <si>
    <t>Quantitative Intelligence Analysis : Applied Analytic Models, Simulations, and Games</t>
  </si>
  <si>
    <t>Mental Health Practice in Today's Schools : Issues and Interventions</t>
  </si>
  <si>
    <t>Dress and Ideology : Fashioning Identity from Antiquity to the Present</t>
  </si>
  <si>
    <t>Recovering Christian Realism : Just War Theory as a Political Ethic</t>
  </si>
  <si>
    <t>A Philosophy of Sacred Nature : Prospects for Ecstatic Naturalism</t>
  </si>
  <si>
    <t>The Continuum Companion to Second Language Acquisition</t>
  </si>
  <si>
    <t>A Research Guide to the Ancient World : Print and Electronic Sources</t>
  </si>
  <si>
    <t>Virtual Social Identity and Consumer Behavior</t>
  </si>
  <si>
    <t>The World of Child Labor : An Historical and Regional Survey</t>
  </si>
  <si>
    <t>The Art and Craft of Case Writing</t>
  </si>
  <si>
    <t>Expanding Access to Health Care : A Management Approach</t>
  </si>
  <si>
    <t>Debating Political Reform in China: Rule of Law vs. Democratization</t>
  </si>
  <si>
    <t>Contemporary Ukraine on the Cultural Map of Europe</t>
  </si>
  <si>
    <t>Accountable Governance : Problems and Promises</t>
  </si>
  <si>
    <t>Handbook of Brand Relationships</t>
  </si>
  <si>
    <t>Dictionary of Media and Communications</t>
  </si>
  <si>
    <t>Game-Based Cognitive-Behavioral Therapy for Child Sexual Abuse : An Innovative Treatment Approach</t>
  </si>
  <si>
    <t>All-Stars and Movie Stars : Sports in Film and History</t>
  </si>
  <si>
    <t>Teachers as Mediators in the Foreign Language Classroom</t>
  </si>
  <si>
    <t>Social Policy for an Aging Society : A Human Rights Perspective</t>
  </si>
  <si>
    <t>Child Pornography : Crime, Computers and Society</t>
  </si>
  <si>
    <t>Public Debt Management for Lebanon : Situation Analysis and Strategy for Change</t>
  </si>
  <si>
    <t>Internet Governance and the Information Society : Global Perspectives and European Dimensions</t>
  </si>
  <si>
    <t>Eleven International Publishing</t>
  </si>
  <si>
    <t>Sovereignty and Diversity</t>
  </si>
  <si>
    <t>Encyclopedia of Nursing Education</t>
  </si>
  <si>
    <t>Get Set for Media and Cultural Studies</t>
  </si>
  <si>
    <t>Handbook of Business Discourse</t>
  </si>
  <si>
    <t>Discourse and Identity</t>
  </si>
  <si>
    <t>Pragmatic Stylistics</t>
  </si>
  <si>
    <t>Glossary of Semantics and Pragmatics</t>
  </si>
  <si>
    <t>Modern European Criticism and Theory : A Critical Guide</t>
  </si>
  <si>
    <t>Culture and Power in Cultural Studies : The Politics of Signification</t>
  </si>
  <si>
    <t>The Twenties in America : Politics and History</t>
  </si>
  <si>
    <t>The Athenian Empire</t>
  </si>
  <si>
    <t>British Children's Fiction in the Second World War</t>
  </si>
  <si>
    <t>Minds and Computers : An Introduction to the Philosophy of Artificial Intelligence</t>
  </si>
  <si>
    <t>A Dictionary of Philosophical Logic</t>
  </si>
  <si>
    <t>Get Set for Religious Studies</t>
  </si>
  <si>
    <t>Get Set for Teacher Training</t>
  </si>
  <si>
    <t>Politics of Northern Ireland</t>
  </si>
  <si>
    <t>Changing Constitution</t>
  </si>
  <si>
    <t>Judiciary, Civil Liberties and Human Rights</t>
  </si>
  <si>
    <t>Women, Feminism and Media</t>
  </si>
  <si>
    <t>Music, Sound and Multimedia : From the Live to the Virtual</t>
  </si>
  <si>
    <t>Handbook of Contemporary Behavioral Economics : Foundations and Developments</t>
  </si>
  <si>
    <t>Turkmenistan: Strategies of Power, Dilemmas of Development</t>
  </si>
  <si>
    <t>Reading the Web, Second Edition : Strategies for Internet Inquiry</t>
  </si>
  <si>
    <t>E-Government: Information, Technology, and Transformation</t>
  </si>
  <si>
    <t>Democracy and Public Administration</t>
  </si>
  <si>
    <t>The Human Element : Understanding and Managing Employee Behavior</t>
  </si>
  <si>
    <t>Planning for Information Systems</t>
  </si>
  <si>
    <t>DSP-Based Electromechanical Motion Control</t>
  </si>
  <si>
    <t>The HIPAA Program Reference Handbook</t>
  </si>
  <si>
    <t>Pressure Vessels : Design and Practice</t>
  </si>
  <si>
    <t>Nanoengineering of Structural, Functional and Smart Materials</t>
  </si>
  <si>
    <t>Power Electronic Modules : Design and Manufacture</t>
  </si>
  <si>
    <t>Water Resources Systems Analysis</t>
  </si>
  <si>
    <t>Digital Image Sequence Processing, Compression, and Analysis</t>
  </si>
  <si>
    <t>Carbon Nanotubes : Science and Applications</t>
  </si>
  <si>
    <t>Statistical Data Mining and Knowledge Discovery</t>
  </si>
  <si>
    <t>Particles in Water : Properties and Processes</t>
  </si>
  <si>
    <t>Pattern Recognition in Speech and Language Processing</t>
  </si>
  <si>
    <t>Coastal Lagoons : Ecosystem Processes and Modeling for Sustainable Use and Development</t>
  </si>
  <si>
    <t>Fundamentals of Health at Work</t>
  </si>
  <si>
    <t>Biodegradable Systems in Tissue Engineering and Regenerative Medicine</t>
  </si>
  <si>
    <t>Nanoscale Technology in Biological Systems</t>
  </si>
  <si>
    <t>Network Perimeter Security : Building Defense In-Depth</t>
  </si>
  <si>
    <t>Economics and Ecological Risk Assessment : Applications to Watershed Management</t>
  </si>
  <si>
    <t>Phenolics in Food and Nutraceuticals</t>
  </si>
  <si>
    <t>Halal Food Production</t>
  </si>
  <si>
    <t>Information Security Architecture : An Integrated Approach to Security in the Organization, Second Edition</t>
  </si>
  <si>
    <t>Public Key Infrastructure : Building Trusted Applications and Web Services</t>
  </si>
  <si>
    <t>Food Processing : Principles and Applications</t>
  </si>
  <si>
    <t>Flavor Chemistry and Technology</t>
  </si>
  <si>
    <t>Image Acquisition and Processing with LabVIEW</t>
  </si>
  <si>
    <t>Absorbable and Biodegradable Polymers</t>
  </si>
  <si>
    <t>Occupational Ergonomics : Design and Management of Work Systems</t>
  </si>
  <si>
    <t>Quality Assurance for the Food Industry : A Practical Approach</t>
  </si>
  <si>
    <t>Software Architecture Design Patterns in Java</t>
  </si>
  <si>
    <t>Biomedical Image Analysis</t>
  </si>
  <si>
    <t>Statistical Tools for Environmental Quality Measurement</t>
  </si>
  <si>
    <t>Database and Applications Security : Integrating Information Security and Data Management</t>
  </si>
  <si>
    <t>Business Economics and Finance with MATLAB, GIS, and Simulation Models</t>
  </si>
  <si>
    <t>Coding and Signal Processing for Magnetic Recording Systems</t>
  </si>
  <si>
    <t>The Biology of Nematodes</t>
  </si>
  <si>
    <t>An Eye for Iran</t>
  </si>
  <si>
    <t>Europe in Emerging Asia : Opportunities and Obstacles in Political and Economic Encounters</t>
  </si>
  <si>
    <t>E-Commerce and the Digital Economy</t>
  </si>
  <si>
    <t>Electronic Customer Relationship Management</t>
  </si>
  <si>
    <t>Supporting Investors and Growth Firms : A Bottom-Up Approach to a Capital Markets Union</t>
  </si>
  <si>
    <t>Rowman &amp; Littlefield International</t>
  </si>
  <si>
    <t>Policy Network</t>
  </si>
  <si>
    <t>Dress History : New Directions in Theory and Practice</t>
  </si>
  <si>
    <t>Keywords for American Cultural Studies</t>
  </si>
  <si>
    <t>NYU Press</t>
  </si>
  <si>
    <t>The Television Will be Revolutionized</t>
  </si>
  <si>
    <t>The Protection of Minority Shareholders in Vietnam, Thailand and Malaysia.</t>
  </si>
  <si>
    <t>Managing Across Cultures: A Learning Framework</t>
  </si>
  <si>
    <t>Managing Leadership Stress</t>
  </si>
  <si>
    <t>Selling Your Ideas to Your Organization</t>
  </si>
  <si>
    <t>Who's Buying for Pets</t>
  </si>
  <si>
    <t>New Strategist Press, LLC</t>
  </si>
  <si>
    <t>Challenges in Tourism Research</t>
  </si>
  <si>
    <t>Virginia and the Panic Of 1819 : The First Great Depression and the Commonwealth</t>
  </si>
  <si>
    <t>Gambling on the American Dream : Atlantic City and the Casino Era</t>
  </si>
  <si>
    <t>Energy, Trade and Finance in Asia : A Political and Economic Analysis</t>
  </si>
  <si>
    <t>Locating Health : Historical and Anthropological Investigations of Place and Health</t>
  </si>
  <si>
    <t>The Development of the Art Market in England : Money As Muse, 1730-1900</t>
  </si>
  <si>
    <t>The Determinants of Entrepreneurship : Leadership, Culture, Institutions</t>
  </si>
  <si>
    <t>The Modern American Wine Industry : Market Formation and Growth in North Carolina</t>
  </si>
  <si>
    <t>The Aliveness of Plants : The Darwins at the Dawn of Plant Science</t>
  </si>
  <si>
    <t>Stays and Body Image in London : The Staymaking Trade, 1680-1810</t>
  </si>
  <si>
    <t>Colloquial Spanish 2 : The Next Step in Language Learning</t>
  </si>
  <si>
    <t>An EMDR Therapy Primer, Second Edition : From Practicum to Practice</t>
  </si>
  <si>
    <t>Writing for Publication in Nursing, Third Edition</t>
  </si>
  <si>
    <t>Cognitive Behavioral Therapy in K-12 School Settings : A Practitioner's Toolkit</t>
  </si>
  <si>
    <t>Mindfulness and Yoga for Self-Regulation : A Primer for Mental Health Professionals</t>
  </si>
  <si>
    <t>Nursing Case Studies on Improving Health-Related Quality of Life in Older Adults</t>
  </si>
  <si>
    <t>Gerontological Nurse Certification Review, Second Edition</t>
  </si>
  <si>
    <t>Adult-Gerontology Practice Guidelines</t>
  </si>
  <si>
    <t>Fast Facts for Evidence-Based Practice in Nursing, Second Edition : Implementing EBP in a Nutshell</t>
  </si>
  <si>
    <t>Aging, Society, and the Life Course, Fifth Edition</t>
  </si>
  <si>
    <t>Writing Winning Proposals for Nurses and Health Care Professionals</t>
  </si>
  <si>
    <t>Colloquial Swedish : The Complete Course for Beginners</t>
  </si>
  <si>
    <t>Colloquial Tamil : The Complete Course for Beginners</t>
  </si>
  <si>
    <t>Teen Library Events : A Month-by-Month Guide</t>
  </si>
  <si>
    <t>Greenwood Publishing Group, Incorporated</t>
  </si>
  <si>
    <t>Greenwood Press</t>
  </si>
  <si>
    <t>Evolutionary Theory and Ethnic Conflict</t>
  </si>
  <si>
    <t>Daily Life in Traditional China : The Tang Dynasty</t>
  </si>
  <si>
    <t>Human Resource Management in Today's Academic Library : Meeting Challenges and Creating Opportunities</t>
  </si>
  <si>
    <t>Libraries Unlimited, Incorporated</t>
  </si>
  <si>
    <t>Parenting Journey : From Conception Through the Teen Years</t>
  </si>
  <si>
    <t>In Their Own Words : Songwriters Talk about the Creative Process</t>
  </si>
  <si>
    <t>Entrepreneurship in Latin America : Perspectives on Education and Innovation</t>
  </si>
  <si>
    <t>Rabelais Encyclopedia</t>
  </si>
  <si>
    <t>Using Internet Primary Sources to Teach Critical Thinking Skills in World Literature</t>
  </si>
  <si>
    <t>Play and Educational Theory and Practice</t>
  </si>
  <si>
    <t>Children's Authors and Illustrators Too Good to Miss : Biographical Sketches and Bibliographies</t>
  </si>
  <si>
    <t>Information Literacy and Workplace Performance</t>
  </si>
  <si>
    <t>Collaborative Teaching in the Middle Grades : Inquiry Science</t>
  </si>
  <si>
    <t>Leadership Issues in the Information Literate School Community</t>
  </si>
  <si>
    <t>Educational Welcome of Latinos in the New South</t>
  </si>
  <si>
    <t>Capital Structure Paradigm : Evolution of Debt/Equity Choices</t>
  </si>
  <si>
    <t>Language Teacher's Portfolio : A Guide for Professional Development</t>
  </si>
  <si>
    <t>Sports, Exercises, and Fitness : A Guide to Reference and Information Sources</t>
  </si>
  <si>
    <t>Teaching Thinking Skills with Fairy Tales and Fantasy</t>
  </si>
  <si>
    <t>Lasting Change in Foreign Language Education : A Historical Case for Change in National Policy</t>
  </si>
  <si>
    <t>Rise of Women Entrepreneurs : People, Processes, and Global Trends</t>
  </si>
  <si>
    <t>Breaking the China-Taiwan Impasse</t>
  </si>
  <si>
    <t>Language Universals and Variation</t>
  </si>
  <si>
    <t>The Data Deluge : Can Libraries Cope with E-science?</t>
  </si>
  <si>
    <t>Newbery and Caldecott Awards, 2006 : A Guide to the Medal and Honor Books</t>
  </si>
  <si>
    <t>School Buddy System : The Practice of Collaboration</t>
  </si>
  <si>
    <t>Achieving National Board Certification for School Library Media Specialists : A Study Guide</t>
  </si>
  <si>
    <t>Ultimate Digital Library : Where the New Information Players Meet</t>
  </si>
  <si>
    <t>More Outstanding Books for the College Bound</t>
  </si>
  <si>
    <t>Picture Books Plus : 100 Extension Activities in Art, Drama, Music, Math, and Science</t>
  </si>
  <si>
    <t>Books in Bloom : Creative Patterns and Props That Bring Stories to Life</t>
  </si>
  <si>
    <t>Collaborative Strategies for Teaching Reading Comprehension : Maximizing Your Impact</t>
  </si>
  <si>
    <t>Reading Is Our Business : How Libraries Can Foster Reading Comprehension</t>
  </si>
  <si>
    <t>Poetry Aloud Here! : Sharing Poetry with Children in the Library</t>
  </si>
  <si>
    <t>Web-Based Instruction : A Guide for Libraries</t>
  </si>
  <si>
    <t>New Books Kids Like</t>
  </si>
  <si>
    <t>Creating the One-Shot Library Workshop : A Step-by-Step Guide</t>
  </si>
  <si>
    <t>Public Relations on the Net</t>
  </si>
  <si>
    <t>Export/Import Procedures and Documentation</t>
  </si>
  <si>
    <t>Agile Project Management : How to Succeed in the Face of Changing Project Requirements</t>
  </si>
  <si>
    <t>Disaster Recovery Handbook</t>
  </si>
  <si>
    <t>Qualcomm Equation : How a Fledgling Telecom Company Forged a New Path to Big Profits and Market Dominance</t>
  </si>
  <si>
    <t>Successful Talent Strategies : Achieving Superior Business Results Through Market-Focused Staffing</t>
  </si>
  <si>
    <t>Corporate Conversations : A Guide to Crafting Effective and Appropriate Internal Communications</t>
  </si>
  <si>
    <t>Raising Capital : Get The Money You Need To Grow Your Business</t>
  </si>
  <si>
    <t>Leverage : How to Get It and How to Keep It in Any Negotiation</t>
  </si>
  <si>
    <t>Outsourcing America : What's Behind Our National Crisis and How We Can Reclaim American Jobs</t>
  </si>
  <si>
    <t>How to Identify Your Organization's Training Needs : A Practical Guide to Needs Analysis</t>
  </si>
  <si>
    <t>Leader's Tool Kit : Hundreds of Tips and Techniques for Developing the Skills You Need</t>
  </si>
  <si>
    <t>Understanding Action Learning</t>
  </si>
  <si>
    <t>eBay the Smart Way : Selling, Buying and Profiting on the Web's #1 Auction Site</t>
  </si>
  <si>
    <t>Help, I'm Knee-Deep in Clutter! : Conquer the Chaos and Get Organized Once and for All</t>
  </si>
  <si>
    <t>How to Recognize and Reward Employees : 150 Ways to Inspire Peak Performance</t>
  </si>
  <si>
    <t>Beyond Buzz : The Next Generation of Word-of-Mouth Marketing</t>
  </si>
  <si>
    <t>Transforming Performance Measurement : Rethinking the Way We Measure and Drive Organizational Success</t>
  </si>
  <si>
    <t>Your Successful Real Estate Career</t>
  </si>
  <si>
    <t>Delivering Knock Your Socks off Service</t>
  </si>
  <si>
    <t>Crunch Point : The 21 Secrets to Succeeding When It Matters Most</t>
  </si>
  <si>
    <t>Mortgage Confidential : What You Need to Know That Your Lender Won't Tell You</t>
  </si>
  <si>
    <t>Power of Enterprise-Wide Project Management</t>
  </si>
  <si>
    <t>Consultative Closing : Simple Steps That Build Relationships and Win Even the Toughest Sale</t>
  </si>
  <si>
    <t>Annual Reports 101 : What the Numbers and the Fine Print Can Reveal about the True Health of a Company</t>
  </si>
  <si>
    <t>Good Governance for Nonprofits : Developing Principles and Policies for an Effective Board</t>
  </si>
  <si>
    <t>Beyond the Bubble : How to Keep the Real Estate Market in Perspective, and Profit No Matter What Happens</t>
  </si>
  <si>
    <t>Coolhunting : Chasing down the Next Big Thing</t>
  </si>
  <si>
    <t>30 Reasons Employees Hate Their Managers : What Your People May Be Thinking and What You Can Do about It</t>
  </si>
  <si>
    <t>Ensuring Fairness in Health Care Coverage : An Employer's Guide to Making Good Decisions on Tough Issues</t>
  </si>
  <si>
    <t>Ultimate Sales Tool Kit : The Versatile 15-Piece Skill Set That Every Professional Needs</t>
  </si>
  <si>
    <t>30 Days to a More Powerful Memory</t>
  </si>
  <si>
    <t>Raising Gifted Kids : Everything You Need to Know to Help Your Exceptional Child Thrive</t>
  </si>
  <si>
    <t>Award-Winning Customer Service : 101 Ways to Guarantee Great Performance</t>
  </si>
  <si>
    <t>Boys and Their Toys : Understanding Men by Understanding Their Relationship with Gadgets</t>
  </si>
  <si>
    <t>How the Paper Fish Learned to Swim : A Fable about Inspiring Creativity and Bringing New Ideas to Life</t>
  </si>
  <si>
    <t>Maximizing Project Value : Defining, Managing, and Measuring for Optimal Return</t>
  </si>
  <si>
    <t>Home Makeovers That Sell : Quick and Easy Ways to Get the Highest Possible Price</t>
  </si>
  <si>
    <t>Boom : Marketing to the Ultimate Power Consumer, the Baby Boomer Woman</t>
  </si>
  <si>
    <t>Sales Scripts That Sell</t>
  </si>
  <si>
    <t>"It" Factor : Be the One People Like, Listen to, and Remember</t>
  </si>
  <si>
    <t>Truth : The New Rules for Marketing in a Skeptical World</t>
  </si>
  <si>
    <t>Get Clients Now! : A 28-Day Marketing Program for Professionals, Consultants, and Coaches</t>
  </si>
  <si>
    <t>Manager's Guide to Rewards : What You Need to Know to Get the Best For-- and From-- Your Employees</t>
  </si>
  <si>
    <t>Emotional Intelligence for Project Managers : The People Skills You Need to Achieve Outstanding Results</t>
  </si>
  <si>
    <t>Baby on Board : Becoming a Mother Without Losing Yourself  : A Guide for Moms-to-Be</t>
  </si>
  <si>
    <t>Grand Illusion : Love, Lies, and My Life with Styx</t>
  </si>
  <si>
    <t>eBay Seller's Tax and Legal Answer Book : Everything You Need to Know to Keep the Government off Your Back and Out of Your Wallet</t>
  </si>
  <si>
    <t>Stock Investor's Pocket Calculator : A Quick Guide to All the Formulas and Ratios You Need to Invest Like a Pro</t>
  </si>
  <si>
    <t>First-Time Manager's Guide to Team Building</t>
  </si>
  <si>
    <t>Your Successful Career as a Mortgage Broker</t>
  </si>
  <si>
    <t>Survival Guide to Managing Employees from Hell : Handling Idiots, Whiners, Slackers, and Other Workplace Demons</t>
  </si>
  <si>
    <t>Fundamentals of Project Management</t>
  </si>
  <si>
    <t>Specialty Shop : How to Create Your Own Unique and Profitable Retail Business</t>
  </si>
  <si>
    <t>Real Estate Presentations That Make Millions</t>
  </si>
  <si>
    <t>Global Sourcing Logistics : How to Manage Risk and Gain Competitive Advantage in a Worldwide Marketplace</t>
  </si>
  <si>
    <t>Identity Trap : Saving Our Teens from Themselves</t>
  </si>
  <si>
    <t>101 Strategies for Recruiting Success : Where, When, and How to Find the Right People Every Time</t>
  </si>
  <si>
    <t>Untapped Riches : Never Pay off Your Mortgage, and Other Surprising Secrets for Building Wealth</t>
  </si>
  <si>
    <t>Fatty Acids in Health : Promotion and Disease Causation</t>
  </si>
  <si>
    <t>AOCS Press</t>
  </si>
  <si>
    <t>The Threads of Reading : Strategies for Literacy Development</t>
  </si>
  <si>
    <t>The Classroom of Choice : Giving Students What They Need and Getting What You Want</t>
  </si>
  <si>
    <t>The Big Picture : Education Is Everyone's Business</t>
  </si>
  <si>
    <t>Literacy Strategies for Grades 4-12 : Reinforcing the Threads of Reading</t>
  </si>
  <si>
    <t>Integrating Differentiated Instruction and Understanding by Design : Connecting Content and Kids</t>
  </si>
  <si>
    <t>The Art of School Leadership</t>
  </si>
  <si>
    <t>Taking Religion Seriously Across the Curriculum</t>
  </si>
  <si>
    <t>Association for Supervision &amp; Curriculum Development (ASCD)</t>
  </si>
  <si>
    <t>Educators As Learners : Creating a Professional Learning Community in Your School</t>
  </si>
  <si>
    <t>Learning-Driven Schools : A Practical Guide for Teachers and Principals</t>
  </si>
  <si>
    <t>Connecting Leadership with Learning : A Framework for Reflection, Planning, and Action</t>
  </si>
  <si>
    <t>Schooling by Design : Mission, Action, and Achievement</t>
  </si>
  <si>
    <t>Tests That Teach : Using Standardized Tests to Improve Instruction</t>
  </si>
  <si>
    <t>Getting to Got It! : Helping Struggling Students Learn How to Learn</t>
  </si>
  <si>
    <t>Engaging the Whole Child : Reflections on Best Practices in Learning, Teaching, and Leadership</t>
  </si>
  <si>
    <t>Tuberculosis and Nontuberculous Mycobacterial Infections</t>
  </si>
  <si>
    <t>Rapid Detection, Characterization, and Enumeration of Foodborne Pathogens</t>
  </si>
  <si>
    <t>Yeast Research : A Historical Approach</t>
  </si>
  <si>
    <t>Tree of Tales : Tolkien, Literature and Theology</t>
  </si>
  <si>
    <t>Ad Hoc and Sensor Wireless Networks : Architectures, Algorithms and Protocols</t>
  </si>
  <si>
    <t>Stem Cell and Regenerative Medicine</t>
  </si>
  <si>
    <t>Check Your English Vocabulary for Business and Administration</t>
  </si>
  <si>
    <t>A &amp; C Black</t>
  </si>
  <si>
    <t>Alfred Tennyson : The Critical Legacy</t>
  </si>
  <si>
    <t>Bertolt Brecht's Furcht und Elend des Dritten Reiches : A German Exile Drama in the Struggle against Fascism</t>
  </si>
  <si>
    <t>A Companion to the Works of Johann Gottfried Herder</t>
  </si>
  <si>
    <t>A Companion to the Works of Hermann Hesse</t>
  </si>
  <si>
    <t>A Companion to the Works of Walter Benjamin</t>
  </si>
  <si>
    <t>Perspectives on Gender in Post-1945 German Literature</t>
  </si>
  <si>
    <t>Germans As Victims in the Literary Fiction of the Berlin Republic</t>
  </si>
  <si>
    <t>Heinrich Von Kleist's Poetics of Passivity</t>
  </si>
  <si>
    <t>Goethe Yearbook 16</t>
  </si>
  <si>
    <t>Privatising Development : Transnational Law, Infrastructure and Human Rights</t>
  </si>
  <si>
    <t>Brill Academic Publishers</t>
  </si>
  <si>
    <t>Ottoman Mentality : The World of Evliya Celebi</t>
  </si>
  <si>
    <t>Augustine's Confessions : Communicative Purpose and Audience</t>
  </si>
  <si>
    <t>Facade As Spectacle : Ritual and Ideology at Wells Cathedral</t>
  </si>
  <si>
    <t>Cosmoplitan Connections : The Sindhi Diaspora, 18602000</t>
  </si>
  <si>
    <t>EU and Territorial Politics Within Member States : Conflict or Co-operation?</t>
  </si>
  <si>
    <t>Towards an International Law of CoProgressiveness</t>
  </si>
  <si>
    <t>Law of the Sea : Selected Writings</t>
  </si>
  <si>
    <t>Youth and Work in the PostIndustrial City of North America and Europe : With an Epilogue by Saskia Sassen</t>
  </si>
  <si>
    <t>Critical Theory After Habermas : Encounters and Departures</t>
  </si>
  <si>
    <t>Oliphant : Islamic Objects in Historical Context</t>
  </si>
  <si>
    <t>Rituals of Recruitment in Tang China : Reading an Annual Programme in the Collected Statements by Wang Dingbao (870940)</t>
  </si>
  <si>
    <t>High Germans in the Low Countries : German Merchants and Commerce in Golden Age Antwerp</t>
  </si>
  <si>
    <t>Mapping Meanings : The Field of New Learning in Late Qing China</t>
  </si>
  <si>
    <t>Law and Practice of the United Nations</t>
  </si>
  <si>
    <t>International Law and Sustainable Development : Principles and Practice</t>
  </si>
  <si>
    <t>Racism and Human Rights</t>
  </si>
  <si>
    <t>Maritime Delimitation and Interim Arrangements in North East Asia</t>
  </si>
  <si>
    <t>Cyberspace, Distance Learning, and Higher Education : Old and Emergent Issues of Access, Pedagogy, and Knowledge Production</t>
  </si>
  <si>
    <t>Russian Fisheries Management : The Precautinary Approach in Theory and Practice</t>
  </si>
  <si>
    <t>Universalising International Law</t>
  </si>
  <si>
    <t>Race and Ethnicity : Across Time, Space, and Discipline</t>
  </si>
  <si>
    <t>Globalization, Value Change, and Generations : A Cross-National and Intergenerational Perspective</t>
  </si>
  <si>
    <t>Environmental Governance : A Report on the Next Generation of Environmental Policy</t>
  </si>
  <si>
    <t>A Journey through the Cold War : A Memoir of Containment and Coexistence</t>
  </si>
  <si>
    <t>Blindside : How to Anticipate Forcing Events and Wild Cards in Global Politics</t>
  </si>
  <si>
    <t>Teacher Language Awareness</t>
  </si>
  <si>
    <t>Selling China : Foreign Direct Investment during the Reform Era</t>
  </si>
  <si>
    <t>Catholicism and Community in Early Modern England : Politics, Aristocratic Patronage and Religion, c.1550–1640</t>
  </si>
  <si>
    <t>Developing Cultural Adaptability: How to Work Across Differences</t>
  </si>
  <si>
    <t>Communicating Across Cultures</t>
  </si>
  <si>
    <t>Making Creativity Practical: Innovation That Gets Results</t>
  </si>
  <si>
    <t>Influence : Gaining Commitment, Getting Results</t>
  </si>
  <si>
    <t>Leading Dispersed Teams</t>
  </si>
  <si>
    <t>Managing Conflict with Direct Reports</t>
  </si>
  <si>
    <t>Maintaining Team Performance</t>
  </si>
  <si>
    <t>How to Form a Team: Five Keys to High Performance</t>
  </si>
  <si>
    <t>Managing Conflict with Your Boss</t>
  </si>
  <si>
    <t>Managing Conflict with Peers</t>
  </si>
  <si>
    <t>Leadership Networking: Connect, Collaborate, Create</t>
  </si>
  <si>
    <t>Building an Authentic Leadership Image</t>
  </si>
  <si>
    <t>Raising Sensitive Issues in a Team</t>
  </si>
  <si>
    <t>Seven Keys to Successful Mentoring</t>
  </si>
  <si>
    <t>Mentor Development in the Education of Modern Language Teachers : Mentor Development in the Education of Modern Language Teachers</t>
  </si>
  <si>
    <t>Reflections on Multiliterate Lives : Reflections on Multiliterate Lives</t>
  </si>
  <si>
    <t>Age and the Acquisition of English as a Foreign Language : Age and the Acquisition of English As a Foreign Language</t>
  </si>
  <si>
    <t>Bilingualism and Social Relations : Turkish Speakers in North West Europe</t>
  </si>
  <si>
    <t>Bilingualism and Language Pedagogy</t>
  </si>
  <si>
    <t>Multilingualism in Spain : Sociolinguistic and Psycholinguistic Aspects of Linguistic Minority Groups</t>
  </si>
  <si>
    <t>Social Justice, Poverty and Race : Normative and Empirical Points of View</t>
  </si>
  <si>
    <t>Looking Forward, Looking Back : Images of Eastern European Jewish Migration to America in Contemporary American Children¿s Literature</t>
  </si>
  <si>
    <t>Observations on the Corn Laws</t>
  </si>
  <si>
    <t>Electric Book Company</t>
  </si>
  <si>
    <t>ElecBook</t>
  </si>
  <si>
    <t>Socialism : Utopian or Scientific</t>
  </si>
  <si>
    <t>Non-Financial Performance Measurement and Management Practices in Manufacturing Firms : A Comparative International Analysis</t>
  </si>
  <si>
    <t>Nurse's Pocket Guide : Diagnosis, Prioritized Interventions and Rationales</t>
  </si>
  <si>
    <t>F.A. Davis Company</t>
  </si>
  <si>
    <t>Essentials of Anatomy and Physiology</t>
  </si>
  <si>
    <t>Nursing Care at the End of Life : Palliative Care for Patients and Families</t>
  </si>
  <si>
    <t>Communications and Broadcasting : From Wired Words to Wireless Web (Revised Edition)</t>
  </si>
  <si>
    <t>Artificial Intelligence</t>
  </si>
  <si>
    <t>Chelsea House Publishers</t>
  </si>
  <si>
    <t>Modern Robotics : Building Versatile Machines</t>
  </si>
  <si>
    <t>Midsummer Night's Dream</t>
  </si>
  <si>
    <t>Facts On File, Incorporated</t>
  </si>
  <si>
    <t>Career Opportunities in the Film Industry</t>
  </si>
  <si>
    <t>Daniel Inouye</t>
  </si>
  <si>
    <t>Earthquakes and Volcanoes</t>
  </si>
  <si>
    <t>Jonathan swift's gulliver's travels : Jonathan Swift's Gulliver's Travels (New Edition)</t>
  </si>
  <si>
    <t>Facts on File</t>
  </si>
  <si>
    <t>Telephone</t>
  </si>
  <si>
    <t>Bloom's How to Write about Herman Melville</t>
  </si>
  <si>
    <t>Child Abuse and Stress Disorders</t>
  </si>
  <si>
    <t>Encyclopedia of Computer Science and Technology</t>
  </si>
  <si>
    <t>The hero's journey : The Hero's Journey</t>
  </si>
  <si>
    <t>Bloom's How to Write About the Brontes</t>
  </si>
  <si>
    <t>Baseball Superstars : Babe Ruth</t>
  </si>
  <si>
    <t>British English A to Zed</t>
  </si>
  <si>
    <t>Baseball Superstars : Mickey Mantle</t>
  </si>
  <si>
    <t>How It Works : Digestion and Nutrition</t>
  </si>
  <si>
    <t>Baseball Superstars : Mariano Rivera</t>
  </si>
  <si>
    <t>Genetics and Evolution : Evolution</t>
  </si>
  <si>
    <t>Words to Rhyme With : A Rhyming Dictionary</t>
  </si>
  <si>
    <t>The Facts on File student's dictionary of American English : Facts On File Student's Dictionary of American English</t>
  </si>
  <si>
    <t>Biotechnology in the 21st Century : Bioinformatics, Genomics, and Proteomics</t>
  </si>
  <si>
    <t>College Majors and Careers</t>
  </si>
  <si>
    <t>Ferguson Publishing Company</t>
  </si>
  <si>
    <t>Welfare and welfare reform : Welfare and Welfare Reform</t>
  </si>
  <si>
    <t>Genetic Engineering : Manipulating the Mechanisms of Life</t>
  </si>
  <si>
    <t>Encyclopedia of the United States Constitution</t>
  </si>
  <si>
    <t>Literary Movements : Encyclopedia of Adventure Fiction</t>
  </si>
  <si>
    <t>150 Great Tech Prep Careers</t>
  </si>
  <si>
    <t>Careers in Focus : Performing Arts</t>
  </si>
  <si>
    <t>Facts On File Dictionary of Allusions : Definations and Origins of More Than 4,000 Allusions</t>
  </si>
  <si>
    <t>Science versus Crime : Science versus Crime</t>
  </si>
  <si>
    <t>Choices for the High School Graduate</t>
  </si>
  <si>
    <t>Human Body : How It Works  : Cells, Tissues, and Skin</t>
  </si>
  <si>
    <t>Shakespeare's Language</t>
  </si>
  <si>
    <t>Banned Plays : Censorship Histories of 125 Stage Dramas</t>
  </si>
  <si>
    <t>Facts On File, Inc.</t>
  </si>
  <si>
    <t>Encyclopedia of Ethnic Groups in Hollywood</t>
  </si>
  <si>
    <t>Way Out Work : Scary Jobs</t>
  </si>
  <si>
    <t>Way Out Work : Goofy Jobs</t>
  </si>
  <si>
    <t>Facts On File Dictionary of American Regionalisms</t>
  </si>
  <si>
    <t>Global Warming : Global Warming Trends</t>
  </si>
  <si>
    <t>Research and information management : Research and Information Management (3rd Edition)</t>
  </si>
  <si>
    <t>Legacy Edition : Barack Obama</t>
  </si>
  <si>
    <t>Food of the World : Afghanistan and Bangladesh</t>
  </si>
  <si>
    <t>Global Media</t>
  </si>
  <si>
    <t>Food of the World : China and India</t>
  </si>
  <si>
    <t>Food of the World : Burma and Cambodia</t>
  </si>
  <si>
    <t>Travel Agency and Tourism</t>
  </si>
  <si>
    <t>Cost Control Techniques</t>
  </si>
  <si>
    <t>Food of the World : Philippines and Singapore</t>
  </si>
  <si>
    <t>Brand Management for International Hotels</t>
  </si>
  <si>
    <t>Hotel and Hospitality Sourcebook</t>
  </si>
  <si>
    <t>Food of the World : Spain</t>
  </si>
  <si>
    <t>Food and Beverage</t>
  </si>
  <si>
    <t>Food of the World : Nepal and Pakistan</t>
  </si>
  <si>
    <t>Chemistry of Food and Nutrition</t>
  </si>
  <si>
    <t>Travel, Tourism and Hotel Glossary</t>
  </si>
  <si>
    <t>Food of the World : Malaysia and Mongolia</t>
  </si>
  <si>
    <t>Tourism and Hotel Industry</t>
  </si>
  <si>
    <t>Food of the World : Tibet and Vietnam</t>
  </si>
  <si>
    <t>Origin of Beverages</t>
  </si>
  <si>
    <t>Food of the World : Korea and Laos</t>
  </si>
  <si>
    <t>Hotel Accounting 2</t>
  </si>
  <si>
    <t>Food of the World : Indonesia and Japan</t>
  </si>
  <si>
    <t>Atithi Devo Bhavah</t>
  </si>
  <si>
    <t>Tourism Management</t>
  </si>
  <si>
    <t>Food of the World : Bhutan and Brunei</t>
  </si>
  <si>
    <t>Human Resource Development in Hospitality</t>
  </si>
  <si>
    <t>Hotel Accounting 1</t>
  </si>
  <si>
    <t>Travel and Tourism</t>
  </si>
  <si>
    <t>Water and Energy Management</t>
  </si>
  <si>
    <t>Production of Wine Beer Sprits and Liqueurs</t>
  </si>
  <si>
    <t>Principles of Hotel Management</t>
  </si>
  <si>
    <t>Lodging, Restaurant and Resort Management</t>
  </si>
  <si>
    <t>Latest Trends in Hotel Industry</t>
  </si>
  <si>
    <t>Strategic Leadership and Decision Making 1</t>
  </si>
  <si>
    <t>Strategic Leadership and Decision Making 2</t>
  </si>
  <si>
    <t>Quality Management</t>
  </si>
  <si>
    <t>Child Psychology</t>
  </si>
  <si>
    <t>C Programming</t>
  </si>
  <si>
    <t>Wine Encyclopedia</t>
  </si>
  <si>
    <t>Art of Web Page Designing</t>
  </si>
  <si>
    <t>Artist</t>
  </si>
  <si>
    <t>Floral Designing</t>
  </si>
  <si>
    <t>Dictionary of Physics, Chemistry, Biology, Mathematics</t>
  </si>
  <si>
    <t>Art of Dress Designing</t>
  </si>
  <si>
    <t>Art Of Professional Photography</t>
  </si>
  <si>
    <t>Creative Problem Solving</t>
  </si>
  <si>
    <t>Professional Landscaper : A Complete Course</t>
  </si>
  <si>
    <t>Adventures of Tom Sawyer</t>
  </si>
  <si>
    <t>Interior Decoration : A Complete Course</t>
  </si>
  <si>
    <t>Child Day Care Management</t>
  </si>
  <si>
    <t>William Shakespeare Poetry</t>
  </si>
  <si>
    <t>Gene Biotechnology</t>
  </si>
  <si>
    <t>Computer Technology and Computer Programming</t>
  </si>
  <si>
    <t>Principles and Practice of Non Life Insurance</t>
  </si>
  <si>
    <t>International Environment Policy</t>
  </si>
  <si>
    <t>College Physical Chemistry</t>
  </si>
  <si>
    <t>College Physics : Optics and Electronics</t>
  </si>
  <si>
    <t>Advertising, Sales and Promotion Management</t>
  </si>
  <si>
    <t>Textbook of Financial Cost and Management Accounting</t>
  </si>
  <si>
    <t>Hotel Marketing</t>
  </si>
  <si>
    <t>Text Book of Signals and Systems</t>
  </si>
  <si>
    <t>Text Book of Social Psychology</t>
  </si>
  <si>
    <t>Professional Cost Accounting</t>
  </si>
  <si>
    <t>Advanced Financial Management</t>
  </si>
  <si>
    <t>Business Research Methods</t>
  </si>
  <si>
    <t>Fundamentals of Money and Banking</t>
  </si>
  <si>
    <t>Logistics Management and World Seaborne Trade</t>
  </si>
  <si>
    <t>Economics for Business</t>
  </si>
  <si>
    <t>Database Management Design</t>
  </si>
  <si>
    <t>Information Security for Management</t>
  </si>
  <si>
    <t>Financial Markets and Financial Services</t>
  </si>
  <si>
    <t>Consumer Behaviour and Marketing Research : Text and Cases</t>
  </si>
  <si>
    <t>Retail Management</t>
  </si>
  <si>
    <t>Strategic Management : Concepts and Cases</t>
  </si>
  <si>
    <t>Computer Concepts and Programming in C</t>
  </si>
  <si>
    <t>Financial Markets</t>
  </si>
  <si>
    <t>Marketing Management</t>
  </si>
  <si>
    <t>Fundamentals of Marketing and Finance</t>
  </si>
  <si>
    <t>Risk Management Insurance and Derivatives</t>
  </si>
  <si>
    <t>Basic Accounts and Finance for Non-Accountants</t>
  </si>
  <si>
    <t>Insurance Management</t>
  </si>
  <si>
    <t>Cost Accounting</t>
  </si>
  <si>
    <t>Nuclear Physics</t>
  </si>
  <si>
    <t>Statistics for Management</t>
  </si>
  <si>
    <t>Management Information System</t>
  </si>
  <si>
    <t>Fundamentals of Insurance</t>
  </si>
  <si>
    <t>Communicative Approach to the Teaching of English as a Second Language</t>
  </si>
  <si>
    <t>Methodology of Research in Social Sciences</t>
  </si>
  <si>
    <t>Industrial Management</t>
  </si>
  <si>
    <t>Networking Concepts and Netware</t>
  </si>
  <si>
    <t>Introduction to Electrochemistry</t>
  </si>
  <si>
    <t>Bank Credit Management</t>
  </si>
  <si>
    <t>Services Management</t>
  </si>
  <si>
    <t>Computer Applications in Chemistry</t>
  </si>
  <si>
    <t>Internet Marketing of Tourism</t>
  </si>
  <si>
    <t>Managerial Economics</t>
  </si>
  <si>
    <t>Computer Systems and Applications</t>
  </si>
  <si>
    <t>Marketing Non-Profit Organisations</t>
  </si>
  <si>
    <t>English Language Communication Skills</t>
  </si>
  <si>
    <t>Electronic Marketing in 21st Century</t>
  </si>
  <si>
    <t>Educational Evaluation : Theory and Practice</t>
  </si>
  <si>
    <t>Channel Management and Retail Marketing</t>
  </si>
  <si>
    <t>Managing Emotional Support and Relationships : Insights in Social Psychology</t>
  </si>
  <si>
    <t>Auditing and Business Communications</t>
  </si>
  <si>
    <t>Business Management-II : Marketing and Finance</t>
  </si>
  <si>
    <t>Elements of Mechanical Engineering</t>
  </si>
  <si>
    <t>Commercial Cultivation of Medicinal and Aromatic Plants</t>
  </si>
  <si>
    <t>Methods and Techniques of Cost Accounting : Theory, Problem and Solutions</t>
  </si>
  <si>
    <t>Statistical and Mathematical Techniques in Nuclear Medicine</t>
  </si>
  <si>
    <t>Compensation Management</t>
  </si>
  <si>
    <t>Corporate Accounting</t>
  </si>
  <si>
    <t>Attention-Deficit Hyperactivity Disorder : A Handbook for Diagnosis and Treatment</t>
  </si>
  <si>
    <t>Best Dives of the Bahamas and Bermuda, Florida Keys, Turks and Caicos</t>
  </si>
  <si>
    <t>Hunter Publishing, Incorporated</t>
  </si>
  <si>
    <t>Handbook of Cost and Management Accounting</t>
  </si>
  <si>
    <t>Spiramus Press</t>
  </si>
  <si>
    <t>Spiramus</t>
  </si>
  <si>
    <t>AiA Gluten and Dairy Free Cookbook</t>
  </si>
  <si>
    <t>Advocacy and Learning Disability</t>
  </si>
  <si>
    <t>Anatomy of a Business Plan : A Step-by-Step Guide to Building a Business and Securing Your Company's Future (6th Edition)</t>
  </si>
  <si>
    <t>Dearborn Trade, A Kaplan Professional Company</t>
  </si>
  <si>
    <t>Complete Guide to Direct Marketing</t>
  </si>
  <si>
    <t>Project Management for Design Professionals</t>
  </si>
  <si>
    <t>Mechanisms of Dietary Restriction in Aging and Disease</t>
  </si>
  <si>
    <t>Marketing Code</t>
  </si>
  <si>
    <t>Marshall Cavendish Asia</t>
  </si>
  <si>
    <t>New Kid on the Block : 10 Steps to Help You Survive and Thrive in the First 100 Days of Your New Job</t>
  </si>
  <si>
    <t>36 Strategems for Business</t>
  </si>
  <si>
    <t>Agents and Dealers</t>
  </si>
  <si>
    <t>Mechanical System Design</t>
  </si>
  <si>
    <t>New Age International Ltd., Publishers (NAIP)</t>
  </si>
  <si>
    <t>Computer Network</t>
  </si>
  <si>
    <t>New Age International Ltd., Publishers</t>
  </si>
  <si>
    <t>Advances in Diet Therapy : Practical Manual</t>
  </si>
  <si>
    <t>Basic Civil and Environmental Engineering</t>
  </si>
  <si>
    <t>Basic Civil Engineering</t>
  </si>
  <si>
    <t>Basics of Environment and Ecology</t>
  </si>
  <si>
    <t>It's Time to Start Using Your Words</t>
  </si>
  <si>
    <t>10 Simple Solutions to Adult ADD : How to Overcome Chronic Distraction and Accomplish Your Goals</t>
  </si>
  <si>
    <t>Three Deuces Down</t>
  </si>
  <si>
    <t>NewSouth, Incorporated</t>
  </si>
  <si>
    <t>Managing Urban Traffic Congestion</t>
  </si>
  <si>
    <t>Organisation for Economic Cooperation and Development (OECD)</t>
  </si>
  <si>
    <t>Handbook on Deriving Capital Measures of Intellectual Property Products</t>
  </si>
  <si>
    <t>Organisation for Economic Co-Operation and Development (OECD)</t>
  </si>
  <si>
    <t>Éliminer la paperasserie : Des stratégies nationales pour simplifier les formalités administratives</t>
  </si>
  <si>
    <t>World Energy Outlook 2011</t>
  </si>
  <si>
    <t>One Day for Democracy : Independence Day and the Americanization of Iron Range Immigrants</t>
  </si>
  <si>
    <t>Teach the Free Man : Stories</t>
  </si>
  <si>
    <t>Puccini's La Bohème : Opera Journeys Libretto Series</t>
  </si>
  <si>
    <t>Bellini's I Puritani : Opera Journeys Mini Guide Series</t>
  </si>
  <si>
    <t>Donizetti's La Fille du Régiment : Opera Journeys Mini Guide Series</t>
  </si>
  <si>
    <t>Palgrave Publishers</t>
  </si>
  <si>
    <t>The 100 Best Movies You've Never Seen</t>
  </si>
  <si>
    <t>ECW Press</t>
  </si>
  <si>
    <t>Dirty Sweet : A Mystery</t>
  </si>
  <si>
    <t>50 Steps to Business Success : Entrepreneurial Leadership in Manageable Bites</t>
  </si>
  <si>
    <t>Lost Ate My Life : The Inside Story of a Fandom Like No Other</t>
  </si>
  <si>
    <t>What did we do to deserve this? : Palestinian Life Under Occupation in the West Bank</t>
  </si>
  <si>
    <t>North Korea : Caught in Time</t>
  </si>
  <si>
    <t>Architecture of the United Arab Emirates</t>
  </si>
  <si>
    <t>Art and Architecture of Islamic Cairo</t>
  </si>
  <si>
    <t>Jam Today : A Diary of Cooking With What You've Got</t>
  </si>
  <si>
    <t>Exterminating Angel Press</t>
  </si>
  <si>
    <t>Spotted : Your One and Only Unofficial Guide to Gossip Girl</t>
  </si>
  <si>
    <t>Love to Love You Bradys : The Bizarre Story of the Brady Bunch Variety Hour</t>
  </si>
  <si>
    <t>Shooting Star : The Rise &amp; Fall of the British Motorcycle Industry</t>
  </si>
  <si>
    <t>The Lord of the Films : The Unofficial Guide to Tolkien's Middle-Earth on the Big Screen</t>
  </si>
  <si>
    <t>Whispering Pines : The Northern Roots of American Music from Hank Snow to the Band</t>
  </si>
  <si>
    <t>Demi Lovato &amp; Selena Gomez : The Complete Unofficial Story of the BFFs</t>
  </si>
  <si>
    <t>Son of the 100 Best Movies You've Never Seen</t>
  </si>
  <si>
    <t>Armenian Question in the Caucasus : Russian Archive Documents and Publications</t>
  </si>
  <si>
    <t>Garnet Publishing Ltd</t>
  </si>
  <si>
    <t>Spices : A Global History</t>
  </si>
  <si>
    <t>Negotiating Ethnicity : Second-Generation South Asians Traverse a Transnational World</t>
  </si>
  <si>
    <t>I Get by with a Little Help...</t>
  </si>
  <si>
    <t>Statistical Analysis Quick Reference Guidebook : With SPSS Examples</t>
  </si>
  <si>
    <t>International Handbook of Sociology</t>
  </si>
  <si>
    <t>SAGE Publications Ltd.</t>
  </si>
  <si>
    <t>SAGE Publications Ltd. (UK)</t>
  </si>
  <si>
    <t>Modern Methods for Robust Regression</t>
  </si>
  <si>
    <t>Reading, Writing, and Inquiry in the Science Classroom, Grades 6-12 : Strategies to Improve Content Learning</t>
  </si>
  <si>
    <t>Facilitator's Guide to Differentiating the High School Classroom : Solution Strategies for 18 Common Obstacles</t>
  </si>
  <si>
    <t>Corwin Press</t>
  </si>
  <si>
    <t>File for Divorce in New York</t>
  </si>
  <si>
    <t>Sourcebooks, Incorporated</t>
  </si>
  <si>
    <t>Phytoremediation : Methods and Reviews</t>
  </si>
  <si>
    <t>Eccentric Spaces, Hidden Histories : Narrative, Ritual, and Royal Authority from the Chronicles of Japan to the Tale of the Heike</t>
  </si>
  <si>
    <t>Corruption and Realism in Late Socialist China : The Return of the Political Novel</t>
  </si>
  <si>
    <t>Revolution of the Heart : A Genealogy of Love in China, 1900-1950</t>
  </si>
  <si>
    <t>A-Z of Employment Practice</t>
  </si>
  <si>
    <t>Thorogood</t>
  </si>
  <si>
    <t>Dude, You're a Fag : Masculinity and Sexuality in High School</t>
  </si>
  <si>
    <t>Steal This Music : How Intellectual Property Law Affects Musical Creativity</t>
  </si>
  <si>
    <t>University of Georgia Press</t>
  </si>
  <si>
    <t>Affirmative Action and the University : Race, Ethnicity and Gender in Higher Education Employment</t>
  </si>
  <si>
    <t>Algonquian Spirit : Contemporary Translations of the Algonquian Literatures of North America</t>
  </si>
  <si>
    <t>Choctaw Reference Grammar</t>
  </si>
  <si>
    <t>Global Multi-level Governance</t>
  </si>
  <si>
    <t>Trafficking in Humans : Social, Cultural and Political Dimensions</t>
  </si>
  <si>
    <t>World Religions and Norms of War</t>
  </si>
  <si>
    <t>National Interest and International Solidarity : Particular and Universal Ethics in International Life</t>
  </si>
  <si>
    <t>Atrocities and International Accountability : Beyond Transnational Justice</t>
  </si>
  <si>
    <t>Institutional Interplay : Biosafety and Trade</t>
  </si>
  <si>
    <t>International Water Security</t>
  </si>
  <si>
    <t>Interlinkages and the Effectiveness of Multilateral Environmental Agreements</t>
  </si>
  <si>
    <t>Urban Crisis : Culture and the Sustainability of Cities</t>
  </si>
  <si>
    <t>Early Stone Houses of Kentucky</t>
  </si>
  <si>
    <t>Comics as Philosophy</t>
  </si>
  <si>
    <t>Lazy Virtues : Teaching Writing in the Age of Wikipedia</t>
  </si>
  <si>
    <t>Vanderbilt University Press</t>
  </si>
  <si>
    <t>Music Scenes : Local, Translocal, and Virtual</t>
  </si>
  <si>
    <t>Islam and Social Policy</t>
  </si>
  <si>
    <t>Aiding Students, Buying Students : Financial Aid in America</t>
  </si>
  <si>
    <t>Postcolonizing the Commonwealth : Studies in Literature and Culture</t>
  </si>
  <si>
    <t>Social Policy and Practice in Canada : A History</t>
  </si>
  <si>
    <t>This Woman in Particular : Contexts for the Biographical Image of Emily Carr</t>
  </si>
  <si>
    <t>Cold Peace : Stalin and the Soviet Ruling Circle, 1945-1953</t>
  </si>
  <si>
    <t>Global Governance of Financial Systems : The International Regulation of Systemic Risk</t>
  </si>
  <si>
    <t>Handbook of Positive Psychology</t>
  </si>
  <si>
    <t>The Changing Face of Christianity : Africa, the West, and the World</t>
  </si>
  <si>
    <t>Classification and Cognition</t>
  </si>
  <si>
    <t>Exiled Royalties : Melville and the Life We Imagine</t>
  </si>
  <si>
    <t>Empiricism and Experience</t>
  </si>
  <si>
    <t>The Gestural Origin of Language</t>
  </si>
  <si>
    <t>Youth-Led Community Organizing : Theory and Action</t>
  </si>
  <si>
    <t>Roots of the Classical : The Popular Origins of Western Music</t>
  </si>
  <si>
    <t>Four Illusions : Candrakirti's Advice for Travelers on the Bodhisattva Path</t>
  </si>
  <si>
    <t>Ways of Listening : An Ecological Approach to the Perception of Musical Meaning</t>
  </si>
  <si>
    <t>The Art of Performance : A Critique of Contemporary Musical Research</t>
  </si>
  <si>
    <t>Talk That Counts : Age, Gender, and Social Class Differences in Discourse</t>
  </si>
  <si>
    <t>Donald Davidson's Truth-Theoretic Semantics</t>
  </si>
  <si>
    <t>Modern Art : A Very Short Introduction</t>
  </si>
  <si>
    <t>Biography and the Question of Literature in France</t>
  </si>
  <si>
    <t>The China Question : Great Power Rivalry and British Isolation, 1894-1905</t>
  </si>
  <si>
    <t>Human Rights and Public Health in the AIDS Pandemic</t>
  </si>
  <si>
    <t>Neighborhoods and Health</t>
  </si>
  <si>
    <t>Terrorism and Public Health : A Balanced Approach to Strengthening Systems and Protecting People</t>
  </si>
  <si>
    <t>Room Acoustics</t>
  </si>
  <si>
    <t>Handbook of Wireless Local Area Networks : Applications, Technology, Security, and Standards</t>
  </si>
  <si>
    <t>Regional Scale Ecological Risk Assessment : Using the Relative Risk Model</t>
  </si>
  <si>
    <t>Fundamentals of Natural Gas Processing</t>
  </si>
  <si>
    <t>Spice for Power Electronics and Electric Power</t>
  </si>
  <si>
    <t>Mechanics of Fluids</t>
  </si>
  <si>
    <t>Management of Pollutant Emission from Landfills and Sludge</t>
  </si>
  <si>
    <t>Virtual and Rapid Manufacturing : Advanced Research in Virtual and Rapid Prototyping</t>
  </si>
  <si>
    <t>The Child As Thinker : The Development and Acquisition of Cognition in Childhood</t>
  </si>
  <si>
    <t>Environmental Management : Principles and Practice</t>
  </si>
  <si>
    <t>Introduction to Vygotsky</t>
  </si>
  <si>
    <t>Literature about Language</t>
  </si>
  <si>
    <t>Family Therapy : First Steps Towards a Systemic Approach</t>
  </si>
  <si>
    <t>Women and Film : Both Sides of the Camera</t>
  </si>
  <si>
    <t>Attention in Vision : Perception, Communication and Action</t>
  </si>
  <si>
    <t>Cultural Studies : Volume 7, Issue 1</t>
  </si>
  <si>
    <t>Understanding Experience : Psychotherapy and Postmodernism</t>
  </si>
  <si>
    <t>A Short History of Greek Literature : Theoretical Policy Alternatives to Neoliberalism</t>
  </si>
  <si>
    <t>The Baccalaureate : A Model for Curriculum Reform</t>
  </si>
  <si>
    <t>E-Moderating : The Key to Teaching and Learning Online</t>
  </si>
  <si>
    <t>Universal Grammar in Second-Language Acquisition : A History</t>
  </si>
  <si>
    <t>Critical Voices in School Reform : Students Living Through Change</t>
  </si>
  <si>
    <t>Skilled Interpersonal Communication : Research, Theory and Practice (4th Edition)</t>
  </si>
  <si>
    <t>Music, Mind and Education</t>
  </si>
  <si>
    <t>Lecturers Toolkit : A Practical Guide to Learning, Teaching and Assessment</t>
  </si>
  <si>
    <t>Rethinking Schooling : Twenty-Five Years of the Journal of Curriculum Studies</t>
  </si>
  <si>
    <t>Discourse Markers Across Languages : A Contrastive Study of Second-Level Discourse Markers in Native and Non-Native Text with Implications for General and Pedagogic Lexicography</t>
  </si>
  <si>
    <t>Taboo : Sex, Identity and Erotic Subjectivity in Anthropological Fieldwork</t>
  </si>
  <si>
    <t>Energy, Wealth and Governance in the Caucasus and Central Asia : Lessons Not Learned</t>
  </si>
  <si>
    <t>Effective Teacher's Guide to Behavioural, Emotional and Social Difficulties : Practical Strategies</t>
  </si>
  <si>
    <t>A Handbook for Teaching and Learning in Higher Education : Enhancing Academic Practice</t>
  </si>
  <si>
    <t>China's Environment and the Challenge of Sustainable Development</t>
  </si>
  <si>
    <t>Guide to Economic Indicators</t>
  </si>
  <si>
    <t>J. D. Salinger's the Catcher in the Rye : A Routledge Study Guide</t>
  </si>
  <si>
    <t>Developing Personal Potential</t>
  </si>
  <si>
    <t>Consumer Culture, Identity and Well-Being : The Search for the 'Good Life' and the 'Body Perfect'</t>
  </si>
  <si>
    <t>Roman Social History : A Sourcebook</t>
  </si>
  <si>
    <t>Deleuze and Guattari for Architects</t>
  </si>
  <si>
    <t>Counselling and Psychotherapy in Contemporary Private Practice</t>
  </si>
  <si>
    <t>Teaching and Learning in Further Education : Diversity and Change</t>
  </si>
  <si>
    <t>Codifying Cyberspace : Communications Self-Regulation in the Age of Internet Convergence</t>
  </si>
  <si>
    <t>The People's Congresses and Governance in China : Toward a Network Mode of Governance</t>
  </si>
  <si>
    <t>Visual Effects and Animation Series : Producing Independent 2D Character Animation  : Making and Selling a Short Film</t>
  </si>
  <si>
    <t>Law and the Beautiful Soul</t>
  </si>
  <si>
    <t>Theory/Theatre : An Introduction</t>
  </si>
  <si>
    <t>The Challenge of English in the National Curriculum</t>
  </si>
  <si>
    <t>Archaeological Method and Theory : An Encyclopedia</t>
  </si>
  <si>
    <t>Enterprise and Venture Capital : A Business Builder's and Investor's Handbook (4th Edition)</t>
  </si>
  <si>
    <t>Buddhism for Busy People : Finding Happiness in an Uncertain World</t>
  </si>
  <si>
    <t>Cooking with Baz : [How I Got to Know My Father]</t>
  </si>
  <si>
    <t>Sheyne Rowley's Dream Baby Guide</t>
  </si>
  <si>
    <t>Beginning Reading</t>
  </si>
  <si>
    <t>Physiology of the Skin</t>
  </si>
  <si>
    <t>Allured Business Media</t>
  </si>
  <si>
    <t>Allured Books</t>
  </si>
  <si>
    <t>Bioenergy and Biofuel from Biowastes and Biomass</t>
  </si>
  <si>
    <t>American Society of Civil Engineers</t>
  </si>
  <si>
    <t>After Jena : Goethe's Elective Affinities and the End of the Old Regime</t>
  </si>
  <si>
    <t>Bucknell University Press</t>
  </si>
  <si>
    <t>Women of a Certain Age : Contemporary Italian Fictions of Female Aging</t>
  </si>
  <si>
    <t>Fairleigh Dickinson University Press</t>
  </si>
  <si>
    <t>Associated University Presses</t>
  </si>
  <si>
    <t>Classics and Translation : Essays</t>
  </si>
  <si>
    <t>Water Rates, Fees, And The Legal Environment</t>
  </si>
  <si>
    <t>American Water Works Association</t>
  </si>
  <si>
    <t>Young and the Digital : What the Migration to Social Network Sites, Games, and Anytime, Anywhere Media Means for Our Future</t>
  </si>
  <si>
    <t>Beacon Press</t>
  </si>
  <si>
    <t>Business Statistics of the United States : Patterns of Economic Change (11th Edition, 2006)</t>
  </si>
  <si>
    <t>Bernan Associates</t>
  </si>
  <si>
    <t>The Eyes of Faith : The Sense of the Faithful and the Church's Reception of Revelation</t>
  </si>
  <si>
    <t>Catholic University of America Press</t>
  </si>
  <si>
    <t>Adobe Photoshop Forensics : Sleuths, Truths, and Fauxtography</t>
  </si>
  <si>
    <t>Course Technology</t>
  </si>
  <si>
    <t>Course Technology / Cengage Learning</t>
  </si>
  <si>
    <t>Multi-Threaded Game Engine Design</t>
  </si>
  <si>
    <t>Cengage Learning</t>
  </si>
  <si>
    <t>Hitler's Library</t>
  </si>
  <si>
    <t>Central European University Press</t>
  </si>
  <si>
    <t>Central European University Press (CEU Press)</t>
  </si>
  <si>
    <t>Jews at the Crossroads : Tradition and Accomodation during the Golden Age of the Hungarian Nobility</t>
  </si>
  <si>
    <t>State-building : A Comparative Study of Ukraine, Lithuania, Belarus, and Russia</t>
  </si>
  <si>
    <t>Trimming the Sails : The Comparative Political Economy of Expansionary Fiscal Consolidations</t>
  </si>
  <si>
    <t>Times of History : Universal Topics in Islamic Historiography</t>
  </si>
  <si>
    <t>Performatism, or, the End of Postmodernism</t>
  </si>
  <si>
    <t>The Davies Group, Publishers</t>
  </si>
  <si>
    <t>After Oedipus : Shakespeare in Psychoanalysis</t>
  </si>
  <si>
    <t>¿Qué debo saber de finanzas para crear mi propia empresa?</t>
  </si>
  <si>
    <t>Marcombo</t>
  </si>
  <si>
    <t>10 palabras clave sobre pastoral con jóvenes</t>
  </si>
  <si>
    <t>Editorial Verbo Divino</t>
  </si>
  <si>
    <t>¿Qué se sabe de... Jesús de Nazaret?</t>
  </si>
  <si>
    <t>10 palabras clave ante el final de la vida</t>
  </si>
  <si>
    <t>10 palabras clave en la construcción personal</t>
  </si>
  <si>
    <t>¿Acarició Jesús de Nazaret?</t>
  </si>
  <si>
    <t>Business Knowledge for IT in Global Retail Banking</t>
  </si>
  <si>
    <t>Essvale Corporation</t>
  </si>
  <si>
    <t>Business Knowledge for IT in Global Investment Banking</t>
  </si>
  <si>
    <t>Dante and the Origins of Italian Literary Culture</t>
  </si>
  <si>
    <t>Fordham University Press</t>
  </si>
  <si>
    <t>Memory : Histories, Theories, Debates</t>
  </si>
  <si>
    <t>Communications Research in Action : Scholar-Activist Collaborations for a Democratic Public Sphere</t>
  </si>
  <si>
    <t>Phenomenologies of the Stranger : Between Hostility and Hospitality</t>
  </si>
  <si>
    <t>Taking AIM! : The Business of Being an Artist Today</t>
  </si>
  <si>
    <t>Children's Health Issues in Historical Perspective</t>
  </si>
  <si>
    <t>Wild Fire : Art as Activism</t>
  </si>
  <si>
    <t>Sumach Press</t>
  </si>
  <si>
    <t>Man and Beast</t>
  </si>
  <si>
    <t>Biblical and Classical Myths : The Mythological Framework of Western Culture</t>
  </si>
  <si>
    <t>University of Toronto Press</t>
  </si>
  <si>
    <t>Travelling Concepts in the Humanities : A Rough Guide</t>
  </si>
  <si>
    <t>Empowering Children : Children’s Rights Education as a Pathway to Citizenship</t>
  </si>
  <si>
    <t>Cinema and Semiotic : Peirce and Film Aesthetics, Narration, and Representation</t>
  </si>
  <si>
    <t>Who Cares? : Women's Work, Childcare, and Welfare State Redesign</t>
  </si>
  <si>
    <t>Workfare : Why Good Social Policy Ideas Go Bad</t>
  </si>
  <si>
    <t>Finance computationnelle et gestion des risques : Ingénierie financière avec applications &lt;i&gt;Excel&lt;/i&gt; (&lt;i&gt;Visual Basic&lt;/i&gt;) et &lt;i&gt;Matlab&lt;/i&gt;</t>
  </si>
  <si>
    <t>Les Presses de l’Université du Québec</t>
  </si>
  <si>
    <t>Les Presses de l'Université du Québec</t>
  </si>
  <si>
    <t>États-Unis/Cuba : Les interventions d'un empire, l'autodétermination d'un peuple</t>
  </si>
  <si>
    <t>Who's Who in Canadian Business 2002, Twenty-second Edition</t>
  </si>
  <si>
    <t>African Women and ICTs : Investigating Technology, Gender and Empowerment</t>
  </si>
  <si>
    <t>IDRC Books / Les Éditions du CRDI</t>
  </si>
  <si>
    <t>IDRC Books / Les Éditions du CRDI &amp; Zed Books</t>
  </si>
  <si>
    <t>Éthique et publicité</t>
  </si>
  <si>
    <t>Les Presses de l'Université Laval</t>
  </si>
  <si>
    <t>Catching Spring</t>
  </si>
  <si>
    <t>Orca Book Publishers</t>
  </si>
  <si>
    <t>Market Dynamics and Productivity in Developing Countries : Economic Reforms in the Middle East and North Africa</t>
  </si>
  <si>
    <t>IDRC Books / Les Éditions du CRDI &amp; Springer</t>
  </si>
  <si>
    <t>The Global Food Crisis : Governance Challenges and Opportunities</t>
  </si>
  <si>
    <t>Russian Mystics</t>
  </si>
  <si>
    <t>Gorgias Press, LLC</t>
  </si>
  <si>
    <t>Gorgias Press</t>
  </si>
  <si>
    <t>Beginner's Guide to Charting Financial Markets : A Practical Introduction To Technical Analysis For Investors</t>
  </si>
  <si>
    <t>Harriman House</t>
  </si>
  <si>
    <t>Healthcare C-Suite : Leadership Development at the Top</t>
  </si>
  <si>
    <t>Health Administration Press</t>
  </si>
  <si>
    <t>Leadership in Healthcare : Essential Values and Skills</t>
  </si>
  <si>
    <t>Responding to Healthcare Reform : A Strategy Guide for Healthcare Leaders</t>
  </si>
  <si>
    <t>Anticipate, Respond, Recover : Healthcare Leadership and Catastrophic Events</t>
  </si>
  <si>
    <t>Accountable Care Organizations : Your Guide to Design, Strategy, and Implementation</t>
  </si>
  <si>
    <t>Consumer-Centric Healthcare : Opportunities and Challenges for Providers</t>
  </si>
  <si>
    <t>Internet-Based Workplace Communications : Industry and Academic Applications</t>
  </si>
  <si>
    <t>Advances in Security and Payment Methods for Mobile Commerce</t>
  </si>
  <si>
    <t>Practicing E-Government : A Global Perspective</t>
  </si>
  <si>
    <t>Managing Business in a Multi-Channel World : Success Factors for E-Business</t>
  </si>
  <si>
    <t>Advanced Topics in Database Research</t>
  </si>
  <si>
    <t>Managing E-Learning Strategies : Design, Delivery, Implementation and Evaluation</t>
  </si>
  <si>
    <t>Agent-Oriented Methodologies</t>
  </si>
  <si>
    <t>Online Assessment, Measurement and Evaluation : Emerging Practices</t>
  </si>
  <si>
    <t>Online Assessment and Measurement : Foundations and Challenges</t>
  </si>
  <si>
    <t>Intelligent Infrastructure for Knowledge Intensive Organizations</t>
  </si>
  <si>
    <t>Global Integrated Supply Chain Systems</t>
  </si>
  <si>
    <t>Electronic Business in Developing Countries : Opportunities and Challenges</t>
  </si>
  <si>
    <t>Authentic Learning Environments in Higher Education</t>
  </si>
  <si>
    <t>Web-Based Intelligent E-Learning Systems : Technologies and Applications</t>
  </si>
  <si>
    <t>Management of the Object-Oriented Development Process</t>
  </si>
  <si>
    <t>Fuzzy Databases : Modeling, Design and Implementation</t>
  </si>
  <si>
    <t>Teaching and Learning with Virtual Teams</t>
  </si>
  <si>
    <t>Artifical Neural Networks in Real-Life Applications</t>
  </si>
  <si>
    <t>Empowering Marginal Communities with Information Networking</t>
  </si>
  <si>
    <t>Computational Economics : A Perspective from Computational Intelligence</t>
  </si>
  <si>
    <t>Global Electronic Business Research : Opportunities and Directions</t>
  </si>
  <si>
    <t>Managing Modern Organizations with Information Technology</t>
  </si>
  <si>
    <t>Digital Accounting : The Effects of the Internet and ERP on Accounting</t>
  </si>
  <si>
    <t>Technology and Problem-Based Learning</t>
  </si>
  <si>
    <t>Global Information Technology and Competitive Financial Alliances</t>
  </si>
  <si>
    <t>Diversity in Information Technology Education : Issues and Controversies</t>
  </si>
  <si>
    <t>Web Portfolio Design and Application</t>
  </si>
  <si>
    <t>Teaching with Educational Technology in the 21st Century : The Case of the Asia Pacific Region</t>
  </si>
  <si>
    <t>Self, Peer and Group Assessment in E-Learning</t>
  </si>
  <si>
    <t>Encyclopedia of Human Computer Interaction</t>
  </si>
  <si>
    <t>Handbook of Research on Literacy in Technology at the K-12 Level</t>
  </si>
  <si>
    <t>Encyclopedia of Database Technologies and Applications</t>
  </si>
  <si>
    <t>Encyclopedia of Developing Regional Communities with Information and Communication Technology</t>
  </si>
  <si>
    <t>Encyclopedia of Knowledge Management</t>
  </si>
  <si>
    <t>Encyclopedia of Information Science and Technology</t>
  </si>
  <si>
    <t>Encyclopedia of Multimedia Technology and Networking</t>
  </si>
  <si>
    <t>Encyclopedia of Data Warehousing and Mining</t>
  </si>
  <si>
    <t>Encyclopedia of Communities of Practice in Information and Knowledge Management</t>
  </si>
  <si>
    <t>Handbook of Research on Mobile Multimedia</t>
  </si>
  <si>
    <t>Handbook of Research on ePortfolios</t>
  </si>
  <si>
    <t>Cases on Strategic Information Systems</t>
  </si>
  <si>
    <t>Emerging Trends and Challenges in Information Technology Management</t>
  </si>
  <si>
    <t>Neural Networks in Finance and Manufacturing</t>
  </si>
  <si>
    <t>Processing and Managing Complex Data for Decision Support</t>
  </si>
  <si>
    <t>Enterprise Systems Education in the 21st Century</t>
  </si>
  <si>
    <t>Small Business Clustering Technologies : Applications in Marketing, Management, IT and Economics</t>
  </si>
  <si>
    <t>Web Data Management Practices : Emerging Techniques and Technologies</t>
  </si>
  <si>
    <t>Enterprise Modeling and Computing with UML</t>
  </si>
  <si>
    <t>Enterprise Service Computing : From Concept to Deployment</t>
  </si>
  <si>
    <t>User-Centered Design of Online Learning Communities</t>
  </si>
  <si>
    <t>Advances in Electronic Business</t>
  </si>
  <si>
    <t>Knowledge Management Systems : Value Shop Creation</t>
  </si>
  <si>
    <t>Outsourcing Management Information Systems</t>
  </si>
  <si>
    <t>Human Computer Interaction Research in Web Design and Evaluation</t>
  </si>
  <si>
    <t>Integrating Information and Communications Technologies Into the Classroom</t>
  </si>
  <si>
    <t>Artificial Intelligence and Integrated Intelligent Information Systems : Emerging Technologies and Applications</t>
  </si>
  <si>
    <t>Information Quality Management : Theory and Applications</t>
  </si>
  <si>
    <t>Emerging Spatial Information Systems and Applications</t>
  </si>
  <si>
    <t>Reference Modeling for Business Systems Analysis</t>
  </si>
  <si>
    <t>Making the Transition to E-Learning : Strategies and Issues</t>
  </si>
  <si>
    <t>Challenges of Managing Information Quality in Service Organizations</t>
  </si>
  <si>
    <t>CIO and Corporate Strategic Management : Changing Role of CIO to CEO</t>
  </si>
  <si>
    <t>Advanced Teaching Methods for the Technology Classroom</t>
  </si>
  <si>
    <t>Intelligent Databases : Technologies and Applications</t>
  </si>
  <si>
    <t>Games and Simulations in Online Learning : Research and Development Frameworks</t>
  </si>
  <si>
    <t>Technology and Diversity in Higher Education : New Challenges</t>
  </si>
  <si>
    <t>Advances in Universal Web Design and Evaluation : Research, Trends and Opportunities</t>
  </si>
  <si>
    <t>Web Services Security and E-Business</t>
  </si>
  <si>
    <t>Global E-Government : Theory, Applications and Benchmarking</t>
  </si>
  <si>
    <t>Open Source for Knowledge and Learning Management : Strategies Beyond Tools</t>
  </si>
  <si>
    <t>Information Technology Ethics : Cultural Perspectives</t>
  </si>
  <si>
    <t>Semantic Web Technologies and E-Business : Toward the Integrated Virtual Organization and Business Process Automation</t>
  </si>
  <si>
    <t>Information and Communication Technologies for Economic and Regional Developments</t>
  </si>
  <si>
    <t>Architecture of Reliable Web Applications Software</t>
  </si>
  <si>
    <t>E-Business Innovation and Process Management</t>
  </si>
  <si>
    <t>Application of Agents and Intelligent Information Technologies</t>
  </si>
  <si>
    <t>Semiotics and Intelligent Systems Development</t>
  </si>
  <si>
    <t>Advances in Machine Learning Applications in Software Engineering</t>
  </si>
  <si>
    <t>Business Data Communications and Networking : A Research Perspective</t>
  </si>
  <si>
    <t>Competencies in Organizational E-Learning : Concepts and Tools</t>
  </si>
  <si>
    <t>Information Communication Technologies and Human Development : Opportunities and Challenges</t>
  </si>
  <si>
    <t>Emerging Information Resources Management and Technologies</t>
  </si>
  <si>
    <t>Intelligent Assistant Systems : Concepts, Techniques and Technologies</t>
  </si>
  <si>
    <t>Knowledge and Technology Management in Virtual Organizations : Issues, Trends, Opportunities and Solutions</t>
  </si>
  <si>
    <t>Data Warehouses and OLAP : Concepts, Architectures and Solutions</t>
  </si>
  <si>
    <t>Research and Trends in Data Mining Technologies and Applications</t>
  </si>
  <si>
    <t>Cases on Global E-Learning Practices : Successes and Pitfalls</t>
  </si>
  <si>
    <t>Web Mobile-Based Applications for Healthcare Management</t>
  </si>
  <si>
    <t>Adaptive Technologies and Business Integration : Social, Managerial and Organizational Dimensions</t>
  </si>
  <si>
    <t>Issues and Trends in Technology and Human Interaction</t>
  </si>
  <si>
    <t>Enhancing Learning Through Human Computer Interaction</t>
  </si>
  <si>
    <t>Information Technology and Social Justice</t>
  </si>
  <si>
    <t>Knowledge Management in Modern Organizations</t>
  </si>
  <si>
    <t>e-Procurement in Emerging Economies : Theory and Cases</t>
  </si>
  <si>
    <t>Emerging Technologies of Augmented Reality : Interfaces and Design</t>
  </si>
  <si>
    <t>Utilizing and Managing Commerce and Services Online</t>
  </si>
  <si>
    <t>Dictionary of Information Science and Technology</t>
  </si>
  <si>
    <t>Knowledge-Based Enterprise : Theories and Fundamentals</t>
  </si>
  <si>
    <t>Designing for Networked Communications : Strategies and Development</t>
  </si>
  <si>
    <t>Information Resources Management : Global Challenges</t>
  </si>
  <si>
    <t>Control and Constraint in E-Learning : Choosing When to Choose</t>
  </si>
  <si>
    <t>Linguistic and Cultural Online Communication Issues in the Global Age</t>
  </si>
  <si>
    <t>Online Education for Lifelong Learning</t>
  </si>
  <si>
    <t>Strategies and Policies in Digital Convergence</t>
  </si>
  <si>
    <t>Modern Public Information Technology Systems : Issues and Challenges</t>
  </si>
  <si>
    <t>Case Studies on Digital Government</t>
  </si>
  <si>
    <t>Business Dynamics in Information Technology</t>
  </si>
  <si>
    <t>Trust in E-Services : Technologies, Practices, and Challenges</t>
  </si>
  <si>
    <t>Ubiquitous and Prevasive Knowledge and Learning Management : Semantics, Social Networking and New Media to Their Full Potential</t>
  </si>
  <si>
    <t>Tools for Successful Online Teaching</t>
  </si>
  <si>
    <t>Agile Software Development Quality Assurance</t>
  </si>
  <si>
    <t>Social Implications and Challenges of E-Business</t>
  </si>
  <si>
    <t>Managing Information Communication Technology Investments in Successful Enterprises</t>
  </si>
  <si>
    <t>Modeling and Analysis of Enterprise Information Systems</t>
  </si>
  <si>
    <t>E-Business Process Management : Technologies and Solutions</t>
  </si>
  <si>
    <t>Advances in Audio and Speech Signal Processing : Technologies and Applications</t>
  </si>
  <si>
    <t>Strategies for Information Technology and Intellectual Capital : Challenges and Opportunities</t>
  </si>
  <si>
    <t>Encyclopedia of Portal Technologies and Applications</t>
  </si>
  <si>
    <t>Semantic Web Services : Theory, Tools and Applications</t>
  </si>
  <si>
    <t>Learning Objects for Instruction : Design and Evaluation</t>
  </si>
  <si>
    <t>Design Pattern Formalization Techniques</t>
  </si>
  <si>
    <t>Knowledge Discovery and Data Mining : Challenges and Realities</t>
  </si>
  <si>
    <t>Managing Worldwide Operations and Communications with Information Technology</t>
  </si>
  <si>
    <t>Information and Communication Technologies in Support of the Tourism Industry</t>
  </si>
  <si>
    <t>Architectural Design of Multi-Agent Systems : Technologies and Techniques</t>
  </si>
  <si>
    <t>Higher Creativity for Virtual Teams : Developing Platforms for Co-Creation</t>
  </si>
  <si>
    <t>Strategic Use of Information Technology for Global Organizations</t>
  </si>
  <si>
    <t>Bayesian Network Technologies : Applications and Graphical Models</t>
  </si>
  <si>
    <t>Contemporary Issues in Database Design and Information Systems Development</t>
  </si>
  <si>
    <t>E-Supply Chain Technologies and Management</t>
  </si>
  <si>
    <t>Socio-Technical Knowledge Management : Studies and Initiatives</t>
  </si>
  <si>
    <t>Instructional Design : Case Studies in Communities of Practice</t>
  </si>
  <si>
    <t>Mobile Government : An Emerging Direction in E-Government</t>
  </si>
  <si>
    <t>Research Issues in Systems Analysis and Design, Databases and Software Development</t>
  </si>
  <si>
    <t>Modern Technologies in Web Services Research</t>
  </si>
  <si>
    <t>Managing Strategic Intelligence : Techniques and Technologies</t>
  </si>
  <si>
    <t>Enterprise Architecture and Integration : Methods, Implementation, and Technologies</t>
  </si>
  <si>
    <t>ECommerce in Regional Small to Medium Enterprises</t>
  </si>
  <si>
    <t>Mass Customization Information Systems in Business</t>
  </si>
  <si>
    <t>Contemporary Chief Information Officers : Management Experiences</t>
  </si>
  <si>
    <t>Encyclopedia of Information Ethics and Security</t>
  </si>
  <si>
    <t>Handbook of Research on Open Source Software : Technological, Economic and Social Perspectives</t>
  </si>
  <si>
    <t>Cyber Warfare and Cyber Terrorism</t>
  </si>
  <si>
    <t>Organizational Cognition and Learning : Building Systems for the Learning Organization</t>
  </si>
  <si>
    <t>Emerging Free and Open Source Software Practices</t>
  </si>
  <si>
    <t>Information Systems and Technology Education : From the University to the Workplace</t>
  </si>
  <si>
    <t>Managing Information Assurance in Financial Services</t>
  </si>
  <si>
    <t>Advances in Enterprise Information Technology Security</t>
  </si>
  <si>
    <t>Consumer Adoption and Usage of Broadband</t>
  </si>
  <si>
    <t>Agent and Web Service Technologies in Virtual Enterprises</t>
  </si>
  <si>
    <t>Information Technology and Economic Development</t>
  </si>
  <si>
    <t>Videoconferencing Technology in K-12 Instruction : Best Practices and Trends</t>
  </si>
  <si>
    <t>Knowledge Management : Concepts, Methodologies, Tools, and Applications</t>
  </si>
  <si>
    <t>Technology Application Competencies for K-12 Teachers</t>
  </si>
  <si>
    <t>Visual Languages for Interactive Computing : Definitions and Formalizations</t>
  </si>
  <si>
    <t>Digital Audio Watermarking Techniques and Technologies : Applications and Benchmarks</t>
  </si>
  <si>
    <t>Information Security and Ethics : Concepts, Methodologies, Tools, and Applications, Volumes 1-6</t>
  </si>
  <si>
    <t>Computer-Mediated Relationships and Trust : Managerial and Organizational Effects</t>
  </si>
  <si>
    <t>Data Mining Patterns : New Methods and Applications</t>
  </si>
  <si>
    <t>Cases on Information Technology Entrepreneurship</t>
  </si>
  <si>
    <t>Rough Computing : Theories, Technologies and Applications</t>
  </si>
  <si>
    <t>Cost Estimation Techniques for Web Projects</t>
  </si>
  <si>
    <t>Securing the Information Infrastructure</t>
  </si>
  <si>
    <t>Knowledge and Knowledge Systems : Learning from the Wonders of the Mind</t>
  </si>
  <si>
    <t>Global Mobile Commerce : Strategies, Implementation and Case Studies</t>
  </si>
  <si>
    <t>Encyclopedia of Internet Technologies and Applications</t>
  </si>
  <si>
    <t>Date Mining with Ontologies : Implementations, Findings and Frameworks</t>
  </si>
  <si>
    <t>Commerce in Space : Infrastructures, Technologies, and Applications</t>
  </si>
  <si>
    <t>Intelligent Music Information Systems : Tools and Methodologies</t>
  </si>
  <si>
    <t>Developing Successful ICT Strategies : Competitive Advantages in a Global Knowledge-Driven Society</t>
  </si>
  <si>
    <t>Handbook of Research on Instructional Systems and Technology</t>
  </si>
  <si>
    <t>Simulation and Modeling : Current Technologies and Applications</t>
  </si>
  <si>
    <t>Social Simulation : Technologies, Advances and New Discoveries</t>
  </si>
  <si>
    <t>Implementing Information Technology Governance : Models, Practices and Cases</t>
  </si>
  <si>
    <t>Temporal and Spatio-Temporal Data Mining</t>
  </si>
  <si>
    <t>Strategic Knowledge Management in Multinational Organizations</t>
  </si>
  <si>
    <t>Mathematical Methods for Knowledge Discovery and Data Mining</t>
  </si>
  <si>
    <t>Interactive Multimedia Music Technologies</t>
  </si>
  <si>
    <t>Advances in Banking Technology and Management : Impacts of ICT and CRM</t>
  </si>
  <si>
    <t>High Sierra Industries : IS Gridlock</t>
  </si>
  <si>
    <t>Successes and New Directions in Data Mining</t>
  </si>
  <si>
    <t>Architecture Solutions for E-Learning Systems</t>
  </si>
  <si>
    <t>Handbook of Computational Intelligence in Manufacturing and Production Management</t>
  </si>
  <si>
    <t>Global Information Technologies, Volume 1-6 : Concepts, Methodologies, Tools, and Applications</t>
  </si>
  <si>
    <t>Emerging Technologies of Text Mining : Techniques and Applications</t>
  </si>
  <si>
    <t>Understanding Online Instructional Modeling : Theories and Practices</t>
  </si>
  <si>
    <t>Social Information Retrieval Systems : Emerging Technologies and Applications for Searching the Web Effectively</t>
  </si>
  <si>
    <t>Web-Based Education and Pedagogical Technologies : Solutions for Learning Applications</t>
  </si>
  <si>
    <t>Intelligent Information Technologies and Applications</t>
  </si>
  <si>
    <t>Handbook of Visual Languages for Instructional Design : Theories and Practices</t>
  </si>
  <si>
    <t>Best Practices for Online Procurement Auctions</t>
  </si>
  <si>
    <t>E-Collaboration in Modern Organizations : Initiating and Managing Distributed Projects</t>
  </si>
  <si>
    <t>Cyberlaw for Global E-Business : Finance, Payment, and Dispute Resolution</t>
  </si>
  <si>
    <t>E-Business Models, Services and Communications</t>
  </si>
  <si>
    <t>End User Computing Challenges and Technologies : Emerging Tools and Applications</t>
  </si>
  <si>
    <t>Web Technologies for Commerce and Services Online</t>
  </si>
  <si>
    <t>Encyclopedia of E-Collaboration</t>
  </si>
  <si>
    <t>Knowledge Management and Business Strategies : Theoretical Frameworks and Empirical Research</t>
  </si>
  <si>
    <t>Adapting Information and Communication Technologies for Effective Education</t>
  </si>
  <si>
    <t>Agent Systems in Electronic Business</t>
  </si>
  <si>
    <t>Mobile Multimedia Communications : Concepts, Applications, and Challenges</t>
  </si>
  <si>
    <t>E-Government Research : Policy and Management</t>
  </si>
  <si>
    <t>Cryptography and Security Services : Mechanisms and Applications</t>
  </si>
  <si>
    <t>Digital Literacy : Tools and Methodologies for Information Society</t>
  </si>
  <si>
    <t>Handbook of Research on User Interface Design and Evaluation for Mobile Technology</t>
  </si>
  <si>
    <t>Intellectual Property Protection for Multimedia Information Technology</t>
  </si>
  <si>
    <t>Knowledge-Based Urban Development : Planning and Applications in the Information Era</t>
  </si>
  <si>
    <t>Handbook of Conversation Design for Instructional Applications</t>
  </si>
  <si>
    <t>Advances in Ubiquitous Computing : Future Paradigms and Directions</t>
  </si>
  <si>
    <t>Creative Urban Regions : Harnessing Urban Technologies to Support Knowledge City Initiatives</t>
  </si>
  <si>
    <t>Encyclopedia of Networked and Virtual Organizations</t>
  </si>
  <si>
    <t>Current Issues in Knowledge Management</t>
  </si>
  <si>
    <t>Knowledge Management Strategies : A Handbook of Applied Technologies</t>
  </si>
  <si>
    <t>Encyclopedia of Decision Making and Decision Support Technologies</t>
  </si>
  <si>
    <t>Multimedia Information Storage and Retrieval : Techniques and Technologies</t>
  </si>
  <si>
    <t>Management Practices in High-Tech Environments</t>
  </si>
  <si>
    <t>Techniques and Tools for the Design and Implementation of Enterprise Information Systems</t>
  </si>
  <si>
    <t>Web-Based Learning through Educational Informatics : Information Science Meets Educational Computing</t>
  </si>
  <si>
    <t>Software Process Improvement for Small and Medium Enterprises : Techniques and Case Studies</t>
  </si>
  <si>
    <t>Social Information Technology : Connecting Society and Cultural Issues</t>
  </si>
  <si>
    <t>Interactive Information Retrieval in Digital Environments</t>
  </si>
  <si>
    <t>Integrating Geographic Information Systems into Library Services : A Guide for Academic Libraries</t>
  </si>
  <si>
    <t>Enhancing E-Learning with Media-Rich Content and Interactions</t>
  </si>
  <si>
    <t>Advances in E-Learning : Experiences and Methodologies</t>
  </si>
  <si>
    <t>Intelligent Complex Adaptive Systems</t>
  </si>
  <si>
    <t>Handbook of Research on Wireless Security</t>
  </si>
  <si>
    <t>Handbook of Research on Virtual Workplaces and the New Nature of Business Practices</t>
  </si>
  <si>
    <t>E-Learning Methodologies and Computer Applications in Archaeology</t>
  </si>
  <si>
    <t>Human, Social, and Organizational Aspects of Health Information Systems</t>
  </si>
  <si>
    <t>Handbook of Research on Computer-Enhanced Language Acquisition and Learning</t>
  </si>
  <si>
    <t>Electronic Resource Management in Libraries : Research and Practice</t>
  </si>
  <si>
    <t>Computer Security, Privacy and Politics : Current Issues, Challenges and Solutions</t>
  </si>
  <si>
    <t>Personalized Information Retrieval and Access : Concepts, Methods and Practices</t>
  </si>
  <si>
    <t>Handbook of Research on Computer Mediated Communication</t>
  </si>
  <si>
    <t>Information Systems Engineering : From Data Analysis to Process Networks</t>
  </si>
  <si>
    <t>Agent-Based Tutoring Systems by Cognitive and Affective Modeling</t>
  </si>
  <si>
    <t>Infusing Technology into the Classroom : Continuous Practice Improvement</t>
  </si>
  <si>
    <t>Handbook of Distance Learning for Real-Time and Asynchronous Information Technology Education</t>
  </si>
  <si>
    <t>Building the Knowledge Society on the Internet : Sharing and Exchanging Knowledge in Networked Environments</t>
  </si>
  <si>
    <t>Virtual Technologies : Concepts, Methodologies, Tools, and Applications</t>
  </si>
  <si>
    <t>Handbook of Research on Digital Information Technologies : Innovations, Methods, and Ethical Issues</t>
  </si>
  <si>
    <t>E-Justice : Using Information Communication Technologies in the Court System</t>
  </si>
  <si>
    <t>Artificial Higher Order Neural Networks for Economics and Business</t>
  </si>
  <si>
    <t>Handbook of Research on Learning Design and Learning Objects : Issues, Applications, and Technologies</t>
  </si>
  <si>
    <t>Handbook of Research on E-Learning Methodologies for Language Acquisition</t>
  </si>
  <si>
    <t>Handbook on Advancements in Smart Antenna Technologies for Wireless Networks</t>
  </si>
  <si>
    <t>Exploration of Space, Technology, and Spatiality : Interdisciplinary Perspectives</t>
  </si>
  <si>
    <t>Consumer Behavior, Organizational Development, and Electronic Commerce : Emerging Issues for Advancing Modern Socioeconomies</t>
  </si>
  <si>
    <t>Mobile Computing : Concepts, Methodologies, Tools, and Applications</t>
  </si>
  <si>
    <t>Electronic Business : Concepts, Methodologies, Tools, and Applications</t>
  </si>
  <si>
    <t>Co-Engineering Applications and Adaptive Business Technologies in Practice : Enterprise Service Ontologies, Models, and Frameworks</t>
  </si>
  <si>
    <t>E-Banking Management : Issues, Solutions, and Strategies</t>
  </si>
  <si>
    <t>E-Collaboration : Concepts, Methodologies, Tools, and Applications</t>
  </si>
  <si>
    <t>Social Capital Modeling in Virtual Communities : Bayesian Belief Network Approaches</t>
  </si>
  <si>
    <t>Handbook of Research on Business Process Modeling</t>
  </si>
  <si>
    <t>Localization Algorithms and Strategies for Wireless Sensor Networks</t>
  </si>
  <si>
    <t>Collaborative Business Process Engineering and Global Organizations : Frameworks for Service Integration</t>
  </si>
  <si>
    <t>Mobile Peer-to-Peer Computing for Next Generation Distributed Environments : Advancing Conceptual and Algorithmic Applications</t>
  </si>
  <si>
    <t>Web-Based Learning Solutions for Communities of Practice : Developing Virtual Environments for Social and Pedagogical Advancement</t>
  </si>
  <si>
    <t>Service Science for Socio-Economical and Information Systems Advancement : Holistic Methodologies</t>
  </si>
  <si>
    <t>Strategic Intellectual Capital Management in Multinational Organizations : Sustainability and Successful Implications</t>
  </si>
  <si>
    <t>Strategic Information Systems : Concepts, Methodologies, Tools, and Applications</t>
  </si>
  <si>
    <t>Cooperative Communications for Improved Wireless Network Transmission : Framework for Virtual Antenna Array Applications</t>
  </si>
  <si>
    <t>Technology for Early Childhood Education and Socialization : Developmental Applications and Methodologies</t>
  </si>
  <si>
    <t>Online Education and Adult Learning : New Frontiers for Teaching Practices</t>
  </si>
  <si>
    <t>Online Learning Communities and Teacher Professional Development : Methods for Improved Education Delivery</t>
  </si>
  <si>
    <t>Monitoring and Assessment in Online Collaborative Environments : Emergent Computational Technologies for E-Learning Support</t>
  </si>
  <si>
    <t>Always-On Enterprise Information Systems for Business Continuance : Technologies for Reliable and Scalable Operations</t>
  </si>
  <si>
    <t>Collaborative Technologies and Applications for Interactive Information Design : Emerging Trends in User Experiences</t>
  </si>
  <si>
    <t>Text Mining Techniques for Healthcare Provider Quality Determination : Methods for Rank Comparisons</t>
  </si>
  <si>
    <t>Academic Motivation of Adolescents</t>
  </si>
  <si>
    <t>Information Age Publishing, Incorporated</t>
  </si>
  <si>
    <t>Information Age Publishing</t>
  </si>
  <si>
    <t>Cross Cultural Perspectives in Child Advocacy</t>
  </si>
  <si>
    <t>Positive Psychology in Business Ethics and Corporate Responsibility</t>
  </si>
  <si>
    <t>TechnologyBased Education : Bringing Researchers and Practitioners Together</t>
  </si>
  <si>
    <t>What Should Teachers Know about Technology : Perspectives and Practices</t>
  </si>
  <si>
    <t>Educating Adolescents : Challenges and Strategies</t>
  </si>
  <si>
    <t>Explorations in Curriculum History</t>
  </si>
  <si>
    <t>Contemporary Perspectives on Families, Communities and Schools for Young Children</t>
  </si>
  <si>
    <t>Instructional Design : Systems Strategies</t>
  </si>
  <si>
    <t>Research Methods in Social Studies Education : Contemporary Issues and Perspectives</t>
  </si>
  <si>
    <t>Teaching with Emotion : A Postmodern Enactment</t>
  </si>
  <si>
    <t>Breaking Out of the Box : Interdisciplinary Collaboration and Faculty Work</t>
  </si>
  <si>
    <t>Contemporary Perspectives on Play in Early Childhood Education</t>
  </si>
  <si>
    <t>Challenges and Issues in Knowledge Management</t>
  </si>
  <si>
    <t>Research on Enhancing the Interactivity of Online Learning</t>
  </si>
  <si>
    <t>Exposing a Culture of Neglect : Herschek T. Manuel and Mexican American Schooling</t>
  </si>
  <si>
    <t>Human Resource Development Today and Tomorrow</t>
  </si>
  <si>
    <t>Teaching Writing Genres Across the Curriculum : Strategies for Middle School Teachers</t>
  </si>
  <si>
    <t>Independent Movement and Travel in Blind Children : A Promotion Model</t>
  </si>
  <si>
    <t>Research as a Tool for Empowerment : Theory Informing Practice</t>
  </si>
  <si>
    <t>Successful Reading Instruction</t>
  </si>
  <si>
    <t>Trends and Issues in Distance Education : International Perspectives</t>
  </si>
  <si>
    <t>Addressing The Achievement Gap</t>
  </si>
  <si>
    <t>Making a Difference : Action Research in Middle Level Education</t>
  </si>
  <si>
    <t>Addressing Social Issues in the Classroom and Beyond : The Pedagogical Efforts of Pioneers in the Field</t>
  </si>
  <si>
    <t>Advancing Business Ethics Education</t>
  </si>
  <si>
    <t>The Perspective of Women's Entrepreneurship in the Age of Globalization</t>
  </si>
  <si>
    <t>Theoretical Developments and Future Research in Family Business</t>
  </si>
  <si>
    <t>Human Resource Management Ethics</t>
  </si>
  <si>
    <t>Current Issues in Educational Policy and the Law</t>
  </si>
  <si>
    <t>Semiotic Rotations : Modes of Meanings in Cultural Worlds</t>
  </si>
  <si>
    <t>The Challenge of School Reform : Implementation, Impact, and Sustainability</t>
  </si>
  <si>
    <t>ProjectBased Second and Foreign Language Education : Past, Present, and Future</t>
  </si>
  <si>
    <t>Educating the Evolved Mind : Conceptual Foundations for an Evolutionary Educational Psychology</t>
  </si>
  <si>
    <t>Advances in the Psychology of Justice and Affect</t>
  </si>
  <si>
    <t>Teacher Education in the EnglishSpeaking World</t>
  </si>
  <si>
    <t>Mastering Hidden Costs and SocioEconomic Performance</t>
  </si>
  <si>
    <t>Recapturing the Personal : Essays on Education and Embodied Knowledge in Comparative Perspective</t>
  </si>
  <si>
    <t>Research and Reflection : Teachers Take Action for Literacy Development</t>
  </si>
  <si>
    <t>Contemporary Perspectives on Science and Technology in Early Childhood Education</t>
  </si>
  <si>
    <t>Closing the Gap : English Educators Address the Tensions Between Teacher Preparation and Teaching Writing in Secondary Schools</t>
  </si>
  <si>
    <t>Innovations in Career and Technical Education : Strategic Approaches towards Workforce Competencies around the Globe</t>
  </si>
  <si>
    <t>Advancing Knowledge in ServiceLearning : Research to Transform the Field</t>
  </si>
  <si>
    <t>Emerging Thought and Research on Student, Teacher, and Administrator Stress and Coping</t>
  </si>
  <si>
    <t>Growing a Soul for Social Change : Building the Knowledge Base for Social Justice</t>
  </si>
  <si>
    <t>Trust and Distrust : Sociocultural perspectives</t>
  </si>
  <si>
    <t>Inquiry in the Classroom : Realities and Opportunities</t>
  </si>
  <si>
    <t>Sharing Network Leadership</t>
  </si>
  <si>
    <t>Faculty Mentoring : The Power of Students in Developing Technology Expertise</t>
  </si>
  <si>
    <t>Learning Efficacy : Celebrations and Persuasions</t>
  </si>
  <si>
    <t>Multilevel Modeling of Educational Data</t>
  </si>
  <si>
    <t>Executive Ethics : Ethical Dilemmas and Challenges for the CSuite</t>
  </si>
  <si>
    <t>University and Corporate Innovations in Lifelong Learning</t>
  </si>
  <si>
    <t>Handbook on Statewide Systems of Support</t>
  </si>
  <si>
    <t>Distance Education : Definition and Glossary of Terms (Second Edition)</t>
  </si>
  <si>
    <t>Diverse Methodologies in the Study of Music Teaching and Learning</t>
  </si>
  <si>
    <t>Education Reform in the American States</t>
  </si>
  <si>
    <t>Innovative Approaches to Reducing Global Poverty</t>
  </si>
  <si>
    <t>Becoming Other : From Social Interaction to SelfReflection</t>
  </si>
  <si>
    <t>Talent Knows No Color : The History of an Arts Magnet High School</t>
  </si>
  <si>
    <t>Asian American Education : Acculturation, Literacy Development, and Learning</t>
  </si>
  <si>
    <t>Identity and Second Language Learning : Culture, Inquiry, and Dialogic Activity in Educational Contexts</t>
  </si>
  <si>
    <t>Communicable Crises : Prevention, Response, and Recovery in the Global Arena</t>
  </si>
  <si>
    <t>Educational Research, The National Agenda, and Educational Reform : A History</t>
  </si>
  <si>
    <t>Improving Schools : Studies in Leadership and Culture</t>
  </si>
  <si>
    <t>Real Data Analysis</t>
  </si>
  <si>
    <t>ServiceeLearning : Educating for Citizenship</t>
  </si>
  <si>
    <t>Online Learning Communities</t>
  </si>
  <si>
    <t>Faculty Development by Design : Integrating Technology in Higher Education</t>
  </si>
  <si>
    <t>Contemporary Perspectives on Socialization and Social Development in Early Childhood Education</t>
  </si>
  <si>
    <t>Discovering Cultural Psychology : A Profile and Selected Readings of Ernest E. Boesch</t>
  </si>
  <si>
    <t>What Works in Distance Learning : Sample Lessons Based on Guidelines</t>
  </si>
  <si>
    <t>Contemporary Perspectives on Social Learning in Early Childhood Education</t>
  </si>
  <si>
    <t>Service Learning Through a Multidisciplinary Lens</t>
  </si>
  <si>
    <t>IT Workers Human Capital Issues in a Knowledge Based Environment : Human Capital Issues in a Knowledge-Based Environment</t>
  </si>
  <si>
    <t>The Role of Culture and Cultural Context in Evaluation : A Mandate for Inclusion, the Discovery of Truth and Understanding</t>
  </si>
  <si>
    <t>Towards the Virtual University : International Online Learning Perspectives</t>
  </si>
  <si>
    <t>Web Based Learning : What do we know?  Where do we go?</t>
  </si>
  <si>
    <t>Human Resource  Strategies for the High Growth Entrepreneurial Firm</t>
  </si>
  <si>
    <t>Culture and Learning : Access and Opportunity in the Classroom</t>
  </si>
  <si>
    <t>Culture, Motivation, and Learning : A Multicultural Perspective</t>
  </si>
  <si>
    <t>Leo Strauss : An Introduction to His Thought and Intellectual Legacy</t>
  </si>
  <si>
    <t>Johns Hopkins University Press</t>
  </si>
  <si>
    <t>Floods of the Tiber in Ancient Rome</t>
  </si>
  <si>
    <t>Handbook for Supply Chain Risk Management : Case Studies, Effective Practices and Emerging Trends</t>
  </si>
  <si>
    <t>J. Ross Publishing</t>
  </si>
  <si>
    <t>Pulsation in Architecture</t>
  </si>
  <si>
    <t>J. Ross Publishing Inc.</t>
  </si>
  <si>
    <t>Technology, Trust, and Religion : Roles of Religions in Controversies Over Ecology and the Modification of Life</t>
  </si>
  <si>
    <t>Leiden University Press</t>
  </si>
  <si>
    <t>Quantum Mechanics and The Big World : Order, Broken Symmetry and Coherence in Quantum Many-body Systems</t>
  </si>
  <si>
    <t>Barbarians at the Gates of the Public Library : How Postmodern Consumer Capitalism Threatens Democracy, Civil Education and the Public Good</t>
  </si>
  <si>
    <t>Library Juice Press</t>
  </si>
  <si>
    <t>Litwin Books LLC</t>
  </si>
  <si>
    <t>Library of Walls : The Library of Congress and the Contradictions of Information Society</t>
  </si>
  <si>
    <t>Litwin Books</t>
  </si>
  <si>
    <t>Questioning Library Neutrality</t>
  </si>
  <si>
    <t>Responsible Librarianship : Library Policies for Unreliable Systems</t>
  </si>
  <si>
    <t>So You Want To Be a Librarian</t>
  </si>
  <si>
    <t>Alcohol, Drugs and Medication in Pregnancy : The Long Term Outcome for the Child</t>
  </si>
  <si>
    <t>Mac Keith Press</t>
  </si>
  <si>
    <t>A Portrait of the Artist as Australian : L’Oeuvre bizarre de Barry Humphries</t>
  </si>
  <si>
    <t>MQUP</t>
  </si>
  <si>
    <t>Arthur Lismer, Visionary Art Educator : Visionary Art Educator</t>
  </si>
  <si>
    <t>Leonard and Reva Brooks : A Biography of Canadian Artists in Exile</t>
  </si>
  <si>
    <t>McGill-Queen's University Press</t>
  </si>
  <si>
    <t>Sphaerae Mundi : Early Globes at the Stewart Museum</t>
  </si>
  <si>
    <t>Faking Death : Canadian Art Photography and the Canadian Imagination</t>
  </si>
  <si>
    <t>Coalescence of Styles : The Ethnic Heritage of St John River Valley Regional Furniture, 1763-1851</t>
  </si>
  <si>
    <t>Suspended Conversations : The Afterlife of Memory in Photographic Albums</t>
  </si>
  <si>
    <t>National Soul : Canadian Mural Painting, 1860s - 1930s</t>
  </si>
  <si>
    <t>Peter M. Pringle, Master Decoy Maker</t>
  </si>
  <si>
    <t>Crafting Identity : The Development of Professional Fine Craft in Canada</t>
  </si>
  <si>
    <t>Made in Canada : Craft and Design in the Sixties</t>
  </si>
  <si>
    <t>Culture, Identity, Commodity : Diasporic Chinese Literatures in English</t>
  </si>
  <si>
    <t>Global Environmental Assessments : Information and Influence</t>
  </si>
  <si>
    <t>MIT Press</t>
  </si>
  <si>
    <t>Music and Probability</t>
  </si>
  <si>
    <t>Ham Radio's Technical Culture</t>
  </si>
  <si>
    <t>Understanding the Art of Sound Organization</t>
  </si>
  <si>
    <t>The Exiles of Marcel Duchamp</t>
  </si>
  <si>
    <t>The Chomsky Effect : A Radical Works Beyond the Ivory Tower</t>
  </si>
  <si>
    <t>Subjectivity and Otherness : A Philosophical Reading of Lacan</t>
  </si>
  <si>
    <t>Situating Semantics : Essays on the Philosophy of John Perry</t>
  </si>
  <si>
    <t>Bradford Books</t>
  </si>
  <si>
    <t>Gödel, Putnam, and Functionalism : A New Reading of 'Representation and Reality'</t>
  </si>
  <si>
    <t>Time and Realism : Metaphysical and Antimetaphysical Perspectives</t>
  </si>
  <si>
    <t>101 Things I Learned in Architecture School</t>
  </si>
  <si>
    <t>Closer : Performance, Technologies, Phenomenology</t>
  </si>
  <si>
    <t>The Really Hard Problem : Meaning in a Material World</t>
  </si>
  <si>
    <t>Internet Alley : High Technology in Tysons Corner, 1945-2005</t>
  </si>
  <si>
    <t>Emergence : Contemporary Readings in Philosophy and Science</t>
  </si>
  <si>
    <t>From Betamax to Blockbuster : Video Stores and the Invention of Movies on Video</t>
  </si>
  <si>
    <t>Video Game Spaces : Image, Play, and Structure in 3D Worlds</t>
  </si>
  <si>
    <t>Learning Machine Translation</t>
  </si>
  <si>
    <t>Contagion and Chaos : Disease, Ecology, and National Security in the Era of Globalization</t>
  </si>
  <si>
    <t>Where Does Binding Theory Apply?</t>
  </si>
  <si>
    <t>Psychology : Pythagoras to Present</t>
  </si>
  <si>
    <t>Contemporary Views on Architecture and Representations in Phonology</t>
  </si>
  <si>
    <t>The Ethics of Computer Games</t>
  </si>
  <si>
    <t>Economic Prosperity Recaptured : The Finnish Path from Crisis to Rapid Growth</t>
  </si>
  <si>
    <t>The Ethics of Protocells : Moral and Social Implications of Creating Life in the Laboratory</t>
  </si>
  <si>
    <t>Cognitive Biology : Evolutionary and Developmental Perspectives on Mind, Brain, and Behavior</t>
  </si>
  <si>
    <t>Robotics : Science and Systems IV</t>
  </si>
  <si>
    <t>Art School : (Propositions for the 21st Century)</t>
  </si>
  <si>
    <t>Control Theory and Systems Biology</t>
  </si>
  <si>
    <t>Biomedical Signal Analysis : Contemporary Methods and Applications</t>
  </si>
  <si>
    <t>The Economics of Microfinance</t>
  </si>
  <si>
    <t>The Economics of Growth</t>
  </si>
  <si>
    <t>The Two Halves of the Brain : Information Processing in the Cerebral Hemispheres</t>
  </si>
  <si>
    <t>Foundational Issues in Human Brain Mapping</t>
  </si>
  <si>
    <t>Principles of Robot Motion : Theory, Algorithms, and Implementations</t>
  </si>
  <si>
    <t>Linguistics : An Introduction to Language and Communication</t>
  </si>
  <si>
    <t>Vision : A Computational Investigation into the Human Representation and Processing of Visual Information</t>
  </si>
  <si>
    <t>Cognitive Pragmatics : The Mental Processes of Communication</t>
  </si>
  <si>
    <t>Robotics : Science and Systems V</t>
  </si>
  <si>
    <t>Econometric Analysis of Cross Section and Panel Data</t>
  </si>
  <si>
    <t>Robotics : Science and Systems VI</t>
  </si>
  <si>
    <t>Robotics : Science and Systems VII</t>
  </si>
  <si>
    <t>High-Impact Terrorism : Proceedings of a Russian-American Workshop</t>
  </si>
  <si>
    <t>National Academies Press</t>
  </si>
  <si>
    <t>Studying Classroom Teaching As a Medium for Professional Development : Proceedings of a U. S. -Japan Workshop</t>
  </si>
  <si>
    <t>Performance Assessments for Adult Education : Exploring the Measurement Issues: Report of a Workshop</t>
  </si>
  <si>
    <t>Assessment in Support of Instruction and Learning : Bridging the Gap Between Large-Scale and Classroom Assessment: Workshop Report</t>
  </si>
  <si>
    <t>Cooperative Research in the National Marine Fisheries Service</t>
  </si>
  <si>
    <t>Summary of a Forum on Spectrum Management Policy Reform</t>
  </si>
  <si>
    <t>Energy : Production, Consumption, and Consequences</t>
  </si>
  <si>
    <t>The Hydrogen Economy : Opportunities, Costs, Barriers, and R&amp;d Needs</t>
  </si>
  <si>
    <t>Meeting the Energy Needs of Future Warriors</t>
  </si>
  <si>
    <t>Experimental Poverty Measures : Summary of a Workshop</t>
  </si>
  <si>
    <t>Frontiers of Engineering : Reports on Leading-Edge Engineering from the 2004 NAE Symposium on Frontiers of Engineering</t>
  </si>
  <si>
    <t>Technology Pathways : Assessing the Integrated Plan for a Next Generation Air Transportation System</t>
  </si>
  <si>
    <t>Linkages : Manufacturing Trends in Electronic Interconnection Technology</t>
  </si>
  <si>
    <t>Basic Research in Information Science and Technology for Air Force Needs</t>
  </si>
  <si>
    <t>Geological and Geotechnical Engineering in the New Millennium : Opportunities for Research and Technological Innovation</t>
  </si>
  <si>
    <t>Frontiers of Engineering : Reports on Leading-Edge Engineering from the 2005 Symposium</t>
  </si>
  <si>
    <t>Review of Goals and Plans for NASA's Space and Earth Sciences</t>
  </si>
  <si>
    <t>Managing Coal Combustion Residues in Mines</t>
  </si>
  <si>
    <t>Going the Distance? : The Safe Transport of Spent Nuclear Fuel and High-Level Radioactive Waste in the United States</t>
  </si>
  <si>
    <t>Issues Affecting the Future of the U. S. Space Science and Engineering Workforce : Interim Report</t>
  </si>
  <si>
    <t>Performance Measurement : Accelerating Improvement</t>
  </si>
  <si>
    <t>Review of Recreational Fisheries Survey Methods</t>
  </si>
  <si>
    <t>Here or There? : A Survey of Factors in Multinational R&amp;d Location -- Report to the Government-University-Industry Research Roundtable</t>
  </si>
  <si>
    <t>Critical Technology Accessibility</t>
  </si>
  <si>
    <t>Software, Growth, and the Future of the U. S Economy : Report of a Symposium</t>
  </si>
  <si>
    <t>Studying Media Effects on Children and Youth : Improving Methods and Measures: Workshop Summary</t>
  </si>
  <si>
    <t>Instrumentation for a Better Tomorrow : Proceedings of a Symposium in Honor of Arnold Beckman</t>
  </si>
  <si>
    <t>Future Air Force Needs for Survivability</t>
  </si>
  <si>
    <t>A Matter of Size : Triennial Review of the National Nanotechnology Initiative</t>
  </si>
  <si>
    <t>Global Environmental Health in the 21st Century : From Governmental Regulation to Corporate Social Responsibility: Workshop Summary</t>
  </si>
  <si>
    <t>Exploring Opportunities in Green Chemistry and Engineering Education : A Workshop Summary to the Chemical Sciences Roundtable</t>
  </si>
  <si>
    <t>Enhancing Productivity Growth in the Information Age : Measuring and Sustaining the New Economy</t>
  </si>
  <si>
    <t>Software for Dependable Systems : Sufficient Evidence?</t>
  </si>
  <si>
    <t>Enhancing Professional Development for Teachers : Potential Uses of Information Technology: Report of a Workshop</t>
  </si>
  <si>
    <t>Strategic Management of Information and Communication Technology : The United States Air Force Experience with Y2K</t>
  </si>
  <si>
    <t>An Assessment of the National Institute of Standards and Technology Information Technology Laboratory : Fiscal Year 2007</t>
  </si>
  <si>
    <t>An Assessment of the National Institute of Standards and Technology Electronics and Electrical Engineering Laboratory : Fiscal Year 2007</t>
  </si>
  <si>
    <t>Summary of a Workshop for Software-Intensive Systems and Uncertainty at Scale</t>
  </si>
  <si>
    <t>Assessment of Wingtip Modifications to Increase the Fuel Efficiency of Air Force Aircraft</t>
  </si>
  <si>
    <t>Future Directions for the National Healthcare Quality and Disparities Reports</t>
  </si>
  <si>
    <t>Enhancing Food Safety : The Role of the Food and Drug Administration</t>
  </si>
  <si>
    <t>Intelligence Analysis : Behavioral and Social Scientific Foundations</t>
  </si>
  <si>
    <t>Fungal Diseases : An Emerging Threat to Human, Animal, and Plant Health: Workshop Summary</t>
  </si>
  <si>
    <t>Population Monitoring and Radionuclide Decorporation Following a Radiological or Nuclear Incident</t>
  </si>
  <si>
    <t>National Council on Radiation Protection &amp; Measurements</t>
  </si>
  <si>
    <t>National Council on Radiation Protection and Measurements (NCRP)</t>
  </si>
  <si>
    <t>Entrepreneurship, Innovation and Technological Change</t>
  </si>
  <si>
    <t>Now Publishers</t>
  </si>
  <si>
    <t>Effectiveness of University Technology Transfer</t>
  </si>
  <si>
    <t>Hedge Funds</t>
  </si>
  <si>
    <t>Insurance Decision Making and Market Behavior</t>
  </si>
  <si>
    <t>Liquidity and Asset Prices</t>
  </si>
  <si>
    <t>Market-based Approaches to Environmental Regulation</t>
  </si>
  <si>
    <t>Earnings, Earnings Growth and Value</t>
  </si>
  <si>
    <t>Theory of Social Health Insurance</t>
  </si>
  <si>
    <t>Statistical Performance Modeling and Optimization</t>
  </si>
  <si>
    <t>Network Coding Fundamentals</t>
  </si>
  <si>
    <t>Monotonicity in Markov Reward and Decision Chains : Theory and Applications</t>
  </si>
  <si>
    <t>Cancer Basics</t>
  </si>
  <si>
    <t>Oncology Nursing Society</t>
  </si>
  <si>
    <t>Principles of Skin Care and the Oncology Patient</t>
  </si>
  <si>
    <t>Guide to Oncology Symptom Management</t>
  </si>
  <si>
    <t>Chinese English : Features and Implications</t>
  </si>
  <si>
    <t>Open University of Hong Kong Press</t>
  </si>
  <si>
    <t>Circuit Analysis I with MATLAB Applications</t>
  </si>
  <si>
    <t>Orchard Publications</t>
  </si>
  <si>
    <t>Signals and Systems : With MATLAB Computing and Simulink Modeling (3rd Edition)</t>
  </si>
  <si>
    <t>Numerical Analysis Using MATLAB and Excel</t>
  </si>
  <si>
    <t>Mathematics for Business, Science, and Technology</t>
  </si>
  <si>
    <t>Digital Circuit Analysis and Design with Simulink Modeling</t>
  </si>
  <si>
    <t>Introduction to Stateflow with Applications</t>
  </si>
  <si>
    <t>Signals and Systems with MATLAB Computing and Simulink Modeling</t>
  </si>
  <si>
    <t>Circuit Analysis I with MATLAB Computing and Simulink/SimPowerSystems Modeling</t>
  </si>
  <si>
    <t>Circuit Analysis II : With MATLAB Computing and Simulink / SimPowerSystems Modeling</t>
  </si>
  <si>
    <t>Introduction to Simulink with Engineering Applications</t>
  </si>
  <si>
    <t>Life Worthy of the Gods : The Materialist Psychology of Epicurus</t>
  </si>
  <si>
    <t>Parmenides Publishing</t>
  </si>
  <si>
    <t>One Book, The Whole Universe : Plato's Timaeus Today</t>
  </si>
  <si>
    <t>US Taxation of Foreign Income</t>
  </si>
  <si>
    <t>Peterson Institute for International Economics</t>
  </si>
  <si>
    <t>Economic Sanctions Reconsidered</t>
  </si>
  <si>
    <t>Trade Policy and Global Poverty</t>
  </si>
  <si>
    <t>Has Globalization Gone Far Enough? : The Costs of Fragmented International Markets</t>
  </si>
  <si>
    <t>Bailouts or Bail-Ins : Responding to Financial Crises in Emerging Economies</t>
  </si>
  <si>
    <t>Debating China's Exchange Rate Policy</t>
  </si>
  <si>
    <t>Challenges of Globalization : Imbalances and Growth</t>
  </si>
  <si>
    <t>Peterson Institute</t>
  </si>
  <si>
    <t>Free Trade Agreements : US Strategies and Priorities</t>
  </si>
  <si>
    <t>Has Globalization Gone Too Far?</t>
  </si>
  <si>
    <t>Industrial Policy in an Era of Globalization : Lessons from Asia</t>
  </si>
  <si>
    <t>Does Foreign Direct Investment Promote Development</t>
  </si>
  <si>
    <t>Global Electronic Commerce : A Policy Primer</t>
  </si>
  <si>
    <t>US Pension Reform : Lessons from Other Countries</t>
  </si>
  <si>
    <t>Global Warming and the World Trading System</t>
  </si>
  <si>
    <t>Long-Term International Economic Position of the United States</t>
  </si>
  <si>
    <t>Russia Balance Sheet</t>
  </si>
  <si>
    <t>Sovereign Wealth Funds : Threat or Salvation?</t>
  </si>
  <si>
    <t>China's Strategy to Secure Natural Resources : Risks, Dangers, and Opportunities</t>
  </si>
  <si>
    <t>Financial Globalization, Economic Growth, and the Crisis of 2007-09</t>
  </si>
  <si>
    <t>Change in Putin's Russia : Power, Money and People</t>
  </si>
  <si>
    <t>Pluto Press</t>
  </si>
  <si>
    <t>Who Rules the Waves? : Piracy, Overfishing and Mining the Oceans</t>
  </si>
  <si>
    <t>Understanding Film : Marxist Perspectives</t>
  </si>
  <si>
    <t>Ethnicity and Nationalism : Anthropological Perspectives</t>
  </si>
  <si>
    <t>Small Places, Large Issues : An Introduction to Social and Cultural Anthropology</t>
  </si>
  <si>
    <t>Will of the Many : How the Alterglobalisation Movement Is Changing the Face of Democracy</t>
  </si>
  <si>
    <t>Future of Money : From Financial Crisis to Public Resource</t>
  </si>
  <si>
    <t>Anthropology's World : Life in a Twenty-first-century Discipline</t>
  </si>
  <si>
    <t>Discordant Development : Global Capitalism and the Struggle for Connection in Bangladesh</t>
  </si>
  <si>
    <t>Cities : Small Guides to Big Issues</t>
  </si>
  <si>
    <t>Advanced Therapy in Epilepsy</t>
  </si>
  <si>
    <t>PMPH USA, Ltd.</t>
  </si>
  <si>
    <t>PMPH USA Ltd. (People's Medical Publishing House)</t>
  </si>
  <si>
    <t>Molecular Imaging</t>
  </si>
  <si>
    <t>Gynaecological Cancers : Biology and Therapeutics</t>
  </si>
  <si>
    <t>Royal College of Obstetricians and Gynaecologists</t>
  </si>
  <si>
    <t>RCOG Press</t>
  </si>
  <si>
    <t>Hutchinson Dictionary of the Arts</t>
  </si>
  <si>
    <t>Notable American Novelists, Volume 3 : John O’Hara--Richard Wright (Revised Edition)</t>
  </si>
  <si>
    <t>Salem Press</t>
  </si>
  <si>
    <t>Short Story Writers, Volume 3 : Joyce Carol Oates--Richard Wright (Revised Edition)</t>
  </si>
  <si>
    <t>American Ethnic Writers</t>
  </si>
  <si>
    <t>American Heroes</t>
  </si>
  <si>
    <t>Musicians and Composers of the Twentieth Century</t>
  </si>
  <si>
    <t>Encyclopedia of Global Resources</t>
  </si>
  <si>
    <t>Salem Press Publishers</t>
  </si>
  <si>
    <t>Breeding of Neglected and under-Utilized Crops, Spices, and Herbs</t>
  </si>
  <si>
    <t>Ocean Environment and Fisheries</t>
  </si>
  <si>
    <t>Biomaterials from Aquatic and Terrestrial Organisms</t>
  </si>
  <si>
    <t>Landscape Ecology : Concepts, Methods, and Applications</t>
  </si>
  <si>
    <t>Learn Basic Library Skills</t>
  </si>
  <si>
    <t>TotalRecall Publications</t>
  </si>
  <si>
    <t>Learn Dewey Decimal Classification Edition 22</t>
  </si>
  <si>
    <t>Buddhism in Scripture and Practice</t>
  </si>
  <si>
    <t>Learn Descriptive Cataloguing</t>
  </si>
  <si>
    <t>Learn About Information</t>
  </si>
  <si>
    <t>Ethics in Ancient India</t>
  </si>
  <si>
    <t>Learn Library Management : A Practical Study Guide for New or Busy Managers in Libraries and Other Information Agencies</t>
  </si>
  <si>
    <t>Taiwan in Transformation 1895-2005 : The Challenge of a New Democracy to an Old Civilization</t>
  </si>
  <si>
    <t>Transaction Publishers</t>
  </si>
  <si>
    <t>Designing Clothes : Culture and Organization of the Fashion Industry</t>
  </si>
  <si>
    <t>Serious Leisure : A Perspective for Our Time</t>
  </si>
  <si>
    <t>Economic Theory</t>
  </si>
  <si>
    <t>Communication Theory</t>
  </si>
  <si>
    <t>The Triumph of Citizenship : The Japanese and Chinese in Canada, 1941-67</t>
  </si>
  <si>
    <t>UBC Press</t>
  </si>
  <si>
    <t>Grand Experiment (The) : Law and Legal Culture in British Settler Societies</t>
  </si>
  <si>
    <t>Developing a Dream Destination : Tourism and Tourism Policy Planning in Hawaii</t>
  </si>
  <si>
    <t>University of Hawaii Press</t>
  </si>
  <si>
    <t>The Distorting Mirror : Visual Modernity in China</t>
  </si>
  <si>
    <t>What's the Use of Art? : Asian Visual and Material Culture in Context</t>
  </si>
  <si>
    <t>Mirror of Morality : Chinese Narrative Illustration and Confucian Ideology</t>
  </si>
  <si>
    <t>Death and the Afterlife in Japanese Buddhism</t>
  </si>
  <si>
    <t>Socially Engaged Buddhism</t>
  </si>
  <si>
    <t>Donors of Longmen : Faith, Politics, and Patronage in Medieval Chinese Buddhist Sculpture</t>
  </si>
  <si>
    <t>Allegorical Architecture : Living Myth and Architectonics in Southern China</t>
  </si>
  <si>
    <t>Buddhism and Taoism Face to Face : Scripture, Ritual, and Iconographic Exchange in Medieval China</t>
  </si>
  <si>
    <t>Gagana Samoa : A Samoan Language Coursebook, Revised Edition</t>
  </si>
  <si>
    <t>The Alien Within : Representations of the Exotic in Twentieth-Century Japanese Literature</t>
  </si>
  <si>
    <t>Refracted Modernity : Visual Culture and Identity in Colonial Taiwan</t>
  </si>
  <si>
    <t>Bodhisattvas of the Forest and the Formation of the Mahayana : A Study and Translation of the Rastrapalapariprccha-Sutra</t>
  </si>
  <si>
    <t>Kabuki's Forgotten War : 1931-1945</t>
  </si>
  <si>
    <t>Mediasphere Shanghai : The Aesthetics of Cultural Production</t>
  </si>
  <si>
    <t>Herself an Author : Gender, Agency, and Writing in Late Imperial China</t>
  </si>
  <si>
    <t>The Attractive Empire : Transnational Film Culture in Imperial Japan</t>
  </si>
  <si>
    <t>Cult, Culture, and Authority : Princess Lieu Hanh in Vietnamese History</t>
  </si>
  <si>
    <t>Reflections in a Glass Door : Memory and Melancholy in the Personal Writings of Natsume Soseki</t>
  </si>
  <si>
    <t>Beijing Opera Costumes : The Visual Communication of Character and Culture</t>
  </si>
  <si>
    <t>Imperial-Way Zen : Ichikawa Hakugen's Critique and Lingering Questions for Buddhist Ethics</t>
  </si>
  <si>
    <t>Celluloid Comrades : Representations of Male Homosexuality in Contemporary Chinese Cinemas</t>
  </si>
  <si>
    <t>The Literature of Leisure and Chinese Modernity</t>
  </si>
  <si>
    <t>Nippon Modern : Japanese Cinema of the 1920s And 1930s</t>
  </si>
  <si>
    <t>The Phantom Heroine : Ghosts and Gender in Seventeenth-Century Chinese Literature</t>
  </si>
  <si>
    <t>Faith and Power in Japanese Buddhist Art, 1600-2005</t>
  </si>
  <si>
    <t>Korean Spirituality</t>
  </si>
  <si>
    <t>Public Opinion and American Foreign Policy, Revised Edition</t>
  </si>
  <si>
    <t>University of Michigan Press</t>
  </si>
  <si>
    <t>Dynamics, Economic Growth, and International Trade</t>
  </si>
  <si>
    <t>Acceptable Risks : Politics, Policy, and Risky Technologies</t>
  </si>
  <si>
    <t>Elections in Japan, Korea, and Taiwan under the Single Non-Transferable Vote : The Comparative Study of an Embedded Institution</t>
  </si>
  <si>
    <t>Responsive Democracy : Increasing State Accountability in East Asia</t>
  </si>
  <si>
    <t>Law, Justice and Mediation : The Legend of St Yves</t>
  </si>
  <si>
    <t>Waterside Press</t>
  </si>
  <si>
    <t>Misuse of Drugs : A Straightforward Guide to the Law</t>
  </si>
  <si>
    <t>The American Classics : A Personal Essay</t>
  </si>
  <si>
    <t>Yale University Press</t>
  </si>
  <si>
    <t>A Guide to Philosophy in Six Hours and Fifteen Minutes</t>
  </si>
  <si>
    <t>Five Operas and a Smphony : Word and Music in Russian Culture</t>
  </si>
  <si>
    <t>Governing Through Markets : Forest Certification and the Emergence of Non-State Authority</t>
  </si>
  <si>
    <t>Piano Roles : Three Hundred Years of Life with the Piano</t>
  </si>
  <si>
    <t>The Kings and Their Hawks : Falconry in Medieval England</t>
  </si>
  <si>
    <t>Louis Armstrong and Paul Whiteman : Two Kings of Jazz</t>
  </si>
  <si>
    <t>Designing Modern America : Broadway to Main Street</t>
  </si>
  <si>
    <t>Serfdom, Society, and the Arts in Imperial Russia : The Pleasure and the Power</t>
  </si>
  <si>
    <t>A Philosophy of Second Language Acquisition</t>
  </si>
  <si>
    <t>The Literature of Ancient Egypt : An Anthology of Stories, Instructions, Stelae, Autobiographies, and Poetry</t>
  </si>
  <si>
    <t>Farmers’ Bounty : Locating Crop Diversity in the Contemporary World</t>
  </si>
  <si>
    <t>After the Fires : The Ecology of Change in Yellowstone National Park</t>
  </si>
  <si>
    <t>Revisiting "The Waste Land"</t>
  </si>
  <si>
    <t>Composers in the Movies : Studies in Musical Biography</t>
  </si>
  <si>
    <t>Novel Beginnings : Experiments in Eighteenth-Century English Fiction</t>
  </si>
  <si>
    <t>The First Three Years and Beyond : Brain Development and Social Policy</t>
  </si>
  <si>
    <t>The Arts and the Creation of Mind</t>
  </si>
  <si>
    <t>Spinoza’s Book of Life : Freedom and Redemption in the Ethics</t>
  </si>
  <si>
    <t>Cold War Ecology : Forests, Farms, and People in the East German Landscape, 1945-1989</t>
  </si>
  <si>
    <t>Elisabeth Vigée Le Brun : The Odyssey of an Artist in an Age of Revolution</t>
  </si>
  <si>
    <t>Stravinsky Inside Out</t>
  </si>
  <si>
    <t>Corporal Punishment of Children in Theoretical Perspective</t>
  </si>
  <si>
    <t>Andrew Lloyd Webber</t>
  </si>
  <si>
    <t>Beethoven: The Ninth Symphony</t>
  </si>
  <si>
    <t>Edmund Husserl and Eugen Fink : Beginnings and Ends in Phenomenology, 1928 - 1938</t>
  </si>
  <si>
    <t>Reading Between the Lines : Perspectives on Foreign Language Literacy</t>
  </si>
  <si>
    <t>Paradoxy of Modernism</t>
  </si>
  <si>
    <t>Bach’s Well-tempered Clavier : The 48 Preludes and Fugues</t>
  </si>
  <si>
    <t>The Puritan Origins of American Patriotism</t>
  </si>
  <si>
    <t>A Midsummer Night's Dream</t>
  </si>
  <si>
    <t>Charm Offensive : How China's Soft Power Is Transforming the World</t>
  </si>
  <si>
    <t>Innovation and the State : Political Choice and Strategies for Growth in Israel, Taiwan, and Ireland</t>
  </si>
  <si>
    <t>Singing for Freedom : The Hutchinson Family Singers and the Nineteenth-Century Culture of Reform</t>
  </si>
  <si>
    <t>Macbeth</t>
  </si>
  <si>
    <t>The Future of Reputation : Gossip, Rumor, and Privacy on the Internet</t>
  </si>
  <si>
    <t>Breathing Space : How Allergies Shape Our Lives and Landscapes</t>
  </si>
  <si>
    <t>Churchill's Promised Land : Zionism and Statecraft</t>
  </si>
  <si>
    <t>The Encyclopedia of Historic and Endangered Livestock and Poultry Breeds</t>
  </si>
  <si>
    <t>Sigmund Romberg</t>
  </si>
  <si>
    <t>Composers’ Voices from Ives to Ellington : An Oral History of American Music</t>
  </si>
  <si>
    <t>A New Handbook of Literary Terms</t>
  </si>
  <si>
    <t>Libraries in the Ancient World</t>
  </si>
  <si>
    <t>King Lear</t>
  </si>
  <si>
    <t>Hitchcock’s Music</t>
  </si>
  <si>
    <t>Oklahoma! : The Making of an American Musical</t>
  </si>
  <si>
    <t>Sin and Evil : Moral Values in Literature</t>
  </si>
  <si>
    <t>Chinese Grammar Made Easy : A Practical and Effective Guide for Teachers</t>
  </si>
  <si>
    <t>The Aeneid</t>
  </si>
  <si>
    <t>Anti-Imperial Choice: The Making of the Ukrainian Jew</t>
  </si>
  <si>
    <t>Philosophers' Quarrel: Rousseau, Hume, and the Limits of Human Understanding</t>
  </si>
  <si>
    <t>Majesty and Humanity: Kings and Their Doubles in the Political Drama of the Spanish Golden Age</t>
  </si>
  <si>
    <t>1948: A History of the First Arab-Israeli War</t>
  </si>
  <si>
    <t>Wall Street : America's Dream Palace</t>
  </si>
  <si>
    <t>Bible and the People</t>
  </si>
  <si>
    <t>The American Play</t>
  </si>
  <si>
    <t>Arabic Second Language Acquisition of Morphosyntax</t>
  </si>
  <si>
    <t>Money, Markets, and Sovereignty</t>
  </si>
  <si>
    <t>Hamburger : A History</t>
  </si>
  <si>
    <t>Encyclopedia of Mobile Computing and Commerce</t>
  </si>
  <si>
    <t>Faulkner from Within : Destructive and Generative Being in the Novels of William Faulkner</t>
  </si>
  <si>
    <t>Parlor Press, LLC</t>
  </si>
  <si>
    <t>Teaching and Learning Creatively : nspirations and Reflections</t>
  </si>
  <si>
    <t>Career Movies : American Business and the Success Mystique</t>
  </si>
  <si>
    <t>University of Texas Press</t>
  </si>
  <si>
    <t>Amazigh Arts in Morocco : Women Shaping Berber Identity</t>
  </si>
  <si>
    <t>John Graves, Writer</t>
  </si>
  <si>
    <t>French Verbs Made Simple(r)</t>
  </si>
  <si>
    <t>Multiculturalism and the Mouse : Race and Sex in Disney Entertainment</t>
  </si>
  <si>
    <t>After Hitchcock : Influence, Imitation, and Intertextuality</t>
  </si>
  <si>
    <t>Harry Reasoner : A Life in the News</t>
  </si>
  <si>
    <t>Woman with a Movie Camera : My Life as a Russian Filmmaker</t>
  </si>
  <si>
    <t>Harnessing the Technicolor Rainbow : Color Design in The 1930s</t>
  </si>
  <si>
    <t>Celluloid Vampires : Life after Death in the Modern World</t>
  </si>
  <si>
    <t>When Writing Met Art : From Symbol to Story</t>
  </si>
  <si>
    <t>Cinemachismo : Masculinities and Sexuality in Mexican Film</t>
  </si>
  <si>
    <t>Black Space : Imagining Race in Science Fiction Film</t>
  </si>
  <si>
    <t>Beautiful TV : The Art and Argument of Ally McBeal</t>
  </si>
  <si>
    <t>Spanish Vocabulary : An Etymological Approach</t>
  </si>
  <si>
    <t>Drugs, Thugs, and Divas : Telenovelas and Narco-Dramas in Latin America</t>
  </si>
  <si>
    <t>Border Bandits : Hollywood on the Southern Frontier</t>
  </si>
  <si>
    <t>Chicano Rap : Gender and Violence in the Postindustrial Barrio</t>
  </si>
  <si>
    <t>Imagining the Turkish House : Collective Visions of Home</t>
  </si>
  <si>
    <t>Creating Outdoor Classrooms : Schoolyard Habitats and Gardens for the Southwest</t>
  </si>
  <si>
    <t>Filming Difference : Actors, Directors, Producers and Writers on Gender, Race and Sexuality in Film</t>
  </si>
  <si>
    <t>On Art, Artists, Latin America, and Other Utopias</t>
  </si>
  <si>
    <t>Personal Information Management</t>
  </si>
  <si>
    <t>University of Washington Press</t>
  </si>
  <si>
    <t>Communist Multiculturalism : Ethnic Revival in Southwest China</t>
  </si>
  <si>
    <t>Spinoza's Modernity : Mendelssohn, Lessing, and Heine</t>
  </si>
  <si>
    <t>University of Wisconsin Press</t>
  </si>
  <si>
    <t>The 23rd Psalm : A Holocaust Memoir</t>
  </si>
  <si>
    <t>The Darkness We Carry : The Drama of the Holocaust</t>
  </si>
  <si>
    <t>They'll Have to Catch Me First : An Artist's Coming of Age in the Third Reich</t>
  </si>
  <si>
    <t>1001 Beds : Performances, Essays, and Travels</t>
  </si>
  <si>
    <t>Isaac Bashevis Singer : A Life</t>
  </si>
  <si>
    <t>Butterfly Boy : Memories of a Chicano Mariposa</t>
  </si>
  <si>
    <t>Witnessing the Disaster : Essays on Representation and the Holocaust</t>
  </si>
  <si>
    <t>Doubly Chosen : Jewish Identity, the Soviet Intelligentsia, and the Russian Orthodox Church</t>
  </si>
  <si>
    <t>Tentative Transgressions : Homosexuality, AIDS, and the Theatre in Brazil</t>
  </si>
  <si>
    <t>Bookwomen : Creating an Empire in Children's Book Publishing, 1919-1939</t>
  </si>
  <si>
    <t>Ulysses in Black : Ralph Ellison, Classicism, and African American Literature</t>
  </si>
  <si>
    <t>Antecedents to Modern Rwanda : The Nyiginya Kingdom</t>
  </si>
  <si>
    <t>Lorenzo Da Ponte : The Life and Times of Mozart's Librettist</t>
  </si>
  <si>
    <t>Countering the Counterculture : Rereading Postwar American Dissent from Jack Kerouac to Toma´s Rivera</t>
  </si>
  <si>
    <t>Dancing from Past to Present : Nation, Culture, Identities</t>
  </si>
  <si>
    <t>Ovid Before Exile : Art and Punishment in the Metamorphoses</t>
  </si>
  <si>
    <t>Before, Between, and Beyond : Three Decades of Dance Writing</t>
  </si>
  <si>
    <t>Sound Figures of Modernity : German Music and Philosophy</t>
  </si>
  <si>
    <t>Wild Colonial Girl : Essays on Edna O'Brien</t>
  </si>
  <si>
    <t>The Bohemian Body : Gender and Sexuality in Modern Czech Culture</t>
  </si>
  <si>
    <t>The Prose of Life : Russian Women Writers from Khrushchev to Putin</t>
  </si>
  <si>
    <t>Amazons of the Huk Rebellion : Gender, Sex, and Revolution in the Philippines</t>
  </si>
  <si>
    <t>Secrets to Writing Great Papers</t>
  </si>
  <si>
    <t>The Vocabulary Builder : The Practically Painless Way to a Larger Vocabulary</t>
  </si>
  <si>
    <t>Spelling Simplified</t>
  </si>
  <si>
    <t>Where Bones Dance : An English Girlhood, an African War</t>
  </si>
  <si>
    <t>101 Ways to Promote Your Web Site (7th Edition)</t>
  </si>
  <si>
    <t>Managing Cultural Differences : Global Leadership Strategies for the 21st Century</t>
  </si>
  <si>
    <t>Diva : Defiance and Passion in Early Italian Cinema</t>
  </si>
  <si>
    <t>Industrial Heritage Tourism</t>
  </si>
  <si>
    <t>Travel, Tourism and the Moving Image</t>
  </si>
  <si>
    <t>Globalization, Biosecurity, and the Future of the Life Sciences</t>
  </si>
  <si>
    <t>Review of International Technologies for Destruction of Recovered Chemical Warfare Materiel</t>
  </si>
  <si>
    <t>International Education and Foreign Languages : Keys to Securing America's Future</t>
  </si>
  <si>
    <t>Improving the Efficiency of Engines for Large Nonfighter Aircraft</t>
  </si>
  <si>
    <t>First Texas News Barons</t>
  </si>
  <si>
    <t>Palaces and Power in the Americas : From Peru to the Northwest Coast</t>
  </si>
  <si>
    <t>Memory of Bones : Body, Being, and Experience Among the Classic Maya</t>
  </si>
  <si>
    <t>James Dean Transfigured : The Many Faces of Rebel Iconography</t>
  </si>
  <si>
    <t>Goblins and Ghosties : Stories of Darkness from Around the World</t>
  </si>
  <si>
    <t>A&amp;C Black Childrens &amp; Educational</t>
  </si>
  <si>
    <t>100 Ideas for Primary Teachers: Computing</t>
  </si>
  <si>
    <t>Textile Technology and Design : From Interior Space to Outer Space</t>
  </si>
  <si>
    <t>Energy from the Sea : An International Law Perspective on Ocean Energy</t>
  </si>
  <si>
    <t>Diabolism in Colonial Peru, 1560-1750</t>
  </si>
  <si>
    <t>Adam Ferguson: History, Progress and Human Nature</t>
  </si>
  <si>
    <t>Harlequin Empire : Race, Ethnicity and the Drama of the Popular Enlightenment</t>
  </si>
  <si>
    <t>A History of Seventeenth-Century English Literature</t>
  </si>
  <si>
    <t>Moral Value and Human Diversity</t>
  </si>
  <si>
    <t>Who Set You Flowin'? : The African-American Migration Narrative</t>
  </si>
  <si>
    <t>Design Objects and the Museum</t>
  </si>
  <si>
    <t>Biostatistics for Epidemiology and Public Health Using R</t>
  </si>
  <si>
    <t>The School Psychology Practicum and Internship Handbook</t>
  </si>
  <si>
    <t>EMDR Therapy for Schizophrenia and Other Psychoses</t>
  </si>
  <si>
    <t>Developing a Program of Research in Nursing</t>
  </si>
  <si>
    <t>Expert Clinician to Novice Nurse Educator : Learning from First-Hand Narratives</t>
  </si>
  <si>
    <t>Positive Psychology 101</t>
  </si>
  <si>
    <t>The Social Work Field Instructor's Survival Guide</t>
  </si>
  <si>
    <t>The Counseling Practicum and Internship Manual, Second Edition : A Resource for Graduate Counseling Students</t>
  </si>
  <si>
    <t>Nursing Home Administration, Seventh Edition</t>
  </si>
  <si>
    <t>Lashley's Essentials of Clinical Genetics in Nursing Practice, Second Edition</t>
  </si>
  <si>
    <t>Philosophy of Science for Nursing Practice, Second Edition : Concepts and Application</t>
  </si>
  <si>
    <t>Long-Term Care in an Aging Society : Theory and Practice</t>
  </si>
  <si>
    <t>101 Careers in Education</t>
  </si>
  <si>
    <t>A History of Midwifery in the United States : The Midwife Said Fear Not</t>
  </si>
  <si>
    <t>Perspectives on Stalking : Victims, Perpetrators, and Cyberstalking</t>
  </si>
  <si>
    <t>Doing Your Research Project</t>
  </si>
  <si>
    <t>How To Get A Phd</t>
  </si>
  <si>
    <t>How To Research</t>
  </si>
  <si>
    <t>How To Write A Thesis</t>
  </si>
  <si>
    <t>Starting From The Child</t>
  </si>
  <si>
    <t>Native Informant : Essays on Film, Fiction, and Popular Culture</t>
  </si>
  <si>
    <t>Digital Materialities : Design and Anthropology</t>
  </si>
  <si>
    <t>Mechanisms of Memory</t>
  </si>
  <si>
    <t>101 + Careers in Public Health, Second Edition</t>
  </si>
  <si>
    <t>Attention : A Neuropsychological Approach</t>
  </si>
  <si>
    <t>Interior Urbanism : Architecture, John Portman and Downtown America</t>
  </si>
  <si>
    <t>Attachment in Adulthood, Second Edition : Structure, Dynamics, and Change</t>
  </si>
  <si>
    <t>Names and Naming : People, Places, Perceptions and Power</t>
  </si>
  <si>
    <t>Art and Architecture of Late Medieval Pilgrimage in Northern Europe and the British Isles : Plates (Volume 2)</t>
  </si>
  <si>
    <t>Brill, N.H.E.J., N.V. Koninklijke, Boekhandel en Drukkerij</t>
  </si>
  <si>
    <t>The Grid : A Journey Through the Heart of Our Electrified World</t>
  </si>
  <si>
    <t>Career Counseling Interventions : Practice with Diverse Clients</t>
  </si>
  <si>
    <t>Clinical Nurse Specialist Toolkit, Second Edition : A Guide for the New Clinical Nurse Specialist</t>
  </si>
  <si>
    <t>Psychology of Aging 101</t>
  </si>
  <si>
    <t>The North American Folk Music Revival: Nation and Identity in the United States and Canada, 1945–1980</t>
  </si>
  <si>
    <t>A Companion to Rationalism</t>
  </si>
  <si>
    <t>Dead Theory : Derrida, Death, and the Afterlife of Theory</t>
  </si>
  <si>
    <t>Critical Thinking, Science, and Pseudoscience : Why We Can't Trust Our Brains</t>
  </si>
  <si>
    <t>The Genocide Convention : An International Law Analysis</t>
  </si>
  <si>
    <t>How to Get Your Kids Through University</t>
  </si>
  <si>
    <t>Accent Press</t>
  </si>
  <si>
    <t>A Day to Remember</t>
  </si>
  <si>
    <t>Evidence-Based Geriatric Nursing Protocols for Best Practice, Fifth Edition</t>
  </si>
  <si>
    <t>A-Z of Learning Outside the Classroom</t>
  </si>
  <si>
    <t>Authenticity, Language and Interaction in Second Language Contexts</t>
  </si>
  <si>
    <t>Critical Survey of Mystery &amp; Detective Fiction</t>
  </si>
  <si>
    <t>A Glossary of English Grammar</t>
  </si>
  <si>
    <t>American Ethnic Writers, Volume 2</t>
  </si>
  <si>
    <t>American Ethnic Writers, Volume 1</t>
  </si>
  <si>
    <t>American Heroes, Volume 1</t>
  </si>
  <si>
    <t>American Heroes, Volume 2</t>
  </si>
  <si>
    <t>Musicians and Composers of the Twentieth Century, Volume 5</t>
  </si>
  <si>
    <t>Musicians and Composers of the Twentieth Century, Volume 4</t>
  </si>
  <si>
    <t>Musicians and Composers of the Twentieth Century, Volume 1</t>
  </si>
  <si>
    <t>Musicians and Composers of the Twentieth Century, Volume 2</t>
  </si>
  <si>
    <t>Masterplots II: Christian Literature, Volume 4 : Ser--Z</t>
  </si>
  <si>
    <t>Lost... in the Crater of Fear</t>
  </si>
  <si>
    <t>Improving Employee Performance Through Appraisal and Coaching</t>
  </si>
  <si>
    <t>Warship 2016</t>
  </si>
  <si>
    <t>Conway</t>
  </si>
  <si>
    <t>A John Heskett Reader : Design, History, Economics</t>
  </si>
  <si>
    <t>Reinventing the Local in Tourism : Producing, Consuming and Negotiating Place</t>
  </si>
  <si>
    <t>Pocket Guide to the Orchids of Britain and Ireland</t>
  </si>
  <si>
    <t>Bloomsbury Reference</t>
  </si>
  <si>
    <t>Imperial Brotherhood : Gender and the Making of Cold War Foreign Policy</t>
  </si>
  <si>
    <t>University of Massachusetts Press</t>
  </si>
  <si>
    <t>Complexity in Classroom Foreign Language Learning Motivation : A Practitioner Perspective from Japan</t>
  </si>
  <si>
    <t>Operations Management in Healthcare : Strategy and Practice</t>
  </si>
  <si>
    <t>Crafting Textiles in the Digital Age</t>
  </si>
  <si>
    <t>Beijing Consensus : How China's Authoritarian Model Will Dominate the 21st Century</t>
  </si>
  <si>
    <t>Gastronomy, Tourism and the Media</t>
  </si>
  <si>
    <t>Evaluation of Health Care Quality for DNPs, Second Edition</t>
  </si>
  <si>
    <t>The Artificial Body in Fashion and Art : Marionettes, Models and Mannequins</t>
  </si>
  <si>
    <t>Britain's Historic Ships : A Complete Guide to the Ships That Shaped the Nation</t>
  </si>
  <si>
    <t>Orthopedic and Sports Medicine Case Studies for Advanced Practice Nurses</t>
  </si>
  <si>
    <t>Successful Local Broadcast Sales</t>
  </si>
  <si>
    <t>After a Stroke : 500 Tips for Living Well</t>
  </si>
  <si>
    <t>Elder Abuse and Nursing : What Nurses Need to Know and Can Do About It</t>
  </si>
  <si>
    <t>Health Literacy Among Older Adults</t>
  </si>
  <si>
    <t>Fundamental Mechanics of Fluids</t>
  </si>
  <si>
    <t>Zen of Social Media Marketing : An Easier Way to Build Credibility, Generate Buzz, and Increase Revenue</t>
  </si>
  <si>
    <t>BenBella Books</t>
  </si>
  <si>
    <t>Brain Rules for Baby : How to Raise a Smart and Happy Child from Zero to Five</t>
  </si>
  <si>
    <t>Pear Press</t>
  </si>
  <si>
    <t>Accelerated Trainer</t>
  </si>
  <si>
    <t>Ashgate Publishing, Limited</t>
  </si>
  <si>
    <t>Ashgate Publishing Group</t>
  </si>
  <si>
    <t>Pigment Compendium</t>
  </si>
  <si>
    <t>Dictionary of Accounting</t>
  </si>
  <si>
    <t>Fashion : The Key Concepts</t>
  </si>
  <si>
    <t>Women's Cardiovascular Health</t>
  </si>
  <si>
    <t>The Dallas Heart Group</t>
  </si>
  <si>
    <t>Bookmasters</t>
  </si>
  <si>
    <t>Guide to Electric Power Generation, Second Edition</t>
  </si>
  <si>
    <t>Introduction to Air Pollution</t>
  </si>
  <si>
    <t>Elements of Development-Administration : Theory and Practice</t>
  </si>
  <si>
    <t>Handbook of Management</t>
  </si>
  <si>
    <t>Advanced Child Psychology</t>
  </si>
  <si>
    <t>Biotechnology in Environmental Management</t>
  </si>
  <si>
    <t>International Tourism Development</t>
  </si>
  <si>
    <t>Games and Physical Education in Schools</t>
  </si>
  <si>
    <t>Travel and Tourism Managemnt</t>
  </si>
  <si>
    <t>Advanced Cost Accounting</t>
  </si>
  <si>
    <t>Importance and Need for Special Education</t>
  </si>
  <si>
    <t>Business Finance</t>
  </si>
  <si>
    <t>Educational Psychology</t>
  </si>
  <si>
    <t>Commercial Economics</t>
  </si>
  <si>
    <t>Development of Teaching Learning Process</t>
  </si>
  <si>
    <t>China, India and Japan : A Review of Their Relations</t>
  </si>
  <si>
    <t>Role of Vocational Education</t>
  </si>
  <si>
    <t>Handbook for Geography Teachers</t>
  </si>
  <si>
    <t>Financial Accounting and Appraisal</t>
  </si>
  <si>
    <t>Body Image</t>
  </si>
  <si>
    <t>Assessment for Intervention</t>
  </si>
  <si>
    <t>Lenses on Reading</t>
  </si>
  <si>
    <t>Best Practices in Literacy Instruction (3rd Edition)</t>
  </si>
  <si>
    <t>Integrative Assessment of Adult Personality (2nd Edition)</t>
  </si>
  <si>
    <t>Handbook of Self and Identity</t>
  </si>
  <si>
    <t>Social Work Practice with Children (2nd Edition)</t>
  </si>
  <si>
    <t>Academic Skills Problems</t>
  </si>
  <si>
    <t>Bipolar Disorder</t>
  </si>
  <si>
    <t>Johns Hopkins University Press (JHUP)</t>
  </si>
  <si>
    <t>Auction of King Williams Paintings (1713)</t>
  </si>
  <si>
    <t>John Benjamins</t>
  </si>
  <si>
    <t>Blackwell Guide to Theology and Popular Culture</t>
  </si>
  <si>
    <t>Blackwell Publishing</t>
  </si>
  <si>
    <t>Brand Royalty</t>
  </si>
  <si>
    <t>Kogan Page Ltd.</t>
  </si>
  <si>
    <t>Questionnaire Design</t>
  </si>
  <si>
    <t>Accounting for Non-Accountants (6th Edition)</t>
  </si>
  <si>
    <t>IT Governance</t>
  </si>
  <si>
    <t>Training Design Manual</t>
  </si>
  <si>
    <t>Understanding Brands</t>
  </si>
  <si>
    <t>PR Buzz Factor : How Using Public Relations Can Bost Your Business</t>
  </si>
  <si>
    <t>Global Logistics 5edn</t>
  </si>
  <si>
    <t>Improve Your Communication Skills (2nd Edition)</t>
  </si>
  <si>
    <t>Develop your NLP Skills (3rd Edition)</t>
  </si>
  <si>
    <t>Develop Your Leadership Skills</t>
  </si>
  <si>
    <t>Practical Teaching Skills for Driving Instructors (6th Edition)</t>
  </si>
  <si>
    <t>Public Relations Strategy (2nd Edition)</t>
  </si>
  <si>
    <t>How to Deal with Stress</t>
  </si>
  <si>
    <t>How to Motivate People (2nd Edition)</t>
  </si>
  <si>
    <t>How to Write a Business Plan (2nd Edition)</t>
  </si>
  <si>
    <t>Creativity in Public Relations (3rd Edition)</t>
  </si>
  <si>
    <t>Managing Business Risk (4th Edition)</t>
  </si>
  <si>
    <t>Art of Creative Thinking</t>
  </si>
  <si>
    <t>Handbook of Employee Reward Management and Practice (2nd Edition)</t>
  </si>
  <si>
    <t>IQ and Psychometric Tests : Assess Your Personality, Aptitude and Intelligence</t>
  </si>
  <si>
    <t>How to Pass Advanced Verbal Reasoning Tests</t>
  </si>
  <si>
    <t>Cold War Kitchen</t>
  </si>
  <si>
    <t>Complete Idiot's Guide to Publishing Science Fiction and Fantasy</t>
  </si>
  <si>
    <t>Alpha Books</t>
  </si>
  <si>
    <t>Microthrills</t>
  </si>
  <si>
    <t>Penguin Group (USA) Incorporated</t>
  </si>
  <si>
    <t>Open to Desire</t>
  </si>
  <si>
    <t>Extreme Future</t>
  </si>
  <si>
    <t>Penguin</t>
  </si>
  <si>
    <t>Sex, Time and Power</t>
  </si>
  <si>
    <t>Routledge Companion to Aesthetics (2nd Edition)</t>
  </si>
  <si>
    <t>Introduction to South Pacific Law</t>
  </si>
  <si>
    <t>Competition Law and Policy in the EC and UK</t>
  </si>
  <si>
    <t>International Criminal Law</t>
  </si>
  <si>
    <t>Survey of Modern English</t>
  </si>
  <si>
    <t>Economics and Financial Management for Nurses and Nurse Leaders, Third Edition</t>
  </si>
  <si>
    <t>Pellock's Pediatric Epilepsy : Diagnosis and Therapy</t>
  </si>
  <si>
    <t>Fast Facts about GI and Liver Diseases for Nurses : What APRNs Need to Know in a Nutshell</t>
  </si>
  <si>
    <t>Sport, Exercise, and Performance Psychology : Bridging Theory and Application</t>
  </si>
  <si>
    <t>Context + Environment : Context + Environment</t>
  </si>
  <si>
    <t>AVA Publishing</t>
  </si>
  <si>
    <t>Design Thinking : Design Thinking</t>
  </si>
  <si>
    <t>Construction and materiality : Construction + Materiality</t>
  </si>
  <si>
    <t>Global Contexts : Global Contexts</t>
  </si>
  <si>
    <t>Form + Structure : Form + Structure</t>
  </si>
  <si>
    <t>Visual Dictionary of Interior Architecture and Design</t>
  </si>
  <si>
    <t>Representational techniques : Representational Techniques</t>
  </si>
  <si>
    <t>Visual Dictionary of Pre-press and Production</t>
  </si>
  <si>
    <t>Sequential Images : Sequential Images</t>
  </si>
  <si>
    <t>Retail Design : Retail Design</t>
  </si>
  <si>
    <t>Illustration : A Theoretical and Contextual Perspective</t>
  </si>
  <si>
    <t>Art direction : Art Direction</t>
  </si>
  <si>
    <t>Summary of The death of Ivan Ilyich</t>
  </si>
  <si>
    <t>InterLingua.com, Incorporated</t>
  </si>
  <si>
    <t>Interlingua.com, Inc.</t>
  </si>
  <si>
    <t>New Scrooge Investing</t>
  </si>
  <si>
    <t>McGraw-Hill Companies, The</t>
  </si>
  <si>
    <t>Financial Freedom Through Electronic Day-Trading</t>
  </si>
  <si>
    <t>McGraw-Hill Professional Book Group</t>
  </si>
  <si>
    <t>When Buy Means Sell</t>
  </si>
  <si>
    <t>Home Buyer's Checklist</t>
  </si>
  <si>
    <t>McGraw-Hill Professional</t>
  </si>
  <si>
    <t>How to Find Hidden Real Estate Bargains 2/e</t>
  </si>
  <si>
    <t>Seven Indicators That Move Markets</t>
  </si>
  <si>
    <t>All About Hedge Funds</t>
  </si>
  <si>
    <t>High Probability Trading</t>
  </si>
  <si>
    <t>McGraw-Hill Trade</t>
  </si>
  <si>
    <t>Investing in Fixer-Uppers</t>
  </si>
  <si>
    <t>Lower Your Taxes - Big Time!</t>
  </si>
  <si>
    <t>Personal Finance Calculator</t>
  </si>
  <si>
    <t>Home Closing Checklist</t>
  </si>
  <si>
    <t>Teenage Investor</t>
  </si>
  <si>
    <t>Tips and Traps When Buying a Home</t>
  </si>
  <si>
    <t>Quantitative Trading Strategies</t>
  </si>
  <si>
    <t>Buy the Rumor, Sell the Fact</t>
  </si>
  <si>
    <t>What Is Value Investing?</t>
  </si>
  <si>
    <t>First Time Investor</t>
  </si>
  <si>
    <t>How to Invest in Real Estate With Little or No Money Down</t>
  </si>
  <si>
    <t>Options and Options Trading</t>
  </si>
  <si>
    <t>I Hate Financial Planning</t>
  </si>
  <si>
    <t>What Every Landlord Needs to Know</t>
  </si>
  <si>
    <t>Building Real Estate Riches</t>
  </si>
  <si>
    <t>30 Second Commute</t>
  </si>
  <si>
    <t>Tax Guide for Traders</t>
  </si>
  <si>
    <t>All about Dividend Investing</t>
  </si>
  <si>
    <t>Asset Dedication</t>
  </si>
  <si>
    <t>Cashing in on Wall Street's 10 Greatest Myths</t>
  </si>
  <si>
    <t>Complete Guide to Option Selling</t>
  </si>
  <si>
    <t>Conquering Stock Market Hype</t>
  </si>
  <si>
    <t>Home Seller's Checklist</t>
  </si>
  <si>
    <t>Stock Market Rules</t>
  </si>
  <si>
    <t>What Every Real Estate Investor Needs to Know about Cash Flow... And 36 Other Key Financial Measures</t>
  </si>
  <si>
    <t>Why Can't We Get Anything Done Around Here?</t>
  </si>
  <si>
    <t>How a Second Home Can Be Your Best Investment</t>
  </si>
  <si>
    <t>Tips and Traps for New Home Owners</t>
  </si>
  <si>
    <t>Building Wealth One House at a Time</t>
  </si>
  <si>
    <t>Insider Secrets to Financing Your Real Estate Investments</t>
  </si>
  <si>
    <t>Millionaire Real Estate Investor</t>
  </si>
  <si>
    <t>Semiconductor Manufacturing Handbook</t>
  </si>
  <si>
    <t>Unleashing the Power of EBay</t>
  </si>
  <si>
    <t>How to Do Everything with eBay</t>
  </si>
  <si>
    <t>McGraw-Hill Osborne</t>
  </si>
  <si>
    <t>EBay Power Sellers Secrets</t>
  </si>
  <si>
    <t>Build an eBay Business QuickSteps</t>
  </si>
  <si>
    <t>Fundraising on eBay</t>
  </si>
  <si>
    <t>How to Do Everything with Your eBay Business (2nd Edition)</t>
  </si>
  <si>
    <t>Turn eBay Data into Dollars</t>
  </si>
  <si>
    <t>Secrets of the eBay Millionaires</t>
  </si>
  <si>
    <t>CRM at the Speed of Light</t>
  </si>
  <si>
    <t>How to Make Money Online with eBay, Yahoo!, and Google</t>
  </si>
  <si>
    <t>7 Essential Steps to Successful eBay Marketing</t>
  </si>
  <si>
    <t>Microsoft SQL Server 2005 Developer's Guide</t>
  </si>
  <si>
    <t>Handbook of Inflation Hedging Investments</t>
  </si>
  <si>
    <t>McGraw-Hill</t>
  </si>
  <si>
    <t>C# 2. 0</t>
  </si>
  <si>
    <t>How to Do Everything with Photoshop CS2</t>
  </si>
  <si>
    <t>Six Sigma Financial Tracking and Reporting</t>
  </si>
  <si>
    <t>How to Do Everything with Flash 8</t>
  </si>
  <si>
    <t>Essentials of Risk Management</t>
  </si>
  <si>
    <t>PSP Hacks, Mods, and Expansions</t>
  </si>
  <si>
    <t>Boost Your Presentation IQ</t>
  </si>
  <si>
    <t>Handbook of Die Design</t>
  </si>
  <si>
    <t>Real Estate Millionaire</t>
  </si>
  <si>
    <t>Basic Baseball Strategy</t>
  </si>
  <si>
    <t>How to Buy and Sell Real Estate for Financial Freedom</t>
  </si>
  <si>
    <t>How Legendary Traders Made Millions</t>
  </si>
  <si>
    <t>Stock Valuation</t>
  </si>
  <si>
    <t>Raising an Optimistic Child</t>
  </si>
  <si>
    <t>Robotics Demystified</t>
  </si>
  <si>
    <t>Air Conditioning and Refrigeration</t>
  </si>
  <si>
    <t>Delivering Business Intelligence with Microsoft SQL Server 2005</t>
  </si>
  <si>
    <t>Handbook of Mechanical Engineering Calculations (2nd Edition)</t>
  </si>
  <si>
    <t>How to Do Everything with Windows XP (3rd Edition)</t>
  </si>
  <si>
    <t>Sustainable Energy Systems in Architectural Design</t>
  </si>
  <si>
    <t>Eyes Before Ease</t>
  </si>
  <si>
    <t>Official Dictionary of Unofficial English</t>
  </si>
  <si>
    <t>Handbook for Leaders</t>
  </si>
  <si>
    <t>Profiting with Forex</t>
  </si>
  <si>
    <t>McGraw-Hill Desk Reference for Editors, Writers, and Proofreaders</t>
  </si>
  <si>
    <t>Handbook of Commercial Real Estate Investing</t>
  </si>
  <si>
    <t>What Is Lean Six Sigma?</t>
  </si>
  <si>
    <t>Solution-Centric Organization</t>
  </si>
  <si>
    <t>Be in It to Win</t>
  </si>
  <si>
    <t>Teach Terrific Writing, Grades 4-5</t>
  </si>
  <si>
    <t>Computerized Maintenance Management Systems Made Easy</t>
  </si>
  <si>
    <t>Persuasive Proposals and Presentations</t>
  </si>
  <si>
    <t>Geometric Dimensioning and Tolerancing for Mechanical Design</t>
  </si>
  <si>
    <t>All About Investing</t>
  </si>
  <si>
    <t>Real Estate Investing for the Utterly Confused</t>
  </si>
  <si>
    <t>Everything I Know about Sales Success...</t>
  </si>
  <si>
    <t>Networking for Career Success</t>
  </si>
  <si>
    <t>Managing the Dynamics of Change</t>
  </si>
  <si>
    <t>Microprocessor Design</t>
  </si>
  <si>
    <t>How to Plan and Execute Strategy</t>
  </si>
  <si>
    <t>Finance for Nonfinancial Managers</t>
  </si>
  <si>
    <t>Elusive Fan</t>
  </si>
  <si>
    <t>Oracle XML Handbook</t>
  </si>
  <si>
    <t>Oracle Discoverer Handbook</t>
  </si>
  <si>
    <t>How to Get Started in Electronic Day Trading</t>
  </si>
  <si>
    <t>How to Increase the Value of Your Home</t>
  </si>
  <si>
    <t>New Reality of Wall Street</t>
  </si>
  <si>
    <t>Talent Management Handbook</t>
  </si>
  <si>
    <t>How to Care for Your Parents' Money While Caring for Your Parents</t>
  </si>
  <si>
    <t>Six Sigma Handbook</t>
  </si>
  <si>
    <t>Techniques of Tape Reading</t>
  </si>
  <si>
    <t>Protect Your 401(K)</t>
  </si>
  <si>
    <t>Art of M&amp;A Structuring</t>
  </si>
  <si>
    <t>If It's Raining in Brazil, Buy Starbucks</t>
  </si>
  <si>
    <t>IMC, The Next Generation</t>
  </si>
  <si>
    <t>Money Mistakes You Can't Afford to Make</t>
  </si>
  <si>
    <t>SPICE Circuit Handbook</t>
  </si>
  <si>
    <t>2 Years to a Million in Real Estate</t>
  </si>
  <si>
    <t>Beginning Latin Poetry Reader</t>
  </si>
  <si>
    <t>Designing Outdoor Environments for Children</t>
  </si>
  <si>
    <t>Global Project Management Handbook</t>
  </si>
  <si>
    <t>Investor's Guide to Active Asset Allocation</t>
  </si>
  <si>
    <t>How to Start and Run an eBay Consignment Business</t>
  </si>
  <si>
    <t>Corporate Finance Demystified</t>
  </si>
  <si>
    <t>Charge Pump Circuit Design</t>
  </si>
  <si>
    <t>Six Sigma for Business Excellence</t>
  </si>
  <si>
    <t>Revved!</t>
  </si>
  <si>
    <t>What to Sell on eBay and Where to Get It</t>
  </si>
  <si>
    <t>Pain Free 1-2-3!</t>
  </si>
  <si>
    <t>Say It with Charts</t>
  </si>
  <si>
    <t>Perfect Phrases for Performance Reviews</t>
  </si>
  <si>
    <t>Toyota Way Fieldbook</t>
  </si>
  <si>
    <t>Instant Income</t>
  </si>
  <si>
    <t>Statistics for Six Sigma Made Easy</t>
  </si>
  <si>
    <t>How to Invest in Real Estate with Your IRA and 401K and Pay Little or No Taxes</t>
  </si>
  <si>
    <t>Trust-Based Selling</t>
  </si>
  <si>
    <t>Thousand Barrels a Second</t>
  </si>
  <si>
    <t>Wise Women Invest in Real Estate</t>
  </si>
  <si>
    <t>Millionaire Real Estate Agent</t>
  </si>
  <si>
    <t>Handbook of Fixed Income Securities</t>
  </si>
  <si>
    <t>Realty Blogging</t>
  </si>
  <si>
    <t>Site Planning and Design Handbook</t>
  </si>
  <si>
    <t>Design for Six Sigma for Service</t>
  </si>
  <si>
    <t>Maintenance Planning and Scheduling Handbook</t>
  </si>
  <si>
    <t>Art of M&amp;A (4th Edition)</t>
  </si>
  <si>
    <t>Timing Techniques for Commodity Futures Markets</t>
  </si>
  <si>
    <t>Buy, Rent, and Sell</t>
  </si>
  <si>
    <t>Handbook of Preschool Mental Health, Second Edition : Development, Disorders, and Treatment</t>
  </si>
  <si>
    <t>College Deans</t>
  </si>
  <si>
    <t>Bovine Anatomy : An Illustrated Text</t>
  </si>
  <si>
    <t>Schlutersche GmbH &amp; Co. KG Verlag und Druckerei</t>
  </si>
  <si>
    <t>Schlütersche GmbH</t>
  </si>
  <si>
    <t>Clinical Endocrinology of Dogs and Cats</t>
  </si>
  <si>
    <t>Asian Genders in Tourism</t>
  </si>
  <si>
    <t>Film-Induced Tourism : 2nd edition</t>
  </si>
  <si>
    <t>L2 Learning, Teaching and Assessment : A Comprehensible Input Perspective</t>
  </si>
  <si>
    <t>Gerontechnology : Research, Practice, and Principles in the Field of Technology and Aging</t>
  </si>
  <si>
    <t>Doping in Sport and the Law</t>
  </si>
  <si>
    <t>Storyboards: Motion in Art</t>
  </si>
  <si>
    <t>The Art of the Storyboard : A Filmmaker's Introduction</t>
  </si>
  <si>
    <t>Stop Motion: Passion, Process and Performance</t>
  </si>
  <si>
    <t>Understanding Macromedia Flash 8 ActionScript 2 : Basic Techniques for Creatives</t>
  </si>
  <si>
    <t>A Good Disruption : Redefining Growth in the Twenty-First Century</t>
  </si>
  <si>
    <t>The Lost Thread : The Democracy of Modern Fiction</t>
  </si>
  <si>
    <t>How Novels Work</t>
  </si>
  <si>
    <t>Corporate Governance and Capital Flows in a Global Economy</t>
  </si>
  <si>
    <t>Language Ideologies : Practice and Theory</t>
  </si>
  <si>
    <t>Greek Mythography in the Roman World</t>
  </si>
  <si>
    <t>American Humor</t>
  </si>
  <si>
    <t>Middle English</t>
  </si>
  <si>
    <t>Beyond the Bottom Line : How to Do More with Less in Nonprofit and Public Organizations</t>
  </si>
  <si>
    <t>Invisible City : The Architecture of Devotion in Seventeenth-Century Neapolitan Convents</t>
  </si>
  <si>
    <t>Renewable Energy from the Ocean : A Guide to OTEC</t>
  </si>
  <si>
    <t>Shared Territory : Understanding Children's Writing as Works</t>
  </si>
  <si>
    <t>Autobiographical Inscriptions : Form, Personhood, and the American Woman Writer of Color</t>
  </si>
  <si>
    <t>Defining Creole</t>
  </si>
  <si>
    <t>Japanese Language, Gender, and Ideology : Cultural Models and Real People</t>
  </si>
  <si>
    <t>Translation - Theory and Practice : A Historical Reader</t>
  </si>
  <si>
    <t>Islamic Political Identity in Turkey</t>
  </si>
  <si>
    <t>Beginning to Spell : A Study of First-Grade Children</t>
  </si>
  <si>
    <t>The End of Hidden Ireland : Rebellion, Famine, and Emigration</t>
  </si>
  <si>
    <t>Economics of the Law : Torts, Contracts, Property, Litigation</t>
  </si>
  <si>
    <t>Mergers &amp; Acquisitions : A Guide to Creating Value for Stakeholders</t>
  </si>
  <si>
    <t>Interlanguage Pragmatics</t>
  </si>
  <si>
    <t>Green Chemistry Using Liquid and Supercritical Carbon Dioxide</t>
  </si>
  <si>
    <t>Figuring Genre in Roman Satire</t>
  </si>
  <si>
    <t>Collision Course : The Strange Convergence of Affirmative Action and Immigration Policy in America</t>
  </si>
  <si>
    <t>Swarm Intelligence : From Natural to Artificial Systems</t>
  </si>
  <si>
    <t>Aesthetics in a Multicultural Age</t>
  </si>
  <si>
    <t>Mergers and Acquisitions in Banking and Finance : What Works, What Fails, and Why</t>
  </si>
  <si>
    <t>Beyond the Random Walk : A Guide to Stock Market Anomalies and Low-Risk Investing</t>
  </si>
  <si>
    <t>Advanced Practice Psychiatric Nursing, Second Edition : Integrating Psychotherapy, Psychopharmacology, and Complementary and Alternative Approaches Across the Life Span</t>
  </si>
  <si>
    <t>Exploring the US Language Flagship Program : Professional Competence in a Second Language by Graduation</t>
  </si>
  <si>
    <t>How to Read a Dress : A Guide to Changing Fashion from the 16th to the 20th Century</t>
  </si>
  <si>
    <t>Access to Justice and Legal Aid : Comparative Perspectives on Unmet Legal Need</t>
  </si>
  <si>
    <t>National and Regional Parliaments in the EU-Legislative Procedure Post-Lisbon : The Impact of the Early Warning Mechanism</t>
  </si>
  <si>
    <t>Digital Technologies in Early Childhood Art : Enabling Playful Experiences</t>
  </si>
  <si>
    <t>Social Work Process and Practice : Approaches, Knowledge and Skills</t>
  </si>
  <si>
    <t>Challenging Social Work : The Institutional Context of Practice</t>
  </si>
  <si>
    <t>Information Economics</t>
  </si>
  <si>
    <t>Constitutionalism and Legal Change in Myanmar</t>
  </si>
  <si>
    <t>Fashion and Everyday Life : London and New York</t>
  </si>
  <si>
    <t>Practice-Based Design Research</t>
  </si>
  <si>
    <t>Alternative Art and Anthropology : Global Encounters</t>
  </si>
  <si>
    <t>Reeds Cooking at Sea Handbook</t>
  </si>
  <si>
    <t>Thomas Reed</t>
  </si>
  <si>
    <t>Studies in Music with Text</t>
  </si>
  <si>
    <t>Designers, Users and Justice</t>
  </si>
  <si>
    <t>Collisions in the Digital Paradigm : Law and Rule Making in the Internet Age</t>
  </si>
  <si>
    <t>Sports Biomechanics : The Basics: Optimising Human Performance</t>
  </si>
  <si>
    <t>Bloomsbury Sport</t>
  </si>
  <si>
    <t>Documenting Performance : The Context and Processes of Digital Curation and Archiving</t>
  </si>
  <si>
    <t>Methuen Drama</t>
  </si>
  <si>
    <t>Coastal Encounters: The Transformation of the Gulf South in the Eighteenth Century</t>
  </si>
  <si>
    <t>Indigenizing the Academy : Transforming Scholarship and Empowering Communities</t>
  </si>
  <si>
    <t>Looking through Taiwan : American Anthropologists' Collusion with Ethnic Domination</t>
  </si>
  <si>
    <t>The PA’s Complete Guide to Prescribing Drug Therapy 2018</t>
  </si>
  <si>
    <t>A Creative Approach to Teaching Science</t>
  </si>
  <si>
    <t>A New Era in Global Health : Nursing and the United Nations 2030 Agenda for Sustainable Development</t>
  </si>
  <si>
    <t>The Disney Musical on Stage and Screen : Critical Approaches from 'Snow White' To 'Frozen'</t>
  </si>
  <si>
    <t>Cultural Theory: the Key Concepts</t>
  </si>
  <si>
    <t>Abolishing Corporal Punishment of Children: Questions and answers</t>
  </si>
  <si>
    <t>Council of Europe</t>
  </si>
  <si>
    <t>Understanding and Supporting Bereaved Children : A Practical Guide for Professionals</t>
  </si>
  <si>
    <t>The Research Project : How to Write It</t>
  </si>
  <si>
    <t>Shadow-Makers : A Cultural History of Shadows in Architecture</t>
  </si>
  <si>
    <t>Children in Difficulty : A guide to understanding and helping</t>
  </si>
  <si>
    <t>Digital Personalization in Early Childhood : Impact on Childhood</t>
  </si>
  <si>
    <t>Using Technology to Improve Care of Older Adults</t>
  </si>
  <si>
    <t>Truth, Time and History: a Philosophical Inquiry</t>
  </si>
  <si>
    <t>Expanded Painting : Ontological Aesthetics and the Essence of Colour</t>
  </si>
  <si>
    <t>Anthropology of Globalization, The: Cultural Anthropology Enters the 21st Century</t>
  </si>
  <si>
    <t>Bergin &amp; Garvey</t>
  </si>
  <si>
    <t>Anglo-American Shipbuilding in World War II: A Geographical Perspective</t>
  </si>
  <si>
    <t>Praeger Publishers</t>
  </si>
  <si>
    <t>Australian Piano Music of the Twentieth Century. Music Reference Collection, Volume 87.</t>
  </si>
  <si>
    <t>Krzysztof Penderecki: A Bio-Bibliography</t>
  </si>
  <si>
    <t>Uncovering the History of Children's Drawing and Art</t>
  </si>
  <si>
    <t>Becoming an Extraordinary Manager: The 5 Essentials for Success</t>
  </si>
  <si>
    <t>AMACOM books</t>
  </si>
  <si>
    <t>Billy, Alfred, and General Motors: The Story of Two Unique Men, a Legendary Company, and a Remarkable Time in American History</t>
  </si>
  <si>
    <t>Survival Guide for Project Managers, A</t>
  </si>
  <si>
    <t>Bench Strength: Developing the Depth and Versatility of Your Organization’s Leadership Talent</t>
  </si>
  <si>
    <t>Discipline Without Punishment: The Proven Strategy That Turns Problem Employees Into Superior Performers</t>
  </si>
  <si>
    <t>Results Without Authority: Controlling a Project When the Team Doesn’t Report to You</t>
  </si>
  <si>
    <t>Real Estate Agent's Guide to FSBOs, The; Make Big Money Prospecting For-Sale-By-Owner Properties</t>
  </si>
  <si>
    <t>Unplugged: Reclaiming or Right to Die in America</t>
  </si>
  <si>
    <t>Real Estate Agent's Business Planner, The: Practical Strategies for Maximizing Your Success</t>
  </si>
  <si>
    <t>Seven Deadly Sins of Investing, The: How to Conquer Your Worst Impulses and Save Your Financial Future</t>
  </si>
  <si>
    <t>Improving Your Project Management Skills</t>
  </si>
  <si>
    <t>Sell Your Business Your Way: Getting Out, Getting Rich and Getting On With Your Life</t>
  </si>
  <si>
    <t>Magnetic Selling: Develop the Charm and Charisma that Attract Customers and Maximize Sales</t>
  </si>
  <si>
    <t>Make Millions Selling Real Estate: Earning Secrets of Top Agents</t>
  </si>
  <si>
    <t>eBay Photography the Smart Way: Creating Great Product Pictures That Will Attract Higher Bids and Sell Your Items Faster</t>
  </si>
  <si>
    <t>Real Estate Investor's Pocket Calculator, The: Simple Ways to Compute Cashflow, Value, Return, and Other Key Financial Measurements</t>
  </si>
  <si>
    <t>Facilitator's Fieldbook, The: Step-by-Step Procedures Checklists and Guidelines Samples and Templates</t>
  </si>
  <si>
    <t>25 Ways to Make College Pay Off: Advice for Anxious Parents From a Professor Whos Seen it All</t>
  </si>
  <si>
    <t>Red-Hot Sales Negotiation: Everything You Need to Know to Close Deals, Build Relationships and Create Win/Win Outcomes</t>
  </si>
  <si>
    <t>Parenting A Defiant Child</t>
  </si>
  <si>
    <t>One Foot Out the Door</t>
  </si>
  <si>
    <t>Take No Prisoners</t>
  </si>
  <si>
    <t>Million-Dollar Financial Services Practice, The: A Proven System for Becoming a Top Producer</t>
  </si>
  <si>
    <t>Sales Manager's Success Manual, The</t>
  </si>
  <si>
    <t>Where We Stand: A Surprising Look at the Real State of Our Planet</t>
  </si>
  <si>
    <t>Spiral Up: ...and Other Management Secrets Behind Wildly Successful Initiatives</t>
  </si>
  <si>
    <t>From Difficult to Disturbed: Understanding and Managing Dysfunctional Employees</t>
  </si>
  <si>
    <t>Leadership Advantage, The: How the Best Companies Are Developing Their Talent to Pave the Way for Future Success</t>
  </si>
  <si>
    <t>New Human Capital Strategy, The: Improving the Value of Your Most Important Investment-Year after Year</t>
  </si>
  <si>
    <t>Consultative Real Estate Agent, The: Building Relationships that Create Loyal Clients, Get More Referrals and Increase Your Sales</t>
  </si>
  <si>
    <t>Life in Balance, A: Nourishing the Four Roots of True Happiness</t>
  </si>
  <si>
    <t>Baby Read-Aloud Basics: Fun and Interactive Ways to Help Your Little One Discover the World of Words</t>
  </si>
  <si>
    <t>Questions That Sell: The Powerful Process for Discovering What Your Customer Really Wants</t>
  </si>
  <si>
    <t>Selling Beyond eBay: Foolproof Ways to Reach More Customers and Make Big Money on Rival Online Marketplace</t>
  </si>
  <si>
    <t>Parenting Your Complex Child: Become a Powerful Advocate for the Autistic, Down Syndrome, PDD, BiPolar or other Special Needs Child</t>
  </si>
  <si>
    <t>Everything You Need to Know Before Buying a Co-op, Condo, or Townhouse</t>
  </si>
  <si>
    <t>eBay Business the Smart Way: Maximize Your Profits on the Web’s #1 Auction Site</t>
  </si>
  <si>
    <t>Coaching, Counseling &amp; Mentoring: How to Choose the Right Technique to Boost Employee Performance</t>
  </si>
  <si>
    <t>India Arriving: How This Economic Powerhouse is Redefining Global Business</t>
  </si>
  <si>
    <t>First-Time Manager's Guide to Performance Appraisals, The</t>
  </si>
  <si>
    <t>Team-Building Tool Kit, The: Tips and Tactic for Effective Workplace Teams</t>
  </si>
  <si>
    <t>Your Guide to VA Loans: How to Cut Through the red Tape and get your Dream Home Fast</t>
  </si>
  <si>
    <t>Net Worth Workout, The: A Powerful Program for a Lifetime of Financial Fitness</t>
  </si>
  <si>
    <t>Creative Training Idea Book, The: Inspired tips and Techniques for Engaging and Effective Learning</t>
  </si>
  <si>
    <t>Fundamentals of Preventive Maintenance</t>
  </si>
  <si>
    <t>How to Design, Implement, and Interpret an Employee Survey</t>
  </si>
  <si>
    <t>Making Sense of Strategy</t>
  </si>
  <si>
    <t>Speed to Market: Lean Manufacturing for Job Shops</t>
  </si>
  <si>
    <t>No Limit</t>
  </si>
  <si>
    <t>Working Longer</t>
  </si>
  <si>
    <t>Analytic Processes for School Leaders</t>
  </si>
  <si>
    <t>Association for Supervison and Curriculum Development</t>
  </si>
  <si>
    <t>First Amendment in Schools, The</t>
  </si>
  <si>
    <t>Building Shared Responsibility for Student Learning</t>
  </si>
  <si>
    <t>How to Teach So Students Remember</t>
  </si>
  <si>
    <t>Teaching Writing in the Content Areas</t>
  </si>
  <si>
    <t>Building Student Literacy Through Sustained Silent Reading</t>
  </si>
  <si>
    <t>Creating Literacy-Rich Schools for Adolescents</t>
  </si>
  <si>
    <t>Association for Supervision and Curriculum Development</t>
  </si>
  <si>
    <t>ADD/ADHD Alternatives in the Classroom</t>
  </si>
  <si>
    <t>Using Technology with Classroom Instruction That Works</t>
  </si>
  <si>
    <t>Classical Mythology and More: A Reader Workbook</t>
  </si>
  <si>
    <t>Bolchazy-Carducci Publishers</t>
  </si>
  <si>
    <t>Vergil's Aeneid: Hero, War, Humanity</t>
  </si>
  <si>
    <t>Classical Considerations: Useful Wisdom From Greece and Rome</t>
  </si>
  <si>
    <t>To Be a Roman: Topics in Roman Culture</t>
  </si>
  <si>
    <t>Ovid Workbook, An. Latin Literature Workbook Series.</t>
  </si>
  <si>
    <t>Ovid: A Legamus Transitional Reader. The Legamus Reader Series.</t>
  </si>
  <si>
    <t>China Tidal Wave</t>
  </si>
  <si>
    <t>Brill</t>
  </si>
  <si>
    <t>Handbook of Patristic Exegesis: The Bible in Ancient Christianity</t>
  </si>
  <si>
    <t>Prospects for Polar Tourism</t>
  </si>
  <si>
    <t>Consumer Acceptance of Genetically Modified Foods</t>
  </si>
  <si>
    <t>Environmental Impacts of Sugar Production</t>
  </si>
  <si>
    <t>Ottoman Empire and Early Modern Europe</t>
  </si>
  <si>
    <t>Economics of Financial Markets</t>
  </si>
  <si>
    <t>Microeconometrics: Methods and Applications</t>
  </si>
  <si>
    <t>Ottoman Empire, The: 1700-1922</t>
  </si>
  <si>
    <t>Narrative and Media</t>
  </si>
  <si>
    <t>Argument Realization</t>
  </si>
  <si>
    <t>Cambridge Handbook of Thinking and Reasoning, The</t>
  </si>
  <si>
    <t>History of the Soviet Union from the Beginning to the End, A</t>
  </si>
  <si>
    <t>Immanuel Kant: Prolegomena to any Future Metaphysics: That Will Be Able to Come Forward as Science with Selections from the Critique of Pure Reason. Cambridge Texts in the History of Philosophy</t>
  </si>
  <si>
    <t>Nietzsche: Thus Spoke Zarathustra. Cambridge Texts in the History of Philosophy</t>
  </si>
  <si>
    <t>Energy Law and the Environment</t>
  </si>
  <si>
    <t>Cambridge Edition of the Works of Jane Austen, The: Northanger Abbey</t>
  </si>
  <si>
    <t>Fundamentals of Voice-Quality Engineering in Wireless Networks</t>
  </si>
  <si>
    <t>Introductions and Reviews</t>
  </si>
  <si>
    <t>Post-Broadcast Democracy: How Media Choice Increases Inequality in Political Involvement and Polarizes Elections. Cambridge Studies in Public Opinion and Political Psychology.</t>
  </si>
  <si>
    <t>Politics of the Environment, The: Ideas, Activism, Policy</t>
  </si>
  <si>
    <t>Data Structures and Alogrithms Using C#</t>
  </si>
  <si>
    <t>Programming in Haskel</t>
  </si>
  <si>
    <t>Avoiding Conflict in the Horn of Africa: U.S. Policy Toward Ethiopia and Eritrea</t>
  </si>
  <si>
    <t>Council on Foreign Relations</t>
  </si>
  <si>
    <t>Reform of the International Monetary Fund</t>
  </si>
  <si>
    <t>U.S. Trade Strategy: Free Versus Fair</t>
  </si>
  <si>
    <t>U.S.-China Relations: An Affirmative Agenda, A Responsible Course</t>
  </si>
  <si>
    <t>Climate Change and National Security: An Agenda for Action</t>
  </si>
  <si>
    <t>Content design and methodology of seminars, workshops and congresses</t>
  </si>
  <si>
    <t>Mirrors and windows: An intercultural communication textbook</t>
  </si>
  <si>
    <t>Mediating Between Theory and Practice in the Context of Different Learning Cultures and Languages</t>
  </si>
  <si>
    <t>Legislation to counter discrimination against persons with disabilities</t>
  </si>
  <si>
    <t>Guidance On Urban Rehabilitation: Cultural And Natural Heritage</t>
  </si>
  <si>
    <t>Protecting Children Against Corporal Punishment - Awareness Raising Campaigns</t>
  </si>
  <si>
    <t>Trading Up: Potential And Performance In Non-Formal Learning</t>
  </si>
  <si>
    <t>Eliminating corporal punishment: a human rights imperative for Europe's children</t>
  </si>
  <si>
    <t>Challenge of transcultural diversities, The: Cultural policy and cultural diversity</t>
  </si>
  <si>
    <t>Rights of children at risk and in care</t>
  </si>
  <si>
    <t>Co-operation against crime: the conventions of the Council of Europe</t>
  </si>
  <si>
    <t>Democratic governance of schools</t>
  </si>
  <si>
    <t>Parenting in contemporary Europe: a positive approach</t>
  </si>
  <si>
    <t>Social Security as a Human Right: The Protection Afforded by the European Convention on Human Rights. Human Rights Files No. 23.</t>
  </si>
  <si>
    <t>European Portfolio for Student Teachers of Languages: A reflection tool for language teacher education</t>
  </si>
  <si>
    <t>Teaching Modern Languages to Young Learners: Teachers, curricula and materials</t>
  </si>
  <si>
    <t>Execution of Judgments of the European Court of Human Rights, The. Human rights Files No. 19</t>
  </si>
  <si>
    <t>Cyberterrorism: The Use of the Internet for Terrorist Purposes</t>
  </si>
  <si>
    <t>FOCUS 2007: World Film Market Trends</t>
  </si>
  <si>
    <t>Youth Policy in the Slovak Republic: Conclusions of the Council of Europe International Review</t>
  </si>
  <si>
    <t>Can Excessive Length of Proceedings Be Remedied? Science and Technique of Democracy, Volume 44.</t>
  </si>
  <si>
    <t>Rock History Reader, The</t>
  </si>
  <si>
    <t>Teaching for Diversity and Social Justice</t>
  </si>
  <si>
    <t>Koreas, The</t>
  </si>
  <si>
    <t>Handbook of Food Science, Technology, and Engineering: Volume Four</t>
  </si>
  <si>
    <t>Handbook of Food Science, Technology, and Engineering: Volume Two</t>
  </si>
  <si>
    <t>Global Minstrels: Voices of World Music</t>
  </si>
  <si>
    <t>Handbook of Food Science, Technology, and Engineering: Volume One</t>
  </si>
  <si>
    <t>Handbook of Food Science, Technology, and Engineering: Volume 3</t>
  </si>
  <si>
    <t>How Children Become Violent: Keeping Your Kids out of Gangs, Terrorist Organizations and Cults</t>
  </si>
  <si>
    <t>Electronic &amp; Database Publishing Inc.</t>
  </si>
  <si>
    <t>Test of Professional Competence in Management Accounting. CIMA Learning Systems Strategic Level 2007</t>
  </si>
  <si>
    <t>Risk and Management Accounting: Best practice guidelines for enterprise-wide internal control procedures</t>
  </si>
  <si>
    <t>Finance Director's Handbook</t>
  </si>
  <si>
    <t>Sarbanes-Oxley Act, The: Overview and Implementation Procedures. CIMA Professional Handbook.</t>
  </si>
  <si>
    <t>MedSurg Notes: Nurse's Clinical Pocket Guide</t>
  </si>
  <si>
    <t>F A Davis Company</t>
  </si>
  <si>
    <t>Legal, Ethical, and Political Issues in Nursing</t>
  </si>
  <si>
    <t>Nursing Practice and the Law Avoiding Malpractice and Other Legal Risks</t>
  </si>
  <si>
    <t>Beastie Boys. Hip-Hop Stars.</t>
  </si>
  <si>
    <t>Albert Pujols. Baseball Superstars.</t>
  </si>
  <si>
    <t>Gregory Hines. Black Americans of Achievement.</t>
  </si>
  <si>
    <t>Buddhist Faith in America. Faith in America.</t>
  </si>
  <si>
    <t>Conservation. Environmental Issues.</t>
  </si>
  <si>
    <t>Bob Marley. Black Americans of Achievement.</t>
  </si>
  <si>
    <t>Coretta Scott King. Black Americans of Achievement.</t>
  </si>
  <si>
    <t>Chaucer: Celebrated Poet and Author. Makers of the Middle Ages and Renaissance.</t>
  </si>
  <si>
    <t>Condoleezza Rice. Black Americans of Achievement.</t>
  </si>
  <si>
    <t>Brown v. Board of Education: Integrating American's Schools. Great Supreme Court Decisions.</t>
  </si>
  <si>
    <t>Curt Schilling. Baseball Superstars.</t>
  </si>
  <si>
    <t>Agricultural and Urban Areas. Biomes of the Earth.</t>
  </si>
  <si>
    <t>Gideon v. Wainwright: The Right to Free Legal Counsel. Great Supreme Court Decisions.</t>
  </si>
  <si>
    <t>Ted Williams. Baseball Superstars.</t>
  </si>
  <si>
    <t>Education and Language Restoration. Contemporary Native American Issues.</t>
  </si>
  <si>
    <t>Rickey Henderson. Baseball Superstars.</t>
  </si>
  <si>
    <t>Chinese Immigrants. Immigration to the United States.</t>
  </si>
  <si>
    <t>Roger Maris. Baseball Superstars.</t>
  </si>
  <si>
    <t>United States v. Nixon: The Question of Executive Privilege. Great Supreme Court Decisions.</t>
  </si>
  <si>
    <t>Performance Management</t>
  </si>
  <si>
    <t>Learn English</t>
  </si>
  <si>
    <t>Handbook of Social Work with Groups</t>
  </si>
  <si>
    <t>Developing Mind, The: How Relationships and the Brain Interact to Shape Who We Are</t>
  </si>
  <si>
    <t>Naked Trader, The: How anyone can make money trading shares</t>
  </si>
  <si>
    <t>7 Winning Strategies for Trading Forex: Real and actionable techniques for profiting from the currency markets</t>
  </si>
  <si>
    <t>Shares Made Simple: A Beginner's Guide to the Stock Market</t>
  </si>
  <si>
    <t>Marber on Markets: How to Make Money From Charts</t>
  </si>
  <si>
    <t>Financial Spread Betting Handbook, The: A Guide to Making Money Trading Spread Bets</t>
  </si>
  <si>
    <t>Front Line Guide To Building High Performance Teams, The</t>
  </si>
  <si>
    <t>Bahamas Adventure Guide</t>
  </si>
  <si>
    <t>Tea: A Medical Dictionary, Bibliography, and Annotated Research Guide to Internet References</t>
  </si>
  <si>
    <t>ICON Group</t>
  </si>
  <si>
    <t>Dreams: A Medical Dictionary, Bibliography, and Annotated Research Guide to Internet References</t>
  </si>
  <si>
    <t>Education of Henry Adams, The: Webster's Thesaurus Edition</t>
  </si>
  <si>
    <t>Education of Henry Adams, The: Webster's French Thesaurus Edition</t>
  </si>
  <si>
    <t>Education of Henry Adams, The: Webster's Korean Thesaurus Edition</t>
  </si>
  <si>
    <t>Room with a View, A: Webster's German Thesaurus Edition</t>
  </si>
  <si>
    <t>Hunchback of Notre-Dame, The: Webster's Thesaurus Edition</t>
  </si>
  <si>
    <t>Enemy of the People, An: Webster's French Thesaurus Edition</t>
  </si>
  <si>
    <t>Electronic Business (EB) Services for Small and Medium Enterprises (SMEs) in Taiwan: A Strategic Reference, 2006</t>
  </si>
  <si>
    <t>WiMAX Equipment and Solution Services in Taiwan: A Strategic Reference, 2007</t>
  </si>
  <si>
    <t>Pleasure Boats and Leisure Marine Equipment and Services in United Kingdom: A Strategic Reference, 2007</t>
  </si>
  <si>
    <t>Leisure Parks in Germany: A Strategic Reference, 2007</t>
  </si>
  <si>
    <t>Green Building Materials in Italy: A Strategic Reference, 2006</t>
  </si>
  <si>
    <t>Voice over Internet Protocol (VoIP) Services in Germany: A Strategic Reference, 2007</t>
  </si>
  <si>
    <t>Information Technology (IT) Equipment and Services in Greece: A Strategic Reference, 2007</t>
  </si>
  <si>
    <t>Information Technology (IT) Security Software in Hong Kong: A Strategic Reference, 2006</t>
  </si>
  <si>
    <t>Computer Servers and Storage Systems in China: A Strategic Reference, 2006</t>
  </si>
  <si>
    <t>Portrait of the Artist as a Young Man, A: Webster's Thesaurus Edition</t>
  </si>
  <si>
    <t>2007-2012 World Outlook for Leisure Education, The</t>
  </si>
  <si>
    <t>Webster’s French – English Thesaurus Dictionary</t>
  </si>
  <si>
    <t>Webster’s Indonesian – English Thesaurus Dictionary</t>
  </si>
  <si>
    <t>Webster’s Taiwanese – English Thesaurus Dictionary</t>
  </si>
  <si>
    <t>Webster’s Thai – English Thesaurus Dictionary</t>
  </si>
  <si>
    <t>Webster’s Turkish – English Thesaurus Dictionary</t>
  </si>
  <si>
    <t>Webster’s Vietnamese – English Thesaurus Dictionary</t>
  </si>
  <si>
    <t>Education of Henry Adams, The: Webster's Spanish Thesaurus Edition</t>
  </si>
  <si>
    <t>2006 Turkey Economic and Product Market Databook, The</t>
  </si>
  <si>
    <t>Higher Education in Taiwan: A Strategic Reference</t>
  </si>
  <si>
    <t>Taming of the Shrew, The: Webster's Chinese-Simplified Thesaurus Edition</t>
  </si>
  <si>
    <t>Two Gentlemen of Verona, The: Webster's Thesaurus Edition</t>
  </si>
  <si>
    <t>Winter's Tale, The: Webster's Thesaurus Edition</t>
  </si>
  <si>
    <t>As You Like It: Webster's Spanish Thesaurus Edition</t>
  </si>
  <si>
    <t>Age of Innocence, The: Webster's Wolof Thesaurus Edition</t>
  </si>
  <si>
    <t>Designing and Conducting Health Systems Research Projects: Volume 2: Data Analyses and Report Writing</t>
  </si>
  <si>
    <t>Qualitative Organizational Research: Best Papers from the Davis Conference on Qualitative Research. Qualitative Organizational Research</t>
  </si>
  <si>
    <t>Information Age</t>
  </si>
  <si>
    <t>Advocating for Children and Families in an Emerging Democracy: The Post-Soviet Experience in Lithuania. Research in Global Child Advocacy.</t>
  </si>
  <si>
    <t>New Investment Frontier III, The</t>
  </si>
  <si>
    <t>No Margins: Writing Canadian Fiction In Lesbian</t>
  </si>
  <si>
    <t>Things We Used to Believe</t>
  </si>
  <si>
    <t>Summersdale Publishing</t>
  </si>
  <si>
    <t>Japanese Martial Arts</t>
  </si>
  <si>
    <t>By Any Name</t>
  </si>
  <si>
    <t>Multilateral Environmental Agreements: State of Affairs and Developments 2008</t>
  </si>
  <si>
    <t>E Business: The Practical Guide to the Laws</t>
  </si>
  <si>
    <t>Dealing with Pensions: The practical impact of the Pensions Act 2004 on mergers, acquisitions, restructurings and insolvency</t>
  </si>
  <si>
    <t>Employee Reward Structures</t>
  </si>
  <si>
    <t>International Air Law and ICAO</t>
  </si>
  <si>
    <t>Applied Behaviour Analysis and Autism : Building A Future Together</t>
  </si>
  <si>
    <t>Companion to Shakespeare's Works, Volume II, A</t>
  </si>
  <si>
    <t>Companion to Shakespeare's Works, Volume III, A</t>
  </si>
  <si>
    <t>Companion to Shakespeare's Works, Volume IV, A</t>
  </si>
  <si>
    <t>A Concise Companion to Shakespeare and the Text</t>
  </si>
  <si>
    <t>A Companion to Greek Rhetoric</t>
  </si>
  <si>
    <t>The Blackwell Guide to Literary Theory</t>
  </si>
  <si>
    <t>How to Market Books : The Essential Guide to Maximizing Profit and Exploiting All Channels to Market</t>
  </si>
  <si>
    <t>Successful Presentation Skills. The Sunday Times Creating Success Series.</t>
  </si>
  <si>
    <t>How To Pass Selection Tests</t>
  </si>
  <si>
    <t>Forming A Limited Company: A Practical Guide to Legal Requirements and Procedures</t>
  </si>
  <si>
    <t>New Boss, The: How to Survive the First 100 Days</t>
  </si>
  <si>
    <t>How to Write Your Will: The Complete Guide to Structuring Your Will, Inheritance Tax Planning, Probate and Administering an Estate</t>
  </si>
  <si>
    <t>Retailing Logistics and Fresh Food Packaging : Managing Change in the Supply Chain</t>
  </si>
  <si>
    <t>British Qualifications: A Complete Guide to Professional, Vocational and Academic Qualifications in the UK.</t>
  </si>
  <si>
    <t>Growing Business Handbook, The: Inspiration and Advice From Successful Entrepreneurs and Fast Growing UK Companies</t>
  </si>
  <si>
    <t>Handbook of European Intellectual Property Management, The</t>
  </si>
  <si>
    <t>British Vocational Qualifications. A Directory of Vocational Qualifications Available in the United Kingdom.</t>
  </si>
  <si>
    <t>Kellogg On Biotechnology: Thriving through Integration</t>
  </si>
  <si>
    <t>Transport Manager's and Operator's Handbook 2008, The</t>
  </si>
  <si>
    <t>Business and The Beautiful Game</t>
  </si>
  <si>
    <t>Retailization</t>
  </si>
  <si>
    <t>Master Swing Trader: Tools and Techniques to Profit from Outstanding Short-Term Trading Opportunities</t>
  </si>
  <si>
    <t>McGraw-Hill Publishing</t>
  </si>
  <si>
    <t>Emily Dickinson's Gardens</t>
  </si>
  <si>
    <t>Mortgage Originator Success Kit: The Quick Way to a Six-Figure Income</t>
  </si>
  <si>
    <t>Playing to Learn: Developing High-Quality Experiences for Babies and Toddlers</t>
  </si>
  <si>
    <t>Discussion as a Way of Teaching: Tools and Techniques for University Teachers</t>
  </si>
  <si>
    <t>Can We Teach Children To Be Good?</t>
  </si>
  <si>
    <t>Developing Multiprofessional Teamwork For Integrated Children's Services</t>
  </si>
  <si>
    <t>Social Psychology Of Consumer Behaviour, The</t>
  </si>
  <si>
    <t>Case Study Research In Educational Settings</t>
  </si>
  <si>
    <t>Creative Children, Imaginative Teaching</t>
  </si>
  <si>
    <t>Cultures Of Popular Music</t>
  </si>
  <si>
    <t>Social Policy: An Introduction</t>
  </si>
  <si>
    <t>Ageism</t>
  </si>
  <si>
    <t>Leadership And Teams In Educational Management</t>
  </si>
  <si>
    <t>Material Culture In The Social World</t>
  </si>
  <si>
    <t>Enquiring Children: Challenging Teaching</t>
  </si>
  <si>
    <t>Citizenship In A Global Age</t>
  </si>
  <si>
    <t>Action Research For Educational Change</t>
  </si>
  <si>
    <t>Understanding Data</t>
  </si>
  <si>
    <t>Successful School Improvement</t>
  </si>
  <si>
    <t>Developing English Teachers</t>
  </si>
  <si>
    <t>Critical Approaches To Ageing And Later Life</t>
  </si>
  <si>
    <t>Introduction To Childhood Studies</t>
  </si>
  <si>
    <t>Comparative Social Policy</t>
  </si>
  <si>
    <t>Counselling Skills For Teachers</t>
  </si>
  <si>
    <t>Being A Teacher In Higher Education</t>
  </si>
  <si>
    <t>Educational Leadership &amp; Learning</t>
  </si>
  <si>
    <t>Childhood And Society</t>
  </si>
  <si>
    <t>Changing Leadership For Changing Times</t>
  </si>
  <si>
    <t>Excellent Dissertations!</t>
  </si>
  <si>
    <t>Researching Children'S Perspectives</t>
  </si>
  <si>
    <t>Changing Academic Work</t>
  </si>
  <si>
    <t>Studying Popular Music</t>
  </si>
  <si>
    <t>Youth Lifestyles In A Changing World</t>
  </si>
  <si>
    <t>Beginning Teaching Beginning Learning</t>
  </si>
  <si>
    <t>Writing For Academic Journals</t>
  </si>
  <si>
    <t>How To Survive Your Viva</t>
  </si>
  <si>
    <t>Social Constructionist Psychology</t>
  </si>
  <si>
    <t>Working With Older People And Their Families</t>
  </si>
  <si>
    <t>Developing Reflective Practice In The Early Years</t>
  </si>
  <si>
    <t>Early Childhood Services</t>
  </si>
  <si>
    <t>Problem-Based Learning In Higher Education: Untold Stories</t>
  </si>
  <si>
    <t>Class</t>
  </si>
  <si>
    <t>Working Knowledge</t>
  </si>
  <si>
    <t>Developing Learning In Professional Education</t>
  </si>
  <si>
    <t>Theory And Practice In Human Services</t>
  </si>
  <si>
    <t>Psychology For Nurses And The Caring Professions</t>
  </si>
  <si>
    <t>Healthcare Management</t>
  </si>
  <si>
    <t>Drama In Performance</t>
  </si>
  <si>
    <t>Creative Teachers In Primary Schools</t>
  </si>
  <si>
    <t>Rossini's La Cenerentola: Opera Journeys Libretto Series</t>
  </si>
  <si>
    <t>Saint-Saëns' Samson and Delilah: Opera Journeys Libretto Series</t>
  </si>
  <si>
    <t>Puccini's The Girl of the Golden West (La Fanciulla del West): Opera Journeys Libretto Series</t>
  </si>
  <si>
    <t>Puccini's Madama Butterfly: Opera Journeys Libretto Series</t>
  </si>
  <si>
    <t>Mozart's The Magic Flute (Die Zauberflöte): Opera Journeys Libretto Series</t>
  </si>
  <si>
    <t>Puccini's Turandot: Opera Journeys Libretto Series</t>
  </si>
  <si>
    <t>Bellini's La Sonnambula:Opera Journeys Mini Guide Series</t>
  </si>
  <si>
    <t>Bernstein's West Side Story: Opera Journeys Mini Guide Series</t>
  </si>
  <si>
    <t>Bizet's The Pearl Fishers: Opera Journeys Mini Guide Series</t>
  </si>
  <si>
    <t>Cilèa's Adriana Lecouvreur: Opera Journeys Mini Guide Series</t>
  </si>
  <si>
    <t>Massenet's Thaïs: Opera Journeys Mini Guide Series</t>
  </si>
  <si>
    <t>Saint-Saëns' Henry VIII: Opera Journeys Mini Guide Series</t>
  </si>
  <si>
    <t>Europe since 1945. The Short Oxford History of Europe</t>
  </si>
  <si>
    <t>Heterodoxy in Early Modern Science and Religion</t>
  </si>
  <si>
    <t>Language Origins: Perspectives on Evolution. Studies in the Evolution of Language</t>
  </si>
  <si>
    <t>Arts and Sciences of Criticism, The</t>
  </si>
  <si>
    <t>State Capacity in East Asia: Japan, Taiwan, China and Vietnam</t>
  </si>
  <si>
    <t>Social Theory at Work</t>
  </si>
  <si>
    <t>Architectures of Knowledge: Firms, Capabilities, and Communities</t>
  </si>
  <si>
    <t>Art History: A Very Short Introduction</t>
  </si>
  <si>
    <t>Concise Oxford Dictionary of Literary Terms, The</t>
  </si>
  <si>
    <t>Theoretical Microfluidics. Oxford Master Series in Condensed Matter Physics.</t>
  </si>
  <si>
    <t>Constituent Structure</t>
  </si>
  <si>
    <t>Riddles of Existence: A Guided Tour of Metaphysics</t>
  </si>
  <si>
    <t>Meaning in Language: An Introduction to Semantics and Pragmatics</t>
  </si>
  <si>
    <t>Oral and literate culture in England, 1500-1700</t>
  </si>
  <si>
    <t>Brief History of Neoliberalism, A</t>
  </si>
  <si>
    <t>Twentieth-Century Crime Fiction</t>
  </si>
  <si>
    <t>More than Ramps: A Guide to Improving Health Care Quality and Access for People with Disabilities</t>
  </si>
  <si>
    <t>What Good Are the Arts?</t>
  </si>
  <si>
    <t>Russian Literature: A Very Short Introduction</t>
  </si>
  <si>
    <t>Centre and Provinces: China 1978-1993: Power as Non-Zero-Sum</t>
  </si>
  <si>
    <t>Understanding Pictures</t>
  </si>
  <si>
    <t>Language Matters: A Guide to Everyday Questions About Language</t>
  </si>
  <si>
    <t>Self-Organization in the Evolution of Speech. Studies in the Evolution of Language.</t>
  </si>
  <si>
    <t>Boys in Khaki, Girls in Print: Women's Literary Responses to the Great War 1914-1918. Oxford English Monographs.</t>
  </si>
  <si>
    <t>Western Muslims and the Future of Islam</t>
  </si>
  <si>
    <t>Jack London: An American Original (Oxford Portraits)</t>
  </si>
  <si>
    <t>World Since 1945, The: a concise history</t>
  </si>
  <si>
    <t>Geography and Economy</t>
  </si>
  <si>
    <t>Terrorism: A Very Short Introduction</t>
  </si>
  <si>
    <t>Networks of Innovation: Change and Meaning in the Age of the Internet</t>
  </si>
  <si>
    <t>Ethnic Conflict: A Global Perspective</t>
  </si>
  <si>
    <t>Oxford Studies in Metaphysics Volume 2</t>
  </si>
  <si>
    <t>Fear of Knowledge: Against Relativism and Constructivism</t>
  </si>
  <si>
    <t>Oxford Scholarship Online</t>
  </si>
  <si>
    <t>Post-Colonial and African American Women's Writing</t>
  </si>
  <si>
    <t>Century Of Spin, A: How Public Relations Became the Cutting Edge of Corporate Power</t>
  </si>
  <si>
    <t>Maritime Terrorism: Risk and Liability</t>
  </si>
  <si>
    <t>Reforming Teacher Education: Something Old, Something New</t>
  </si>
  <si>
    <t>Turkey as a U.S. Security Partner</t>
  </si>
  <si>
    <t>Post-Katrina Recovery of the Housing Market Along the Mississippi Gulf Coast. Technical Report.</t>
  </si>
  <si>
    <t>Arts and Culture in the Metropolis: Strategies for Sustainability</t>
  </si>
  <si>
    <t>Insurance Class Actions in the United States</t>
  </si>
  <si>
    <t>Maritime Dimension of International Security: Terrorism, Piracy, and Challenges for the United States</t>
  </si>
  <si>
    <t>Chinese Economic Coercion Against Taiwan: A Tricky Weapon to Use</t>
  </si>
  <si>
    <t>Doing Action Research In Your Own Organization</t>
  </si>
  <si>
    <t>Higher Education: A Worldwide Inventory of Centers and Programs. Global Perspectives on Higher Education</t>
  </si>
  <si>
    <t>Sense Publishers</t>
  </si>
  <si>
    <t>Professoriate in the Age of Globalization, The. Global Perspectives on Higher Education</t>
  </si>
  <si>
    <t>Trails in Education. Technology Enhanced Learning</t>
  </si>
  <si>
    <t>Higher Education in the New Century. Global Perspectives on Higher Education</t>
  </si>
  <si>
    <t>Tradition and Transition. Global Perspectives on Higher Education</t>
  </si>
  <si>
    <t>Management of Change: Implementation of Problem-Based and Project-Based Learning in Engineering</t>
  </si>
  <si>
    <t>Change Agents in Science Education. Bold Visions in Educational Research</t>
  </si>
  <si>
    <t>Girls in a Goldfish Bowl: Moral Regulation, Ritual and the Use of Power amongst Inner City Girls. Transgressions: Cultural Studies and Education</t>
  </si>
  <si>
    <t>Twenty-first Century Schools: Knowledge, Networks and New Economies, Educational Futures, Rethinking theory and Practice</t>
  </si>
  <si>
    <t>University Collaboration for Innovation. Global Perspectives on Higher Education</t>
  </si>
  <si>
    <t>Bridging Theory and Practice in Teacher Education</t>
  </si>
  <si>
    <t>Beyond the Modern-Postmodern Struggle in Education. Educational Futures: Rethinking Theory and Practice</t>
  </si>
  <si>
    <t>Dewey and Power: Renewing the Democratic Faith. Transgressions: Cultural Studies and Education</t>
  </si>
  <si>
    <t>Symbolic Power in Cultural Contexts : Uncovering Social Reality</t>
  </si>
  <si>
    <t>Brill / Sense</t>
  </si>
  <si>
    <t>Global Knowledge Cultures. Educational Futures: Rethinking Theory and Practice</t>
  </si>
  <si>
    <t>Women's Universities and Colleges. Global Perspectives on Higher Education.</t>
  </si>
  <si>
    <t>Doing Teacher-Research. Bold Visions in Educational Research</t>
  </si>
  <si>
    <t>Lost Dream of Equality, The:Critical Essays on Education and Social Class, Educational Futures Rethinking Theory and Practice</t>
  </si>
  <si>
    <t>Ethics of Caring, The: Bridging Pedagogy and Utopia. Transgressions: Cultural Studies and Education</t>
  </si>
  <si>
    <t>Higher Education Systems. Global Perspectives on Higher Education</t>
  </si>
  <si>
    <t>Self-Study and Diversity. Professional Learning.</t>
  </si>
  <si>
    <t>Enhancing Human Performance via Simulation-based Training and Aiding. Modelling and Simulations for Learning and Instructions</t>
  </si>
  <si>
    <t>Social and Community Informatics : Humans on the Net</t>
  </si>
  <si>
    <t>History of the English Language, A</t>
  </si>
  <si>
    <t>Human Rights as Social Representations</t>
  </si>
  <si>
    <t>Curriculum Studies Reader E2</t>
  </si>
  <si>
    <t>Comedy after Postmodernism: Rereading Comedy from Edward Lear to Charles Willeford</t>
  </si>
  <si>
    <t>Texas Tech University Press</t>
  </si>
  <si>
    <t>Vietnam Chronicles: The Abrams Tapes, 1968-1972</t>
  </si>
  <si>
    <t>As Seen in Vogue: A Century of American Fashion in Advertising</t>
  </si>
  <si>
    <t>A to Z of Management Concepts and Models, The</t>
  </si>
  <si>
    <t>Complete Guide to International Financial Reporting Standards, The: Including IAS and Intepretation</t>
  </si>
  <si>
    <t>Prayer on Top of the Earth: The Spiritual Universe of the Plains Apaches</t>
  </si>
  <si>
    <t>University Press of Colorado</t>
  </si>
  <si>
    <t>History of Icelandic Literature, A. Histories of Scandinavian Literature, Volume 5.</t>
  </si>
  <si>
    <t>Swords of the Steppes: The Complete Cossack Adventures, Volume Four</t>
  </si>
  <si>
    <t>Effective Media Communication during Public Health Emergencies</t>
  </si>
  <si>
    <t>When the Girls Come Out to Play : Teenage Working-Class Girls' Leisure Between the Wars</t>
  </si>
  <si>
    <t>Saving Our Future: Multiministerial Action Guide, ESCAP</t>
  </si>
  <si>
    <t>United Nations Publications</t>
  </si>
  <si>
    <t>United Nations</t>
  </si>
  <si>
    <t>Patenting Art and Entertainment: New Strategies for Protecting Creative Ideas</t>
  </si>
  <si>
    <t>Nolo</t>
  </si>
  <si>
    <t>Criminal Law Handbook, The: Know Your Rights, Survive the System. 9th Edition.</t>
  </si>
  <si>
    <t>Stand Up to the IRS. 9th Edition.</t>
  </si>
  <si>
    <t>Performance Appraisal Handbook, The: Legal and Practical Rules for Managers. 2nd Edition.</t>
  </si>
  <si>
    <t>Special Needs Trusts: Protect Your Child's Financial Future. 2nd Edition.</t>
  </si>
  <si>
    <t>Home Business Tax Deductions: Keep What you Earn. 4th Edition.</t>
  </si>
  <si>
    <t>Neighbor Law: Fences, Trees, Boundaries, and Noise. 5th Edition.</t>
  </si>
  <si>
    <t>Solve Your Money Troubles: Get Debt Collectors Off Your Back and Regain Financial Freedom. 10th Edition.</t>
  </si>
  <si>
    <t>How to Win Your Personal Injury Claim. 6th Edition.</t>
  </si>
  <si>
    <t>Long-Term Care. 6th Edition.</t>
  </si>
  <si>
    <t>Nolo's Patents for Beginners. 5th Edition.</t>
  </si>
  <si>
    <t>Nolo's IEP Guide: Learning Disabilities. 3rd Edition.</t>
  </si>
  <si>
    <t>IRAs, 401(k)s and Other Retirement Plans: Taking Your Money Out. 7th Edition.</t>
  </si>
  <si>
    <t>Deglobalization: Ideas for a New World Economy. Global Issues in a Changing World.</t>
  </si>
  <si>
    <t>Sustainability and the Social Fabric : Europe's New Textile Industries</t>
  </si>
  <si>
    <t>Early Years Assessment: Communication and Language</t>
  </si>
  <si>
    <t>Impact Factor of Scientific and Scholarly Journals, The. Its Use and Misuse in Research Evaluation, Scientometrics Guidebooks Series, Volume 2</t>
  </si>
  <si>
    <t>Akademiai Kiado</t>
  </si>
  <si>
    <t>Physical Medicine and Rehabilitation Oral Board Review : Interactive Case Discussions</t>
  </si>
  <si>
    <t>Basic Documents: Volume I</t>
  </si>
  <si>
    <t>International Maritime Organisation</t>
  </si>
  <si>
    <t>MARPOL 73/78: Annex VI, Regulations for Prevention of Air Pollution from Ships and NOx Technical Code</t>
  </si>
  <si>
    <t>FSS Code: International Code for Fire Safety Systems</t>
  </si>
  <si>
    <t>Anti-Fouling Systems: International Convention on the Control of Harmful Anti-Fouling Systems on Ships, 2001 (AFS 2001)</t>
  </si>
  <si>
    <t>Recommandations Révisées Relatives à la Sécurité du Transport des Cargaisons Dangereuses et des Activités Apparentées dans les Zones Portuaires</t>
  </si>
  <si>
    <t>International Code for Fire Safety Systems (FSS Code)</t>
  </si>
  <si>
    <t>Monkey with a Tool Belt</t>
  </si>
  <si>
    <t>Lerner Publishing Group</t>
  </si>
  <si>
    <t>Disasters Up Close: Air Disasters</t>
  </si>
  <si>
    <t>Disasters Up Close: Environmental Disasters</t>
  </si>
  <si>
    <t>From Alice to Zen and Everyone in Between: A Novel</t>
  </si>
  <si>
    <t>Laugh Stand, The: Adventures in Humor</t>
  </si>
  <si>
    <t>Boy Named Beckoning, A: The True Story of Dr. Carlos Montezuma, Native American Hero</t>
  </si>
  <si>
    <t>Living in Urban Communities</t>
  </si>
  <si>
    <t>Lerner Publications</t>
  </si>
  <si>
    <t>Living in Rural Communities</t>
  </si>
  <si>
    <t>Graphic Myths and Legends: Guan Yu, Blood Brothers to the End: A Chinese Legend</t>
  </si>
  <si>
    <t>Graphic Myths and Legends: Hero Twins, The: Against the Lords of Death, A Mayan Myth</t>
  </si>
  <si>
    <t>Coretta Scott King</t>
  </si>
  <si>
    <t>History Maker Biographies: Louis Armstrong</t>
  </si>
  <si>
    <t>History Maker Biographies: Marian Anderson</t>
  </si>
  <si>
    <t>History Maker Biographies: Nat Love</t>
  </si>
  <si>
    <t>History Maker Biographies: Sojourner Truth</t>
  </si>
  <si>
    <t>#09 Campfire Mallory</t>
  </si>
  <si>
    <t>Darby Creek</t>
  </si>
  <si>
    <t>I Am a Dancer</t>
  </si>
  <si>
    <t>Many Ways to Be a Soldier</t>
  </si>
  <si>
    <t>Prisoner for Liberty</t>
  </si>
  <si>
    <t>Johannes Gutenberg and the Printing Press</t>
  </si>
  <si>
    <t>Conquests of Genghis Khan, The</t>
  </si>
  <si>
    <t>Jimmy Carter: A Life of Friendship</t>
  </si>
  <si>
    <t>Lou Gehrig: A Life of Dedication</t>
  </si>
  <si>
    <t>Mary McLeod Bethune: A Life of Resourcefulness</t>
  </si>
  <si>
    <t>Roberto Clemente</t>
  </si>
  <si>
    <t>Forest Fires</t>
  </si>
  <si>
    <t>Sammy Spider's First Shavuot</t>
  </si>
  <si>
    <t>Twisted Journeys 5: Nightmare on Zombie Island. Graphic Universe</t>
  </si>
  <si>
    <t>Twisted Journeys 6: The Time Travel Trap. Graphic Universe</t>
  </si>
  <si>
    <t>Palenque</t>
  </si>
  <si>
    <t>Tomb of King Tutankhamen, The</t>
  </si>
  <si>
    <t>Lazily, Crazily, Just a Bit Nasally: More about Adverbs</t>
  </si>
  <si>
    <t>¡No es mi Culpa!</t>
  </si>
  <si>
    <t>Isis and Osiris: To the Ends of the Earth</t>
  </si>
  <si>
    <t>King Arthur: Excalibur Unsheathed</t>
  </si>
  <si>
    <t>Bold Composer: A Story about Ludwig van Beethoven</t>
  </si>
  <si>
    <t>Citizenship</t>
  </si>
  <si>
    <t>Our Leaders</t>
  </si>
  <si>
    <t>Pablo Picasso</t>
  </si>
  <si>
    <t>What Do Teachers Do (After You Leave School)? Carolrhoda Picture Books</t>
  </si>
  <si>
    <t>Venus &amp; Serena Williams</t>
  </si>
  <si>
    <t>¡Sonríe!</t>
  </si>
  <si>
    <t>¿QUÉ hacen los maestros: [después de que TE VAS de la escuela]?</t>
  </si>
  <si>
    <t>Nancy Pelosi: First Woman Speaker of the House</t>
  </si>
  <si>
    <t>Arthur &amp; Lancelot: The Fight for Camelot</t>
  </si>
  <si>
    <t>Beowulf: Monster Slayer</t>
  </si>
  <si>
    <t>Odysseus: Escaping Poseidon's Curse</t>
  </si>
  <si>
    <t>Theseus: Battling the Minotaur</t>
  </si>
  <si>
    <t>Always an Olivia: A Remarkable Family History</t>
  </si>
  <si>
    <t>Jenny Found a Penny</t>
  </si>
  <si>
    <t>El Caballo De Troya: La caída de Troya</t>
  </si>
  <si>
    <t>El Rey Arturo: La Espada Excalibur Desenvainada</t>
  </si>
  <si>
    <t>Isis y Osiris: Hasta El Fin Del Mundo</t>
  </si>
  <si>
    <t>Anansi and the Box of Stories</t>
  </si>
  <si>
    <t>Millbrook Press</t>
  </si>
  <si>
    <t>Magic Pomegranate, The</t>
  </si>
  <si>
    <t>Tale of La Llorona, The</t>
  </si>
  <si>
    <t>¡Me Gusta Ganar!</t>
  </si>
  <si>
    <t>Me Gusta el Desorden</t>
  </si>
  <si>
    <t>Mi día de Campamento</t>
  </si>
  <si>
    <t>¿Ya te Enteraste?</t>
  </si>
  <si>
    <t>Canciones de Monstruos</t>
  </si>
  <si>
    <t>Mejor Mascota, La</t>
  </si>
  <si>
    <t>Lo Haré Después</t>
  </si>
  <si>
    <t>Wayne Gretzky</t>
  </si>
  <si>
    <t>Allen Jay y el Ferrocarril Subterráneo</t>
  </si>
  <si>
    <t>Caminando Bajo la Nieve</t>
  </si>
  <si>
    <t>La niña que ponchó a Babe Ruth (The Girl Who Struck Out Babe Ruth)</t>
  </si>
  <si>
    <t>ediciones Lerner</t>
  </si>
  <si>
    <t>My Cousin, the Alien</t>
  </si>
  <si>
    <t>Hush Harbor: Praying in Secret</t>
  </si>
  <si>
    <t>I Know an Old Teacher</t>
  </si>
  <si>
    <t>Late for School!</t>
  </si>
  <si>
    <t>Mousetraps</t>
  </si>
  <si>
    <t>Pigling: A Cinderella Story: A Korean Tale</t>
  </si>
  <si>
    <t>Harvest of Light</t>
  </si>
  <si>
    <t>Jodie's Hanukkah Dig</t>
  </si>
  <si>
    <t>Engineer Ari and the Rosh Hashanah Ride</t>
  </si>
  <si>
    <t>Kar-Ben</t>
  </si>
  <si>
    <t>Princess and the Ziz, The</t>
  </si>
  <si>
    <t>Wedding That Saved a Town, The</t>
  </si>
  <si>
    <t>Bokuden and the Bully</t>
  </si>
  <si>
    <t>Lion and the Hare, The: An East African Folktale</t>
  </si>
  <si>
    <t>Day at an Airport, A</t>
  </si>
  <si>
    <t>Day in a City, A</t>
  </si>
  <si>
    <t>Year at a Construction Site, A</t>
  </si>
  <si>
    <t>Alien Incident on Planet J</t>
  </si>
  <si>
    <t>Parent Savvy: Straight Answers to Your Financial, Legal and Practical Questions</t>
  </si>
  <si>
    <t>Make Your Own Living Trust. 8th Edition.</t>
  </si>
  <si>
    <t>Judge's Guide to Divorce, A: Uncommon Advice From the Bench</t>
  </si>
  <si>
    <t>Trademark: Legal Care for Your Business and Product Name. 8th Edition.</t>
  </si>
  <si>
    <t>Legal Research: How to Find and Understand the Law. 14th Edition.</t>
  </si>
  <si>
    <t>Public Domain, The: How to Find and Use Copyright-Free Writings, Music, Art and More. 3rd Edition.</t>
  </si>
  <si>
    <t>Lower Taxes In 7 Easy Steps</t>
  </si>
  <si>
    <t>New Bankruptcy, The: Will It Work for You? 2nd Edition.</t>
  </si>
  <si>
    <t>Every Landlord's Tax Deduction Guide. 4th Edition.</t>
  </si>
  <si>
    <t>Nolo's Encyclopedia of Everyday Law: Answers to Your Most Frequently Asked Legal Questions. 6th Edition.</t>
  </si>
  <si>
    <t>Credit Repair. 8th Edition.</t>
  </si>
  <si>
    <t>Chapter 13 Bankruptcy</t>
  </si>
  <si>
    <t>Becoming a Mediator: Your Guide to Career Opportunities</t>
  </si>
  <si>
    <t>Corporate Records Handbook, The: Meetings Minutes,and Resolutions. 3rd Edition.</t>
  </si>
  <si>
    <t>LLC or Corporation?: How to Choose the Right Form for Your Business. 2nd Edition.</t>
  </si>
  <si>
    <t>How to Form Your Own California Corporation. 12th Edition.</t>
  </si>
  <si>
    <t>Business Buyout Agreement. 4th Edition.</t>
  </si>
  <si>
    <t>Starting and Building a Nonprofit: A Practical Guide. 2nd Edition.</t>
  </si>
  <si>
    <t>Renters' Rights: The Basics. 5th Edition.</t>
  </si>
  <si>
    <t>Patent It Yourself. 12th Edition.</t>
  </si>
  <si>
    <t>How to Make Patent Drawings: A Patent it Yourself Companion. 5th Edition.</t>
  </si>
  <si>
    <t>Your Rights in the Workplace. 8th Edition.</t>
  </si>
  <si>
    <t>Complete IEP Guide, The: How to Advocate for Your Special Ed Child. 5th Edition.</t>
  </si>
  <si>
    <t>Legal Guide for Starting and Running a Small Business. 9th Edition.</t>
  </si>
  <si>
    <t>Employer's Legal Handbook, The. 8th Edition.</t>
  </si>
  <si>
    <t>Patent, Copyright and Trademark: An Intellectual Property Desk Reference. 9th Edition.</t>
  </si>
  <si>
    <t>Patent Pending in 24 Hours. 4th Edition.</t>
  </si>
  <si>
    <t>Divorce Without Court: A Guide to Mediation and Collaborative Divorce</t>
  </si>
  <si>
    <t>Buying a Second Home: Income, Getaway, or Retirement</t>
  </si>
  <si>
    <t>Starting and Running a Successful Newsletter or Magazine</t>
  </si>
  <si>
    <t>Divorce and Money</t>
  </si>
  <si>
    <t>Geography of the Carolinas, A</t>
  </si>
  <si>
    <t>Parkway Publishers</t>
  </si>
  <si>
    <t>Parkway Publishers, Inc.</t>
  </si>
  <si>
    <t>Gulliver of Mars</t>
  </si>
  <si>
    <t>BiblioLife</t>
  </si>
  <si>
    <t>Stories by English Authors: The Orient</t>
  </si>
  <si>
    <t>Lombard Street</t>
  </si>
  <si>
    <t>Method of Selling, The: Your Key to Successful Sales with Over 70 Creative Selling Techniques</t>
  </si>
  <si>
    <t>CCB Publishing</t>
  </si>
  <si>
    <t>Managing 1:1 Marketing. Best Practice</t>
  </si>
  <si>
    <t>bookbytes</t>
  </si>
  <si>
    <t>Stories to Tell to Children</t>
  </si>
  <si>
    <t>Moon Endureth, The: Tales and Fancies</t>
  </si>
  <si>
    <t>Mr Standfast</t>
  </si>
  <si>
    <t>Relationship Aspect Marketing: Building Customer Loyalty in the Internet Age</t>
  </si>
  <si>
    <t>Silver Lake Publishing</t>
  </si>
  <si>
    <t>Power of Nonverbal Communication, The: What You Do Is More Important Than What You Say</t>
  </si>
  <si>
    <t>Sherlock Holmes</t>
  </si>
  <si>
    <t>Worship, Acoustics, and Architecture</t>
  </si>
  <si>
    <t>Multi-Science Publishing</t>
  </si>
  <si>
    <t>Bravo, The: A Tale</t>
  </si>
  <si>
    <t>Little Lame Prince, The</t>
  </si>
  <si>
    <t>Duchesse of Langeais, The</t>
  </si>
  <si>
    <t>Training Skills eBook</t>
  </si>
  <si>
    <t>my-skills</t>
  </si>
  <si>
    <t>Further Adventures of Robinson Crusoe, The</t>
  </si>
  <si>
    <t>Haunted Man and the Ghost's Bargain, The</t>
  </si>
  <si>
    <t>Campaign of Chancellorsville, The</t>
  </si>
  <si>
    <t>Tales of Terror and Mystery</t>
  </si>
  <si>
    <t>Martin Pippin in the Apple Orchard</t>
  </si>
  <si>
    <t>Elsie's Vacation and After Events</t>
  </si>
  <si>
    <t>Macroeconomics</t>
  </si>
  <si>
    <t>VSSD</t>
  </si>
  <si>
    <t>Covered Bonds: Beyond Pfandbriefe: Innovations, Investment and Structured Alternatives</t>
  </si>
  <si>
    <t>Euromoney Books</t>
  </si>
  <si>
    <t>Ghost Kings, The</t>
  </si>
  <si>
    <t>Dick Prescotts's Fourth Year at West Point</t>
  </si>
  <si>
    <t>Iraq Study Group Report, The</t>
  </si>
  <si>
    <t>China Stock Market Handbook</t>
  </si>
  <si>
    <t>Javvin Press</t>
  </si>
  <si>
    <t>3G Wireless Technology Quick Guide</t>
  </si>
  <si>
    <t>Javvin Company</t>
  </si>
  <si>
    <t>WLAN Quick Guide</t>
  </si>
  <si>
    <t>Heroes, The: or Greek Fairy Tales for my Children</t>
  </si>
  <si>
    <t>System Reliability: Concepts and Applications</t>
  </si>
  <si>
    <t>1000 Quick Writing Ideas: A Journal and Creative Writing Kit</t>
  </si>
  <si>
    <t>Timesavers for Teachers</t>
  </si>
  <si>
    <t>Fruitcake Hill: A History and Memoir of Life on the Hill in a Family of 15</t>
  </si>
  <si>
    <t>What's Mine's Mine</t>
  </si>
  <si>
    <t>Does your marketing sell?</t>
  </si>
  <si>
    <t>Affair in Araby</t>
  </si>
  <si>
    <t>Cracking the Code: Financial Statements Explained</t>
  </si>
  <si>
    <t>Control of Continuous Linear Systems</t>
  </si>
  <si>
    <t>ISTE Ltd.</t>
  </si>
  <si>
    <t>Design of High-Performance Negative Feedback Amplifiers</t>
  </si>
  <si>
    <t>Double Traitor, The</t>
  </si>
  <si>
    <t>Cost, The</t>
  </si>
  <si>
    <t>Dynamic Analysis of Rotating Systems and Applications</t>
  </si>
  <si>
    <t>Divine Office, The: A Study of Roman Breviary</t>
  </si>
  <si>
    <t>Electronic Instrumentation</t>
  </si>
  <si>
    <t>Bat, The</t>
  </si>
  <si>
    <t>Turn Eye Appeal into Buy Appeal: How to easily transform your marketing pieces into dazzling, persuasive sales tools!</t>
  </si>
  <si>
    <t>MacGraphics Services</t>
  </si>
  <si>
    <t>Miscellany of Poetry</t>
  </si>
  <si>
    <t>Managing The Customer</t>
  </si>
  <si>
    <t>Battle of the Books and other Short Pieces, The</t>
  </si>
  <si>
    <t>How to Insure Your Home: A Step-by-Step Guide to Buying the Coverage You Need at Prices You Can Afford</t>
  </si>
  <si>
    <t>How to Insure Your Life: A Step-by-Step Guide to Buying the Coverage You Need at Prices You Can Afford</t>
  </si>
  <si>
    <t>Kids &amp; Health Care: Using Insurance, Cash and Government Programs to Make Sure Your Children Get the Best Doctors, Hospitals and Treatment Available</t>
  </si>
  <si>
    <t>Credit Scores, Credit Cards: How Consumer Credit Works: How to Avoid Mistakes and How to Manage Your Accounts Well</t>
  </si>
  <si>
    <t>Protect Yourself: Using Insurance, Security Techniques and Common Sense to Keep Yourself, Your  Family and Your Things Safe</t>
  </si>
  <si>
    <t>Renters Insurance: How to Get the Best Coverage at the best Price When Someone Else Owns the Place Where You Live</t>
  </si>
  <si>
    <t>Hassle-Free Health Coverage: How to Buy the Right Medical Insurance Cheaply and Effectively</t>
  </si>
  <si>
    <t>Contrast, The</t>
  </si>
  <si>
    <t>Asset Securitisation and Synthetic Structures: Innovations in the European Credit Markets</t>
  </si>
  <si>
    <t>Mass Transfer in Multicomponent Mixtures</t>
  </si>
  <si>
    <t>Lord Arthur Savile's Crime and Other Stories</t>
  </si>
  <si>
    <t>Chaplet of Pearls, The</t>
  </si>
  <si>
    <t>Law of Subsidies under the GATT/WTO System, The</t>
  </si>
  <si>
    <t>Wolters Kluwer Law &amp; Business</t>
  </si>
  <si>
    <t>Copyright and Multimedia</t>
  </si>
  <si>
    <t>International Arbitration Law and Practice</t>
  </si>
  <si>
    <t>Image Processing Handbook, The</t>
  </si>
  <si>
    <t>Glossary of Corpus Linguistics, A. Glossaries in Linguistics.</t>
  </si>
  <si>
    <t>Deleuze and Philosophy. Deleuze Connections.</t>
  </si>
  <si>
    <t>Language Planning and Education. Edinburgh Textbooks in Applied Linguistics.</t>
  </si>
  <si>
    <t>Introduction to English Semantics and Pragmatics, An. Edinburgh Textbooks on the English Language.</t>
  </si>
  <si>
    <t>Alternative and Activist Media. Media Topics.</t>
  </si>
  <si>
    <t>Educational Leadership and Reform. Research and Theory in Educational Administration.</t>
  </si>
  <si>
    <t>Empirical Market Microstructure : The Institutions, Economics, and Econometrics of Securities Trading: The Institutions, Economics, and Econometrics of Securities Trading</t>
  </si>
  <si>
    <t>Nineteenth-Century Religion and Literature : An Introduction</t>
  </si>
  <si>
    <t>Worlds of Food : Place, Power, and Provenance in the Food Chain</t>
  </si>
  <si>
    <t>Introduction to Parallel Computing: A Practical Guide with Examples in C. Oxford Texts in Applied and Engineering Mathematics.</t>
  </si>
  <si>
    <t>Culture in Mind: Cognition, Culture, and the Problem of Meaning</t>
  </si>
  <si>
    <t>Product Engineering : Molecular Structure and Properties: Molecular Structure and Properties</t>
  </si>
  <si>
    <t>Antun Sa'adeh: The Man, His Thought - An Anthology</t>
  </si>
  <si>
    <t>Perseus Book LLC (Ingram)</t>
  </si>
  <si>
    <t>Garnet Publishing &amp; Ithaca Press</t>
  </si>
  <si>
    <t>Bequest, The (Al-Wasiyya)</t>
  </si>
  <si>
    <t>Building Arafat's Police: The Politics of International Police Assistance in the Palestinian Territories after the Oslo Agreement</t>
  </si>
  <si>
    <t>Unsustainable Transport: City Transport in the New Century</t>
  </si>
  <si>
    <t>Foreign Direct Investment and Governments: Catalysts for Economic Restructuring</t>
  </si>
  <si>
    <t>Cultural Politics – Queer Reading</t>
  </si>
  <si>
    <t>Shakespeare in Phychoanalysis : London</t>
  </si>
  <si>
    <t>Shipping Law, Third Edition</t>
  </si>
  <si>
    <t>Intermediate Polish: A Grammar and Workbook</t>
  </si>
  <si>
    <t>Reshaping Teaching in Higher Education: Linking Teaching with Research</t>
  </si>
  <si>
    <t>Colloquial Norwegian: A Complete Language Course</t>
  </si>
  <si>
    <t>Identity in Adolescence: The Balance between Self and Other</t>
  </si>
  <si>
    <t>Post-Colonial Studies: The Key Concepts</t>
  </si>
  <si>
    <t>Dictionary of Nutraceuticals and Functional Foods</t>
  </si>
  <si>
    <t>Lives of Spirit : English Carmelite Self-Writing of the Early Modern Period</t>
  </si>
  <si>
    <t>Microsoft Office 2003 for Healthcare</t>
  </si>
  <si>
    <t>Pearson Education Inc</t>
  </si>
  <si>
    <t>Que Publishing</t>
  </si>
  <si>
    <t>Absolute Beginner's Guide to WordPerfect X3</t>
  </si>
  <si>
    <t>Opportunity Investing: How to Profit When Stocks Advance, Stocks Decline, Inflation Runs Rampant, Prices Fall, Oil Prices Hit the Roof, ... and Every Time in Between</t>
  </si>
  <si>
    <t>Financial Times Press</t>
  </si>
  <si>
    <t>Adobe® Acrobat® 8 in the Office</t>
  </si>
  <si>
    <t>Peachpit Press</t>
  </si>
  <si>
    <t>Sams Teach Yourself Ajax in 10 Minutes</t>
  </si>
  <si>
    <t>Sams Publishing</t>
  </si>
  <si>
    <t>Sams Teach Yourself CSS in 24 Hours</t>
  </si>
  <si>
    <t>Novell Cluster Services™ for Linux® and NetWare®</t>
  </si>
  <si>
    <t>Novell Press</t>
  </si>
  <si>
    <t>Python Essential Reference</t>
  </si>
  <si>
    <t>Great Age Guide to Online Travel</t>
  </si>
  <si>
    <t>Using Microsoft® Office 2007. Special Edition</t>
  </si>
  <si>
    <t>iPod &amp; iTunes Pocket Guide, The</t>
  </si>
  <si>
    <t>Linux Shell Scripting with Bash</t>
  </si>
  <si>
    <t>Information Trapping: Real-Time Research on the Web</t>
  </si>
  <si>
    <t>New Riders</t>
  </si>
  <si>
    <t>Digital SLR Guide, The: Beyond Point-and-Shoot Digital Photography</t>
  </si>
  <si>
    <t>Peachpit press</t>
  </si>
  <si>
    <t>Clued In: How To Keep Customers Coming Back Again and Again</t>
  </si>
  <si>
    <t>Managing Data with Microsoft Excel. Business Solutions.</t>
  </si>
  <si>
    <t>Using Microsoft® Expression® Web. Special Edition</t>
  </si>
  <si>
    <t>CCNA Practice Questions. Exam Cram 2.</t>
  </si>
  <si>
    <t>Corel Paint Shop Pro X Digital Darkroom</t>
  </si>
  <si>
    <t>Hot-Wiring Your Creative Process: Strategies for Print and New Media Designers</t>
  </si>
  <si>
    <t>Using Microsoft® Windows® Vista. Special Edition</t>
  </si>
  <si>
    <t>Python Phrasebook: Essential Code and Commands</t>
  </si>
  <si>
    <t>Using Microsoft® Office Outlook® 2007. Special Edition</t>
  </si>
  <si>
    <t>C++ by Example: UnderC Learning Edition</t>
  </si>
  <si>
    <t>Adobe Photoshop Elements 4 and Premiere Elements 2 All in One</t>
  </si>
  <si>
    <t>BlackBerry Pearl Pocket Guide, The</t>
  </si>
  <si>
    <t>Microsoft Windows Vista: Visual QuickStart Guide</t>
  </si>
  <si>
    <t>Java Phrasebook: Essential Code and Commands</t>
  </si>
  <si>
    <t>Java 2 by Example</t>
  </si>
  <si>
    <t>Turning Silver into Gold: How to Profit in the New Boomer Marketplace</t>
  </si>
  <si>
    <t>FT Press</t>
  </si>
  <si>
    <t>Pirates of the Digital Millennium: How the Intellectual Property Wars Damage Our Personal Freedoms, Our Jobs, and the World Economy</t>
  </si>
  <si>
    <t>Using WordPerfect Office X3: Special Edition</t>
  </si>
  <si>
    <t>Absolute Beginner's Guide to Networking (4th ed)</t>
  </si>
  <si>
    <t>Ajax for Web Application Developers: Reusable Components and Patterns for Ajax-driven Applications</t>
  </si>
  <si>
    <t>Break From the Pack: How to Compete in a Copycat Economy</t>
  </si>
  <si>
    <t>Sams Teach Yourself Networking in 24 Hours</t>
  </si>
  <si>
    <t>Joy of Freedom, The: An Economist's Odyssey</t>
  </si>
  <si>
    <t>Red Hat® Fedora™ Core 6 Unleashed</t>
  </si>
  <si>
    <t>VBA and Macros for Microsoft Excel. Business Solutions.</t>
  </si>
  <si>
    <t>Using Microsoft® Office Excel® 2007. Special Edition</t>
  </si>
  <si>
    <t>Pivot Table Data Crunching for Microsoft Office Excel 2007</t>
  </si>
  <si>
    <t>Microsoft® Office Word 2007 On Demand</t>
  </si>
  <si>
    <t>Microsoft® Windows Vista™ On Demand</t>
  </si>
  <si>
    <t>Microsoft® Office 2007 On Demand</t>
  </si>
  <si>
    <t>Microsoft Office PowerPoint 2007 On Demand</t>
  </si>
  <si>
    <t>Microsoft Office Access 2007 On Demand</t>
  </si>
  <si>
    <t>iPod Book, The: Doing Cool Stuff with the iPod and the iTunes Store</t>
  </si>
  <si>
    <t>Real World Mac Maintenance and Backups</t>
  </si>
  <si>
    <t>Que's Official Internet Yellow Pages, 2005 Edition</t>
  </si>
  <si>
    <t>Internet Yellow Pages: 2007 Edition</t>
  </si>
  <si>
    <t>Creating Spreadsheets and Charts in Microsoft Office Excel 2007 for Windows: Visual QuickProject Guide</t>
  </si>
  <si>
    <t>Microsoft SharePoint 2003 Unleashed</t>
  </si>
  <si>
    <t>SAP Query Reporting</t>
  </si>
  <si>
    <t>Microsoft SQL Server 2005: Reporting Services</t>
  </si>
  <si>
    <t>Linux Kernel Development</t>
  </si>
  <si>
    <t>Plan a Fabulous Party In No Time</t>
  </si>
  <si>
    <t>MySpace Unraveled: What it is and How to Use it Safely</t>
  </si>
  <si>
    <t>No One Cares What You Had for Lunch: 100 Ideas for Your Blog</t>
  </si>
  <si>
    <t>Microsoft® Windows® Vista™ Unleashed</t>
  </si>
  <si>
    <t>XQuery Kick Start</t>
  </si>
  <si>
    <t>Microsoft SQL Server 2005: Analysis Services</t>
  </si>
  <si>
    <t>Sams Teach Yourself PHP, MySQL and Apache All in One</t>
  </si>
  <si>
    <t>Quick Family Meals In No Time</t>
  </si>
  <si>
    <t>Microsoft® Operations Manager 2005 Unleashed: With A Preview of Operations Manager 2007</t>
  </si>
  <si>
    <t>C# Primer Plus</t>
  </si>
  <si>
    <t>Absolute Beginners guide to Computer Basics (4th ed)</t>
  </si>
  <si>
    <t>Absolute Beginner’s Guide to eBay®</t>
  </si>
  <si>
    <t>Making a Living from Your eBay Business</t>
  </si>
  <si>
    <t>How Microsoft Windows Vista Works</t>
  </si>
  <si>
    <t>Absolute Beginner's Guide to iPod and iTunes (3rd ed)</t>
  </si>
  <si>
    <t>Microsoft® Exchange Server 2007 Unleashed</t>
  </si>
  <si>
    <t>Using Microsoft® Office PowerPoint® 2007. Special Edition</t>
  </si>
  <si>
    <t>Upgrading and Repairing PCs: Field Guide</t>
  </si>
  <si>
    <t>Windows Presentation Foundation Unleashed</t>
  </si>
  <si>
    <t>Creating a Presentation in Microsoft Office PowerPoint 2007 for Windows: Visual QuickProject Guide</t>
  </si>
  <si>
    <t>Absolute Beginner's Guide to Microsoft Windows Vista</t>
  </si>
  <si>
    <t>Next Global Stage, The: Challenges and Opportunities in Our Borderless World</t>
  </si>
  <si>
    <t>Wharton School Publishing</t>
  </si>
  <si>
    <t>Options for the Beginner and Beyond: Unlock the Opportunities and Minimize the Risks</t>
  </si>
  <si>
    <t>Sams Teach Yourself Microsoft® Office 2007 All in One</t>
  </si>
  <si>
    <t>MCSE 70-294 Exam Prep,2/e</t>
  </si>
  <si>
    <t>Microsoft Visual Studio 2005 Unleashed / 1</t>
  </si>
  <si>
    <t>C Primer Plus</t>
  </si>
  <si>
    <t>Mac with iWeb. Visual Quick Start Guide</t>
  </si>
  <si>
    <t>Speak Basic Spanish In No Time</t>
  </si>
  <si>
    <t>Moving to Microsoft Windows Vista: Visual QuickProject Guide</t>
  </si>
  <si>
    <t>MCSA/MCSE 70-290 Exam Prep: Managing and Maintaining a Microsoft® Windows Server™ 2003 Environment</t>
  </si>
  <si>
    <t>Scalable Internet Architectures</t>
  </si>
  <si>
    <t>MCSA/MCSE: 70-291 Exam Prep: Implementing, Managing, and Maintaining a Microsoft Windows Server 2003 Network Infrastructure</t>
  </si>
  <si>
    <t>From Ice Cream to the Internet: Using Franchising to Drive the Growth and Profits of Your Company</t>
  </si>
  <si>
    <t>Prentice Hall</t>
  </si>
  <si>
    <t>Dispatches from Blogistan: A Travel Guide for the Modern Blogger</t>
  </si>
  <si>
    <t>C++ Primer Plus</t>
  </si>
  <si>
    <t>eMbedded Visual Basic: Windows CE and Pocket PC Mobile Applications</t>
  </si>
  <si>
    <t>MCSA/MCSE Implementing and Managing Exchange Server 2003 Exam Cram 2 (Exam Cram 70-284)</t>
  </si>
  <si>
    <t>Novell Certified Linux Engineer (Novell CLE) Study Guide</t>
  </si>
  <si>
    <t>10 Secrets to Successful Home Buying and Selling: Using Your Housing Psychology to Make Smarter Decisions</t>
  </si>
  <si>
    <t>Design of Things to Come, The: How Ordinary People Create Extraordinary Products</t>
  </si>
  <si>
    <t>ASP.NET 2.0 Unleashed</t>
  </si>
  <si>
    <t>Special Edition Using Microsoft Office Word 2007</t>
  </si>
  <si>
    <t>How Digital Photography Works</t>
  </si>
  <si>
    <t>Podcasting and Blogging with GarageBand and iWeb</t>
  </si>
  <si>
    <t>MCSA/MCSE 70-294 Exam Cram: Planning, Implementing, and Maintaining a Microsoft Windows Server 2003 Active Directory Infrastructure</t>
  </si>
  <si>
    <t>OpenGL® SuperBible</t>
  </si>
  <si>
    <t>Essentials of Equity and Trusts Law</t>
  </si>
  <si>
    <t>Pearson Education UK</t>
  </si>
  <si>
    <t>Longman</t>
  </si>
  <si>
    <t>Consumer Behaviour : A European Perspective</t>
  </si>
  <si>
    <t>Financial Times/ Prentice Hall</t>
  </si>
  <si>
    <t>Principles of Auditing : An Introduction to International Standards on Auditing</t>
  </si>
  <si>
    <t>Business Ethics and Values</t>
  </si>
  <si>
    <t>Principles of Direct and Database Marketing</t>
  </si>
  <si>
    <t>Communication for Business : A Practical Approach</t>
  </si>
  <si>
    <t>Business Accounting Volume 1</t>
  </si>
  <si>
    <t>Essentials of Marketing Research</t>
  </si>
  <si>
    <t>Services Marketing : Managing the Service Value Chain</t>
  </si>
  <si>
    <t>Financial Accounting, Reporting &amp; Analysis : International Edition</t>
  </si>
  <si>
    <t>Financial Accounting : An International Approach</t>
  </si>
  <si>
    <t>Marketing Research : An International Approach</t>
  </si>
  <si>
    <t>Handbook of Corporate Finance</t>
  </si>
  <si>
    <t>Management Accounting for Decision Makers</t>
  </si>
  <si>
    <t>Financial Accounting for Decision Makers</t>
  </si>
  <si>
    <t>Accounting and Finance for Non-Specialists (5th ed)</t>
  </si>
  <si>
    <t>Essentials of Marketing</t>
  </si>
  <si>
    <t>Financial Accounting</t>
  </si>
  <si>
    <t>Internet Marketing</t>
  </si>
  <si>
    <t>Logistics and Supply Chain Management</t>
  </si>
  <si>
    <t>Mastering Financial Mathematics in Microsoft® Excel</t>
  </si>
  <si>
    <t>Macro Economics</t>
  </si>
  <si>
    <t>Accounting</t>
  </si>
  <si>
    <t>Comparative International Accounting</t>
  </si>
  <si>
    <t>International Financial Reporting</t>
  </si>
  <si>
    <t>Employment Law</t>
  </si>
  <si>
    <t>Real Problem Solving</t>
  </si>
  <si>
    <t>Exploring Public Relations</t>
  </si>
  <si>
    <t>Innovation Management and New Product Development</t>
  </si>
  <si>
    <t>Management Accounting</t>
  </si>
  <si>
    <t>Financial Accounting: An Introduction</t>
  </si>
  <si>
    <t>Financial and Management Accounting</t>
  </si>
  <si>
    <t>Business Accounting 2</t>
  </si>
  <si>
    <t>Sams Teach yourself Microsoft®SQL Server 2005 Express in 24 Hours</t>
  </si>
  <si>
    <t>Publish and Prosper: Blogging for Your Business</t>
  </si>
  <si>
    <t>Making Innovation Work: How to Manage It, Measure It, and Profit from It</t>
  </si>
  <si>
    <t>Linux Phrasebook</t>
  </si>
  <si>
    <t>Certified Ethical Hacker Exam Prep</t>
  </si>
  <si>
    <t>iWork ’06 with iLife ’06: Make Extraordinary Presentations and Publications with Keynotes 3 and Pages 2 . Apple Training Series.</t>
  </si>
  <si>
    <t>Capitalism at the Crossroads: The Unlimited Business Opportunitites in Solving the World's Most Difficult Problems</t>
  </si>
  <si>
    <t>Sams Teach Yourself HTML in 10 Minutes</t>
  </si>
  <si>
    <t>Agile Java Development with Spring, Hibernate and Eclipse</t>
  </si>
  <si>
    <t>Microsoft® Visual C# 2005 Unleashed</t>
  </si>
  <si>
    <t>Ubuntu Unleashed</t>
  </si>
  <si>
    <t>Microsoft SQL Server 2005 Integration Services</t>
  </si>
  <si>
    <t>Sams Teach Yourself Web Publishing with HTML and CSS in One Hour a Day</t>
  </si>
  <si>
    <t>Sams Teach Yourself JavaScript in 24 Hours</t>
  </si>
  <si>
    <t>MySQL® Administrator’s Guide and Language Reference</t>
  </si>
  <si>
    <t>My SQL Press</t>
  </si>
  <si>
    <t>Sams Teach Yourself MySQL® in 10 Minutes</t>
  </si>
  <si>
    <t>Easy Microsoft® Windows® Vista</t>
  </si>
  <si>
    <t>iLife ’06: iPhoto, iMovie HD, iDVD,GarageBand, iWeb. Apple Training Series.</t>
  </si>
  <si>
    <t>MCSE 70-293 Exam Prep: Planning and Maintaining a Microsoft® Windows Server 2003 Network Infrastructure</t>
  </si>
  <si>
    <t>FreeBSD® 6 Unleashed</t>
  </si>
  <si>
    <t>Macs on the Go: Guide to Mobile Computing, For Mac laptops using Mac OS X</t>
  </si>
  <si>
    <t>Javascript Phrasebook: Essential Code and Commands</t>
  </si>
  <si>
    <t>PHP 5 in Practice</t>
  </si>
  <si>
    <t>How to Wow with PowerPoint</t>
  </si>
  <si>
    <t>Handbook of Pragmatics, The</t>
  </si>
  <si>
    <t>365 Steps to Self-Confidence: A Complete Programme for Personal Transformation</t>
  </si>
  <si>
    <t>How to Books</t>
  </si>
  <si>
    <t>50 Cautionary Tales for Managers: An Entertaining Collection of Enlightening Parables for Managers</t>
  </si>
  <si>
    <t>85 Inspiring Ways to Market Your Small Business: Inspiring, Self-Help Marketing Strategies That You Can Apply to Your Own Business Immediately</t>
  </si>
  <si>
    <t>Awaken the Writer Within</t>
  </si>
  <si>
    <t>Beating the Property Clock: How to Understand and Exploit the Property Cycle for Maximum Gain</t>
  </si>
  <si>
    <t>Buying and Renovating a Property in France</t>
  </si>
  <si>
    <t>Buying Property in Eastern Europe: The Essential Guide to Purchasing Property in 13 Countries, from the Baltic to the Balkans</t>
  </si>
  <si>
    <t>Buying a Property in Portugal</t>
  </si>
  <si>
    <t>Getting a Job Abroad: The International Jobseekers' Directory</t>
  </si>
  <si>
    <t>Getting into Canada: How to Make a Successful Application for Permanent or Temporary Residence</t>
  </si>
  <si>
    <t>Grow Your Own Achievers: The Manager's Guide to Developing Effective People</t>
  </si>
  <si>
    <t>How to Be a Motivational Manager: An Essential Guide for Leaders and Managers Who Need to Get Fast Results with Minimum Stress</t>
  </si>
  <si>
    <t>How to Buy and Let a Holiday Cottage</t>
  </si>
  <si>
    <t>How to Grow Your Small Business Rapidly Online: Cost-Effective Ways of Making the Internet Really Work for Your Business</t>
  </si>
  <si>
    <t>How to Make a Fortune on the Internet: A Guide for Anyone Who Wants to Create a Massive - and Passive - Income for Life</t>
  </si>
  <si>
    <t>How to Start Your Own Gardening Business: An Insider Guide to Setting Yourself Up as a Professional Gardener</t>
  </si>
  <si>
    <t>Investing in Student Buy-to-Let: How to Make Money from Student Accommodation</t>
  </si>
  <si>
    <t>Landlord's Survival Guide, The: The Truly Practical Insider Handbook for All Private Landlords</t>
  </si>
  <si>
    <t>Lump Sum Investment: Assess Your Needs; Explore the Opportunities; Maximise Your Investment</t>
  </si>
  <si>
    <t>Making a Wedding Speech: How to Face the Big Occasion with Confidence and Carry It Off with Style</t>
  </si>
  <si>
    <t>Making Management Simple: A Practical Handbook for Dealing with Everyday Management Challenges</t>
  </si>
  <si>
    <t>Raising Finance for Your Business: A Nuts and Bolts Guide for SME Owners and Managers</t>
  </si>
  <si>
    <t>Returning to Learning: A Practical Handbook for Adults Returning to Education</t>
  </si>
  <si>
    <t>Spell Well: Boost Your Word Power and Your Confidence</t>
  </si>
  <si>
    <t>Start and Run Your Own Business: The Complete Guide to Setting Up and Managing a Small Business</t>
  </si>
  <si>
    <t>Starting Your Own Business: The Bestselling Guide to Planning and Building a Successful Enterprise</t>
  </si>
  <si>
    <t>Successful Interviews Every Time</t>
  </si>
  <si>
    <t>Career Change Handbook, The: How to Find Out What You're Good at and What You Enjoy - Then Get Someone to Pay You for It</t>
  </si>
  <si>
    <t>Complete Guide to Learning a Language, The: How to Learn a Language with the Least Amount of Difficulty and the Most Amount of Fun</t>
  </si>
  <si>
    <t>Event Manager's Bible, The: The Complete Guide to Planning and Organising a Voluntary or Public Event</t>
  </si>
  <si>
    <t>Five-Minute Writer, The: Exercise and Inspiration in Creative Writing in Five Minutes a Day</t>
  </si>
  <si>
    <t>New Landlord's Guide to Letting, The: How to Buy and Let Residential Property for Profit</t>
  </si>
  <si>
    <t>How to Turn Your Business into the Next Global Brand: Creating and Managing a Franchised Network</t>
  </si>
  <si>
    <t>Voices of Experience: The Professional's Guide to Making Great Presentations</t>
  </si>
  <si>
    <t>Wedding Speeches for Women: The Girls' Own Guide to Giving a Speech They'll Remember</t>
  </si>
  <si>
    <t>Writing a Report: How to Prepare, Write and Present Effective Reports</t>
  </si>
  <si>
    <t>Choosing a Care Home</t>
  </si>
  <si>
    <t>Dealing With Deaths, Funerals, Wills and Bereavement: A Practical Guide</t>
  </si>
  <si>
    <t>How to Buy and Run A Small Hotel</t>
  </si>
  <si>
    <t>How to Do Your Own Divorce: A Step-by-Step Guide to the Legal and Financial Processes in the Breakdown of Marriage</t>
  </si>
  <si>
    <t>How to Make a Great Wedding Speech</t>
  </si>
  <si>
    <t>How to Publish Your Own Book</t>
  </si>
  <si>
    <t>How to Spend the Kids' Inheritance</t>
  </si>
  <si>
    <t>Learning to Read Music</t>
  </si>
  <si>
    <t>Working in the Music Industry: How to Find an Exciting and Varied Career in the World of Music</t>
  </si>
  <si>
    <t>Creative Writing: How to Unlock Your Imagination, Develop Your Writing Skills - and Get Published</t>
  </si>
  <si>
    <t>Beginner's Guide to Writing a Novel, The: How to Prepare Your First Book for Publication</t>
  </si>
  <si>
    <t>How to Buy and Run Your Own Hotel</t>
  </si>
  <si>
    <t>Making a Wedding Speech: How to Face the Big Occasion with Confidence and Carry it Off with Style</t>
  </si>
  <si>
    <t>Working in the Voluntary Sector. How to find rewarding and fulfilling work in charities and voluntary organisations</t>
  </si>
  <si>
    <t>Marketing Due Diligence: Reconnecting Strategy to Share Price</t>
  </si>
  <si>
    <t>Handbook of Art Therapy</t>
  </si>
  <si>
    <t>Sex Matters for Women: A Complete Guide to Taking Care of Your Sexual Self</t>
  </si>
  <si>
    <t>Renaissance and Golden Age essays in honor of D.W. McPheeters</t>
  </si>
  <si>
    <t>Digitalia - Scripta Humanistica</t>
  </si>
  <si>
    <t>Digitalia</t>
  </si>
  <si>
    <t>Home Truths About Child Sexual Abuse</t>
  </si>
  <si>
    <t>Analysing Middle East Foreign Policies</t>
  </si>
  <si>
    <t>Understanding Media: The Extensions of Man</t>
  </si>
  <si>
    <t>China as a Rising World Power and its Response to 'Globalization'</t>
  </si>
  <si>
    <t>Encyclopedia of 20th-Century Technology, Volume 2 M-Z Index</t>
  </si>
  <si>
    <t>Handbook of Statistical Analyses Using Stata, A</t>
  </si>
  <si>
    <t>Encyclopedia of 20th-Century Architecture</t>
  </si>
  <si>
    <t>Introduction to Human Resource Management, An</t>
  </si>
  <si>
    <t>English for Journalists 3</t>
  </si>
  <si>
    <t>An Introduction to Sports Coaching : From Science and Theory to Practice</t>
  </si>
  <si>
    <t>Guidelines for Landscape and Visual Impact Assessment</t>
  </si>
  <si>
    <t>The Routledge Companion to Critical Theory</t>
  </si>
  <si>
    <t>Working Whole Systems: putting theory into practice in organisations</t>
  </si>
  <si>
    <t>Radcliffe Publishing/Taylor &amp; Francis</t>
  </si>
  <si>
    <t>AMA Guide to Management Development</t>
  </si>
  <si>
    <t>Generation at Risk, A: The Global Impact of HIV/AIDS on Orphans and Vulnerable Children</t>
  </si>
  <si>
    <t>Artistic Truth: Aesthetics, Discourse, and Imaginative Disclosure</t>
  </si>
  <si>
    <t>Democratizing the Hegemonic State: Political Transformation in the Age of Identity</t>
  </si>
  <si>
    <t>Intentional Change from a Complexity Perspective. Journal of Management Development, Volume25, Issue 7.</t>
  </si>
  <si>
    <t>Emerald Group Publishing</t>
  </si>
  <si>
    <t>Family Support as Reflective Practice</t>
  </si>
  <si>
    <t>Child Development From Birth To Eight: A Journey Through The Early Years</t>
  </si>
  <si>
    <t>Media Technology: Critical Perspectives</t>
  </si>
  <si>
    <t>Childhood Bilingualism: Research on Infancy through School Age. Child Language and Child Development</t>
  </si>
  <si>
    <t>Films of Ingmar Bergman, The : Illusions of Light and Darkness</t>
  </si>
  <si>
    <t>Mental Health Policy, Plans and Programmes (updated version)</t>
  </si>
  <si>
    <t>Exploring Environmental Issues : An Integrated Approach</t>
  </si>
  <si>
    <t>Globalisation and the Third World</t>
  </si>
  <si>
    <t>Language and Thought</t>
  </si>
  <si>
    <t>Revealing Art : Why Art Matters</t>
  </si>
  <si>
    <t>Religions in the Modern World: Traditions and Transformations</t>
  </si>
  <si>
    <t>Gender and Groupwork</t>
  </si>
  <si>
    <t>Language of Children, The</t>
  </si>
  <si>
    <t>Ideology</t>
  </si>
  <si>
    <t>Food and Cultural Studies</t>
  </si>
  <si>
    <t>Social Capital</t>
  </si>
  <si>
    <t>Handbook of International Psychology</t>
  </si>
  <si>
    <t>Rethinking Teacher Education: Collaborative Responses to Uncertainty</t>
  </si>
  <si>
    <t>Almanac of British Politics, The</t>
  </si>
  <si>
    <t>Privatization, Regulation and Deregulation</t>
  </si>
  <si>
    <t>Technology, E-learning and Distance Education</t>
  </si>
  <si>
    <t>Using Statistics to Understand the Environment</t>
  </si>
  <si>
    <t>Language, Society and Power: An introduction</t>
  </si>
  <si>
    <t>Islam in World Politics</t>
  </si>
  <si>
    <t>Environmental Assessment in Practice</t>
  </si>
  <si>
    <t>Food in World History</t>
  </si>
  <si>
    <t>Dream Discourse Today, The</t>
  </si>
  <si>
    <t>Leisure and Recreation Management</t>
  </si>
  <si>
    <t>Perspectives on World Politics</t>
  </si>
  <si>
    <t>Environmental Chemistry</t>
  </si>
  <si>
    <t>Homi K.Bhabha</t>
  </si>
  <si>
    <t>Inequality and Economic Integration</t>
  </si>
  <si>
    <t>Islam, Secularism and Nationalism in Modern Turkey : Who is a Turk?</t>
  </si>
  <si>
    <t>Race and Ethnicity: Culture, Identity and Representation</t>
  </si>
  <si>
    <t>Economics and Reality</t>
  </si>
  <si>
    <t>Organizational Change and Strategy : An Interlevel Dynamics Approach</t>
  </si>
  <si>
    <t>English Grammar: A University Course</t>
  </si>
  <si>
    <t>The Developing Child in the 21st Century : A Global Perspective on Child Development</t>
  </si>
  <si>
    <t>Learning Outside the Academy : International Research Perspectives on Lifelong Learning</t>
  </si>
  <si>
    <t>Student Handbook of Criminal Justice and Criminology</t>
  </si>
  <si>
    <t>Dilemmas of Difference, Inclusion and Disability : International Perspectives and Future Directions</t>
  </si>
  <si>
    <t>International Finance</t>
  </si>
  <si>
    <t>Culture and Politics : A Comparative Approach</t>
  </si>
  <si>
    <t>Managing the Psychological Contract : Using the Personal Deal to Increase Business Performance</t>
  </si>
  <si>
    <t>Child Workers in England, 1780–1820 : Parish Apprentices and the Making of the Early Industrial Labour Force</t>
  </si>
  <si>
    <t>Orders of Ordinary Action : Respecifying Sociological Knowledge</t>
  </si>
  <si>
    <t>North Korea's Second Nuclear Crisis and Northeast Asian Security</t>
  </si>
  <si>
    <t>Race Matters : An International Legal Analysis of Race Discrimination</t>
  </si>
  <si>
    <t>'Innocent Women and Children' : Gender, Norms and the Protection of Civilians</t>
  </si>
  <si>
    <t>Economic Integration and Development in Africa</t>
  </si>
  <si>
    <t>Information Marketing</t>
  </si>
  <si>
    <t>Nadia and Lili Boulanger</t>
  </si>
  <si>
    <t>Competitive Intelligence : Gathering, Analysing and Putting it to Work</t>
  </si>
  <si>
    <t>How to Measure and Manage Your Corporate Reputation</t>
  </si>
  <si>
    <t>Information Security and Employee Behaviour : How to Reduce Risk Through Employee Education, Training and Awareness</t>
  </si>
  <si>
    <t>Managing Communications in a Crisis</t>
  </si>
  <si>
    <t>Accommodating Cultural Diversity</t>
  </si>
  <si>
    <t>Marginalisation in China : Perspectives on Transition and Globalisation</t>
  </si>
  <si>
    <t>Distributive and Procedural Justice : Research and Social Applications</t>
  </si>
  <si>
    <t>Cycling and Society</t>
  </si>
  <si>
    <t>Contemporary Motherhood : The Impact of Children on Adult Time</t>
  </si>
  <si>
    <t>Conceptions of Parenthood : Ethics and The Family</t>
  </si>
  <si>
    <t>Civil Justice in the Age of Human Rights</t>
  </si>
  <si>
    <t>Insider Dealing and Money Laundering in the EU: Law and Regulation</t>
  </si>
  <si>
    <t>Entrepreneurship in China</t>
  </si>
  <si>
    <t>CIA and the Cold War: A Memoir</t>
  </si>
  <si>
    <t>Islam, Nationalism, and Radicalism in Egypt and the Sudan</t>
  </si>
  <si>
    <t>International Organizations: A Comparative Approach to the Management of Cooperation</t>
  </si>
  <si>
    <t>Global Political Campaigning: A Worldwide Analysis of Campaign Professionals and Their Practices</t>
  </si>
  <si>
    <t>Building the Academic Deanship: Strategies for Success</t>
  </si>
  <si>
    <t>Town and Country in China</t>
  </si>
  <si>
    <t>Critical Psychology: Voices for Change</t>
  </si>
  <si>
    <t>RoutledgeFalmer Reader in Higher Education, The</t>
  </si>
  <si>
    <t>RoutledgeFalmer Reader in Teaching and Learning, The</t>
  </si>
  <si>
    <t>Engineering Fluid Mechanics : International Student Edition</t>
  </si>
  <si>
    <t>Biosensors in Environmental Monitoring</t>
  </si>
  <si>
    <t>Anxiety</t>
  </si>
  <si>
    <t>Encyclopedia of 20th Century Architecture: Volume 2, G-O</t>
  </si>
  <si>
    <t>Depolarizing Collisions in Nonlinear Electrodynamics</t>
  </si>
  <si>
    <t>Handbook of Statistical Analyses using SPSS, A</t>
  </si>
  <si>
    <t>500 Tips for Tutors (2nd ed)</t>
  </si>
  <si>
    <t>Introduction to Cognitive Psychology, An: Process and Disorders</t>
  </si>
  <si>
    <t>A Dictionary of Theatre Anthropology : The Secret Art of the Performer</t>
  </si>
  <si>
    <t>Legal Method</t>
  </si>
  <si>
    <t>Civil Liberties and Human Rights</t>
  </si>
  <si>
    <t>Journal of Commonwealth Law and Legal Education</t>
  </si>
  <si>
    <t>Encyclopedia of Linguistics, Volume 2</t>
  </si>
  <si>
    <t>Transcendence of the Ego, The:  A Sketch for a Phenomenological Description</t>
  </si>
  <si>
    <t>Mechanical Wear Fundamentals and Testing</t>
  </si>
  <si>
    <t>Robot Manipulator Control Theory and Practice</t>
  </si>
  <si>
    <t>Knowing Nothing, Staying Stupid: Elements for a Psychoanalytic Epistemology</t>
  </si>
  <si>
    <t>Information Technology Control and Audit</t>
  </si>
  <si>
    <t>Urban Approach to Climate-Sensitive Design, An: Stategies for the Tropics</t>
  </si>
  <si>
    <t>State and Society in China’s Democratic Transition: Confucianism, Leninism, and Economic Development</t>
  </si>
  <si>
    <t>Human Response to Vibration</t>
  </si>
  <si>
    <t>Energy Education Requirements and Availability</t>
  </si>
  <si>
    <t>Finite Element Analysis of Thin-Walled Structures</t>
  </si>
  <si>
    <t>Biographical Dictionary of Social and Cultural Anthropology</t>
  </si>
  <si>
    <t>Frank Lloyd Wright</t>
  </si>
  <si>
    <t>Boundary Element Methods in Nonlinear Fluid Dynamics: Developments in Boundary Element Methods—6</t>
  </si>
  <si>
    <t>Introduction to Mathematical Techniques Used in GIS</t>
  </si>
  <si>
    <t>Thinking &amp; Reasoning</t>
  </si>
  <si>
    <t>Cognitive Psychology: Key Readings</t>
  </si>
  <si>
    <t>Colloquial Russian 2: The Next Step in Language Learning</t>
  </si>
  <si>
    <t>Working Memory Capacity</t>
  </si>
  <si>
    <t>Social Groups in Action and Interaction</t>
  </si>
  <si>
    <t>Basic Statistics for Social Research</t>
  </si>
  <si>
    <t>Micromechatronics: Modeling, Analysis, and Design with MATLAB®</t>
  </si>
  <si>
    <t>Plasma Physics and Engineering</t>
  </si>
  <si>
    <t>Principles of Enhanced Heat Transfer</t>
  </si>
  <si>
    <t>Colloquial Russian: The Complete Course for Beginners</t>
  </si>
  <si>
    <t>British Civilization: An Introduction</t>
  </si>
  <si>
    <t>Pressure Vessel Design: Concepts and Principles</t>
  </si>
  <si>
    <t>Fire, Static and Dynamic Tests of Building Structures: Proceedings of the Second Cardington Conference Cardington, England 12–14 March 1996</t>
  </si>
  <si>
    <t>Finite Element Applications to Thin-Walled Structures</t>
  </si>
  <si>
    <t>Design History: A Students’ Handbook</t>
  </si>
  <si>
    <t>Fashioning Vienna</t>
  </si>
  <si>
    <t>Copyright and Creative Freedom: A Study of Post-Socialist Law Reform</t>
  </si>
  <si>
    <t>Understanding Economics</t>
  </si>
  <si>
    <t>Bilingualism: An Advanced Resource Book</t>
  </si>
  <si>
    <t>Theory for Performance Studies: A Student’s Guide</t>
  </si>
  <si>
    <t>Philosophy of Language</t>
  </si>
  <si>
    <t>Sports Development</t>
  </si>
  <si>
    <t>Global Intercultural Communication Reader, The</t>
  </si>
  <si>
    <t>Dictionary of Environmental Science and Engineering, The</t>
  </si>
  <si>
    <t>Literary Theory: The Basics</t>
  </si>
  <si>
    <t>Russell on Metaphysics: Selections from the Writings of Bertrand Russell</t>
  </si>
  <si>
    <t>International Trade and Business Law Annual</t>
  </si>
  <si>
    <t>European Handbook on Advertising Law, The</t>
  </si>
  <si>
    <t>Constitutional and Administrative Law</t>
  </si>
  <si>
    <t>Applications of Fracture Mechanics to Reinforced Concrete</t>
  </si>
  <si>
    <t>Applied Solid Mechanics 2</t>
  </si>
  <si>
    <t>Teaching English</t>
  </si>
  <si>
    <t>Information Technology Law: Professional Practice Guide</t>
  </si>
  <si>
    <t>Nearest Relative Handbook, The</t>
  </si>
  <si>
    <t>Understanding Renewable Energy Systems</t>
  </si>
  <si>
    <t>Earthscan</t>
  </si>
  <si>
    <t>Advances in Solar Energy: An Annual Review of Research and Development, Volume 17</t>
  </si>
  <si>
    <t>Blended Learning and Online Tutoring: A Good Practice Guide</t>
  </si>
  <si>
    <t>Ashgate Publishing</t>
  </si>
  <si>
    <t>Project Management A-Z, The: A Compendium of Project Management Techniques and How to Use Them</t>
  </si>
  <si>
    <t>Idea of Nature in Disney Animation, The</t>
  </si>
  <si>
    <t>A Library Story : Building a New Central Library</t>
  </si>
  <si>
    <t>Mallory Se Muda</t>
  </si>
  <si>
    <t>Hércules: Los Doce Trabajos</t>
  </si>
  <si>
    <t>Top 10 Cancun and the Yukatan. DK Eyewitness Top 10 Travel Guides.</t>
  </si>
  <si>
    <t>Dorling Kindersley</t>
  </si>
  <si>
    <t>Develop Confidence: Build a Positive Approach to Life and Work</t>
  </si>
  <si>
    <t>Motivate People: Get the Best From Yourself and Others. WorkLife.</t>
  </si>
  <si>
    <t>Manage Projects: Meet Your Deadlines and Achieve Your Targets. WorkLife.</t>
  </si>
  <si>
    <t>Effective Communications: Get Your Message Across and Learn How to Listen. WorkLife.</t>
  </si>
  <si>
    <t>15 Minute Better Back Workout</t>
  </si>
  <si>
    <t>15 Minute Everyday Pilates</t>
  </si>
  <si>
    <t>Oceans. DK Online.</t>
  </si>
  <si>
    <t>PreHistory. DK Online.</t>
  </si>
  <si>
    <t>Bird. Eyewitness Expert.</t>
  </si>
  <si>
    <t>Eyewonder Desert</t>
  </si>
  <si>
    <t>Space Encyclopedia</t>
  </si>
  <si>
    <t>Holocaust</t>
  </si>
  <si>
    <t>Extreme Weather. DK Experience.</t>
  </si>
  <si>
    <t>See How It’s Made</t>
  </si>
  <si>
    <t>Stars and Planets: Eyewitness Workbooks.</t>
  </si>
  <si>
    <t>Human Body. Eyewitness Workbooks.</t>
  </si>
  <si>
    <t>Earth. Eyewitness Workbooks.</t>
  </si>
  <si>
    <t>Ancient Egypt: The Expert's Guide to Hands-On Egyptology. Eyewitness Expert Files.</t>
  </si>
  <si>
    <t>1001 ways to relax</t>
  </si>
  <si>
    <t>Eyewitness: Forensic Science</t>
  </si>
  <si>
    <t>Eyewitness Companions: Whisky</t>
  </si>
  <si>
    <t>EyeWitness: Vote</t>
  </si>
  <si>
    <t>First Garden Activity Book: Fantastic Step-by-Step Ideas</t>
  </si>
  <si>
    <t>First Cooking Activity Book: Fantastic Step-by-Step Ideas</t>
  </si>
  <si>
    <t>Mummy and Me Cookbook</t>
  </si>
  <si>
    <t>Eyewitness: Shark</t>
  </si>
  <si>
    <t>Eyewitness: Castle</t>
  </si>
  <si>
    <t>Eyewitness: Ocean</t>
  </si>
  <si>
    <t>Eyewitness: Horse</t>
  </si>
  <si>
    <t>Eyewitness: Volcano</t>
  </si>
  <si>
    <t>Eyewitness: Astronomy</t>
  </si>
  <si>
    <t>Eyewitness: Climate Change</t>
  </si>
  <si>
    <t>Eyewitness: Great Musicians</t>
  </si>
  <si>
    <t>Make It!</t>
  </si>
  <si>
    <t>Cooking Book, The: Simple Steps to Great-Tasting Food</t>
  </si>
  <si>
    <t>Ophthalmology E-Book : An Illustrated Colour Text</t>
  </si>
  <si>
    <t>Elsevier</t>
  </si>
  <si>
    <t>https://ebookcentral.proquest.com/lib/NKNU/detail.action?docID=116763</t>
  </si>
  <si>
    <t>https://ebookcentral.proquest.com/lib/NKNU/detail.action?docID=117738</t>
  </si>
  <si>
    <t>https://ebookcentral.proquest.com/lib/NKNU/detail.action?docID=140437</t>
  </si>
  <si>
    <t>https://ebookcentral.proquest.com/lib/NKNU/detail.action?docID=143916</t>
  </si>
  <si>
    <t>https://ebookcentral.proquest.com/lib/NKNU/detail.action?docID=144711</t>
  </si>
  <si>
    <t>https://ebookcentral.proquest.com/lib/NKNU/detail.action?docID=144742</t>
  </si>
  <si>
    <t>https://ebookcentral.proquest.com/lib/NKNU/detail.action?docID=144751</t>
  </si>
  <si>
    <t>https://ebookcentral.proquest.com/lib/NKNU/detail.action?docID=144754</t>
  </si>
  <si>
    <t>https://ebookcentral.proquest.com/lib/NKNU/detail.action?docID=145805</t>
  </si>
  <si>
    <t>https://ebookcentral.proquest.com/lib/NKNU/detail.action?docID=147322</t>
  </si>
  <si>
    <t>https://ebookcentral.proquest.com/lib/NKNU/detail.action?docID=147328</t>
  </si>
  <si>
    <t>https://ebookcentral.proquest.com/lib/NKNU/detail.action?docID=147331</t>
  </si>
  <si>
    <t>https://ebookcentral.proquest.com/lib/NKNU/detail.action?docID=149795</t>
  </si>
  <si>
    <t>https://ebookcentral.proquest.com/lib/NKNU/detail.action?docID=156646</t>
  </si>
  <si>
    <t>https://ebookcentral.proquest.com/lib/NKNU/detail.action?docID=157036</t>
  </si>
  <si>
    <t>https://ebookcentral.proquest.com/lib/NKNU/detail.action?docID=164745</t>
  </si>
  <si>
    <t>https://ebookcentral.proquest.com/lib/NKNU/detail.action?docID=165011</t>
  </si>
  <si>
    <t>https://ebookcentral.proquest.com/lib/NKNU/detail.action?docID=165031</t>
  </si>
  <si>
    <t>https://ebookcentral.proquest.com/lib/NKNU/detail.action?docID=165039</t>
  </si>
  <si>
    <t>https://ebookcentral.proquest.com/lib/NKNU/detail.action?docID=165065</t>
  </si>
  <si>
    <t>https://ebookcentral.proquest.com/lib/NKNU/detail.action?docID=165104</t>
  </si>
  <si>
    <t>https://ebookcentral.proquest.com/lib/NKNU/detail.action?docID=165114</t>
  </si>
  <si>
    <t>https://ebookcentral.proquest.com/lib/NKNU/detail.action?docID=165194</t>
  </si>
  <si>
    <t>https://ebookcentral.proquest.com/lib/NKNU/detail.action?docID=165217</t>
  </si>
  <si>
    <t>https://ebookcentral.proquest.com/lib/NKNU/detail.action?docID=165230</t>
  </si>
  <si>
    <t>https://ebookcentral.proquest.com/lib/NKNU/detail.action?docID=165253</t>
  </si>
  <si>
    <t>https://ebookcentral.proquest.com/lib/NKNU/detail.action?docID=165259</t>
  </si>
  <si>
    <t>https://ebookcentral.proquest.com/lib/NKNU/detail.action?docID=165278</t>
  </si>
  <si>
    <t>https://ebookcentral.proquest.com/lib/NKNU/detail.action?docID=165315</t>
  </si>
  <si>
    <t>https://ebookcentral.proquest.com/lib/NKNU/detail.action?docID=165321</t>
  </si>
  <si>
    <t>https://ebookcentral.proquest.com/lib/NKNU/detail.action?docID=165334</t>
  </si>
  <si>
    <t>https://ebookcentral.proquest.com/lib/NKNU/detail.action?docID=165372</t>
  </si>
  <si>
    <t>https://ebookcentral.proquest.com/lib/NKNU/detail.action?docID=165446</t>
  </si>
  <si>
    <t>https://ebookcentral.proquest.com/lib/NKNU/detail.action?docID=165503</t>
  </si>
  <si>
    <t>https://ebookcentral.proquest.com/lib/NKNU/detail.action?docID=165517</t>
  </si>
  <si>
    <t>https://ebookcentral.proquest.com/lib/NKNU/detail.action?docID=165527</t>
  </si>
  <si>
    <t>https://ebookcentral.proquest.com/lib/NKNU/detail.action?docID=165533</t>
  </si>
  <si>
    <t>https://ebookcentral.proquest.com/lib/NKNU/detail.action?docID=165536</t>
  </si>
  <si>
    <t>https://ebookcentral.proquest.com/lib/NKNU/detail.action?docID=165553</t>
  </si>
  <si>
    <t>https://ebookcentral.proquest.com/lib/NKNU/detail.action?docID=165572</t>
  </si>
  <si>
    <t>https://ebookcentral.proquest.com/lib/NKNU/detail.action?docID=165587</t>
  </si>
  <si>
    <t>https://ebookcentral.proquest.com/lib/NKNU/detail.action?docID=165590</t>
  </si>
  <si>
    <t>https://ebookcentral.proquest.com/lib/NKNU/detail.action?docID=165593</t>
  </si>
  <si>
    <t>https://ebookcentral.proquest.com/lib/NKNU/detail.action?docID=165602</t>
  </si>
  <si>
    <t>https://ebookcentral.proquest.com/lib/NKNU/detail.action?docID=165620</t>
  </si>
  <si>
    <t>https://ebookcentral.proquest.com/lib/NKNU/detail.action?docID=165638</t>
  </si>
  <si>
    <t>https://ebookcentral.proquest.com/lib/NKNU/detail.action?docID=165652</t>
  </si>
  <si>
    <t>https://ebookcentral.proquest.com/lib/NKNU/detail.action?docID=165681</t>
  </si>
  <si>
    <t>https://ebookcentral.proquest.com/lib/NKNU/detail.action?docID=165687</t>
  </si>
  <si>
    <t>https://ebookcentral.proquest.com/lib/NKNU/detail.action?docID=165688</t>
  </si>
  <si>
    <t>https://ebookcentral.proquest.com/lib/NKNU/detail.action?docID=165707</t>
  </si>
  <si>
    <t>https://ebookcentral.proquest.com/lib/NKNU/detail.action?docID=165709</t>
  </si>
  <si>
    <t>https://ebookcentral.proquest.com/lib/NKNU/detail.action?docID=165712</t>
  </si>
  <si>
    <t>https://ebookcentral.proquest.com/lib/NKNU/detail.action?docID=165723</t>
  </si>
  <si>
    <t>https://ebookcentral.proquest.com/lib/NKNU/detail.action?docID=165734</t>
  </si>
  <si>
    <t>https://ebookcentral.proquest.com/lib/NKNU/detail.action?docID=165754</t>
  </si>
  <si>
    <t>https://ebookcentral.proquest.com/lib/NKNU/detail.action?docID=165767</t>
  </si>
  <si>
    <t>https://ebookcentral.proquest.com/lib/NKNU/detail.action?docID=165770</t>
  </si>
  <si>
    <t>https://ebookcentral.proquest.com/lib/NKNU/detail.action?docID=165860</t>
  </si>
  <si>
    <t>https://ebookcentral.proquest.com/lib/NKNU/detail.action?docID=165901</t>
  </si>
  <si>
    <t>https://ebookcentral.proquest.com/lib/NKNU/detail.action?docID=165903</t>
  </si>
  <si>
    <t>https://ebookcentral.proquest.com/lib/NKNU/detail.action?docID=165934</t>
  </si>
  <si>
    <t>https://ebookcentral.proquest.com/lib/NKNU/detail.action?docID=165951</t>
  </si>
  <si>
    <t>https://ebookcentral.proquest.com/lib/NKNU/detail.action?docID=165973</t>
  </si>
  <si>
    <t>https://ebookcentral.proquest.com/lib/NKNU/detail.action?docID=165992</t>
  </si>
  <si>
    <t>https://ebookcentral.proquest.com/lib/NKNU/detail.action?docID=166003</t>
  </si>
  <si>
    <t>https://ebookcentral.proquest.com/lib/NKNU/detail.action?docID=166040</t>
  </si>
  <si>
    <t>https://ebookcentral.proquest.com/lib/NKNU/detail.action?docID=166041</t>
  </si>
  <si>
    <t>https://ebookcentral.proquest.com/lib/NKNU/detail.action?docID=166071</t>
  </si>
  <si>
    <t>https://ebookcentral.proquest.com/lib/NKNU/detail.action?docID=166079</t>
  </si>
  <si>
    <t>https://ebookcentral.proquest.com/lib/NKNU/detail.action?docID=166080</t>
  </si>
  <si>
    <t>https://ebookcentral.proquest.com/lib/NKNU/detail.action?docID=166088</t>
  </si>
  <si>
    <t>https://ebookcentral.proquest.com/lib/NKNU/detail.action?docID=166107</t>
  </si>
  <si>
    <t>https://ebookcentral.proquest.com/lib/NKNU/detail.action?docID=166113</t>
  </si>
  <si>
    <t>https://ebookcentral.proquest.com/lib/NKNU/detail.action?docID=166146</t>
  </si>
  <si>
    <t>https://ebookcentral.proquest.com/lib/NKNU/detail.action?docID=166247</t>
  </si>
  <si>
    <t>https://ebookcentral.proquest.com/lib/NKNU/detail.action?docID=166249</t>
  </si>
  <si>
    <t>https://ebookcentral.proquest.com/lib/NKNU/detail.action?docID=166277</t>
  </si>
  <si>
    <t>https://ebookcentral.proquest.com/lib/NKNU/detail.action?docID=166308</t>
  </si>
  <si>
    <t>https://ebookcentral.proquest.com/lib/NKNU/detail.action?docID=166330</t>
  </si>
  <si>
    <t>https://ebookcentral.proquest.com/lib/NKNU/detail.action?docID=166358</t>
  </si>
  <si>
    <t>https://ebookcentral.proquest.com/lib/NKNU/detail.action?docID=166377</t>
  </si>
  <si>
    <t>https://ebookcentral.proquest.com/lib/NKNU/detail.action?docID=166414</t>
  </si>
  <si>
    <t>https://ebookcentral.proquest.com/lib/NKNU/detail.action?docID=166443</t>
  </si>
  <si>
    <t>https://ebookcentral.proquest.com/lib/NKNU/detail.action?docID=166444</t>
  </si>
  <si>
    <t>https://ebookcentral.proquest.com/lib/NKNU/detail.action?docID=166453</t>
  </si>
  <si>
    <t>https://ebookcentral.proquest.com/lib/NKNU/detail.action?docID=166473</t>
  </si>
  <si>
    <t>https://ebookcentral.proquest.com/lib/NKNU/detail.action?docID=166477</t>
  </si>
  <si>
    <t>https://ebookcentral.proquest.com/lib/NKNU/detail.action?docID=166488</t>
  </si>
  <si>
    <t>https://ebookcentral.proquest.com/lib/NKNU/detail.action?docID=166528</t>
  </si>
  <si>
    <t>https://ebookcentral.proquest.com/lib/NKNU/detail.action?docID=166531</t>
  </si>
  <si>
    <t>https://ebookcentral.proquest.com/lib/NKNU/detail.action?docID=166603</t>
  </si>
  <si>
    <t>https://ebookcentral.proquest.com/lib/NKNU/detail.action?docID=166612</t>
  </si>
  <si>
    <t>https://ebookcentral.proquest.com/lib/NKNU/detail.action?docID=166660</t>
  </si>
  <si>
    <t>https://ebookcentral.proquest.com/lib/NKNU/detail.action?docID=166664</t>
  </si>
  <si>
    <t>https://ebookcentral.proquest.com/lib/NKNU/detail.action?docID=166674</t>
  </si>
  <si>
    <t>https://ebookcentral.proquest.com/lib/NKNU/detail.action?docID=166698</t>
  </si>
  <si>
    <t>https://ebookcentral.proquest.com/lib/NKNU/detail.action?docID=166704</t>
  </si>
  <si>
    <t>https://ebookcentral.proquest.com/lib/NKNU/detail.action?docID=166725</t>
  </si>
  <si>
    <t>https://ebookcentral.proquest.com/lib/NKNU/detail.action?docID=166726</t>
  </si>
  <si>
    <t>https://ebookcentral.proquest.com/lib/NKNU/detail.action?docID=166728</t>
  </si>
  <si>
    <t>https://ebookcentral.proquest.com/lib/NKNU/detail.action?docID=166749</t>
  </si>
  <si>
    <t>https://ebookcentral.proquest.com/lib/NKNU/detail.action?docID=166754</t>
  </si>
  <si>
    <t>https://ebookcentral.proquest.com/lib/NKNU/detail.action?docID=166763</t>
  </si>
  <si>
    <t>https://ebookcentral.proquest.com/lib/NKNU/detail.action?docID=166809</t>
  </si>
  <si>
    <t>https://ebookcentral.proquest.com/lib/NKNU/detail.action?docID=166812</t>
  </si>
  <si>
    <t>https://ebookcentral.proquest.com/lib/NKNU/detail.action?docID=166827</t>
  </si>
  <si>
    <t>https://ebookcentral.proquest.com/lib/NKNU/detail.action?docID=166835</t>
  </si>
  <si>
    <t>https://ebookcentral.proquest.com/lib/NKNU/detail.action?docID=166852</t>
  </si>
  <si>
    <t>https://ebookcentral.proquest.com/lib/NKNU/detail.action?docID=166911</t>
  </si>
  <si>
    <t>https://ebookcentral.proquest.com/lib/NKNU/detail.action?docID=166989</t>
  </si>
  <si>
    <t>https://ebookcentral.proquest.com/lib/NKNU/detail.action?docID=167003</t>
  </si>
  <si>
    <t>https://ebookcentral.proquest.com/lib/NKNU/detail.action?docID=167011</t>
  </si>
  <si>
    <t>https://ebookcentral.proquest.com/lib/NKNU/detail.action?docID=167015</t>
  </si>
  <si>
    <t>https://ebookcentral.proquest.com/lib/NKNU/detail.action?docID=167025</t>
  </si>
  <si>
    <t>https://ebookcentral.proquest.com/lib/NKNU/detail.action?docID=167026</t>
  </si>
  <si>
    <t>https://ebookcentral.proquest.com/lib/NKNU/detail.action?docID=167054</t>
  </si>
  <si>
    <t>https://ebookcentral.proquest.com/lib/NKNU/detail.action?docID=167082</t>
  </si>
  <si>
    <t>https://ebookcentral.proquest.com/lib/NKNU/detail.action?docID=167128</t>
  </si>
  <si>
    <t>https://ebookcentral.proquest.com/lib/NKNU/detail.action?docID=167139</t>
  </si>
  <si>
    <t>https://ebookcentral.proquest.com/lib/NKNU/detail.action?docID=167227</t>
  </si>
  <si>
    <t>https://ebookcentral.proquest.com/lib/NKNU/detail.action?docID=167262</t>
  </si>
  <si>
    <t>https://ebookcentral.proquest.com/lib/NKNU/detail.action?docID=167265</t>
  </si>
  <si>
    <t>https://ebookcentral.proquest.com/lib/NKNU/detail.action?docID=167268</t>
  </si>
  <si>
    <t>https://ebookcentral.proquest.com/lib/NKNU/detail.action?docID=167311</t>
  </si>
  <si>
    <t>https://ebookcentral.proquest.com/lib/NKNU/detail.action?docID=167345</t>
  </si>
  <si>
    <t>https://ebookcentral.proquest.com/lib/NKNU/detail.action?docID=167594</t>
  </si>
  <si>
    <t>https://ebookcentral.proquest.com/lib/NKNU/detail.action?docID=167608</t>
  </si>
  <si>
    <t>https://ebookcentral.proquest.com/lib/NKNU/detail.action?docID=167610</t>
  </si>
  <si>
    <t>https://ebookcentral.proquest.com/lib/NKNU/detail.action?docID=167623</t>
  </si>
  <si>
    <t>https://ebookcentral.proquest.com/lib/NKNU/detail.action?docID=167627</t>
  </si>
  <si>
    <t>https://ebookcentral.proquest.com/lib/NKNU/detail.action?docID=167634</t>
  </si>
  <si>
    <t>https://ebookcentral.proquest.com/lib/NKNU/detail.action?docID=167639</t>
  </si>
  <si>
    <t>https://ebookcentral.proquest.com/lib/NKNU/detail.action?docID=167676</t>
  </si>
  <si>
    <t>https://ebookcentral.proquest.com/lib/NKNU/detail.action?docID=167831</t>
  </si>
  <si>
    <t>https://ebookcentral.proquest.com/lib/NKNU/detail.action?docID=167973</t>
  </si>
  <si>
    <t>https://ebookcentral.proquest.com/lib/NKNU/detail.action?docID=168005</t>
  </si>
  <si>
    <t>https://ebookcentral.proquest.com/lib/NKNU/detail.action?docID=168007</t>
  </si>
  <si>
    <t>https://ebookcentral.proquest.com/lib/NKNU/detail.action?docID=168065</t>
  </si>
  <si>
    <t>https://ebookcentral.proquest.com/lib/NKNU/detail.action?docID=168142</t>
  </si>
  <si>
    <t>https://ebookcentral.proquest.com/lib/NKNU/detail.action?docID=168224</t>
  </si>
  <si>
    <t>https://ebookcentral.proquest.com/lib/NKNU/detail.action?docID=168406</t>
  </si>
  <si>
    <t>https://ebookcentral.proquest.com/lib/NKNU/detail.action?docID=168468</t>
  </si>
  <si>
    <t>https://ebookcentral.proquest.com/lib/NKNU/detail.action?docID=168475</t>
  </si>
  <si>
    <t>https://ebookcentral.proquest.com/lib/NKNU/detail.action?docID=168513</t>
  </si>
  <si>
    <t>https://ebookcentral.proquest.com/lib/NKNU/detail.action?docID=168514</t>
  </si>
  <si>
    <t>https://ebookcentral.proquest.com/lib/NKNU/detail.action?docID=168535</t>
  </si>
  <si>
    <t>https://ebookcentral.proquest.com/lib/NKNU/detail.action?docID=168546</t>
  </si>
  <si>
    <t>https://ebookcentral.proquest.com/lib/NKNU/detail.action?docID=168564</t>
  </si>
  <si>
    <t>https://ebookcentral.proquest.com/lib/NKNU/detail.action?docID=168576</t>
  </si>
  <si>
    <t>https://ebookcentral.proquest.com/lib/NKNU/detail.action?docID=168580</t>
  </si>
  <si>
    <t>https://ebookcentral.proquest.com/lib/NKNU/detail.action?docID=168600</t>
  </si>
  <si>
    <t>https://ebookcentral.proquest.com/lib/NKNU/detail.action?docID=168604</t>
  </si>
  <si>
    <t>https://ebookcentral.proquest.com/lib/NKNU/detail.action?docID=168625</t>
  </si>
  <si>
    <t>https://ebookcentral.proquest.com/lib/NKNU/detail.action?docID=168630</t>
  </si>
  <si>
    <t>https://ebookcentral.proquest.com/lib/NKNU/detail.action?docID=168639</t>
  </si>
  <si>
    <t>https://ebookcentral.proquest.com/lib/NKNU/detail.action?docID=168647</t>
  </si>
  <si>
    <t>https://ebookcentral.proquest.com/lib/NKNU/detail.action?docID=168681</t>
  </si>
  <si>
    <t>https://ebookcentral.proquest.com/lib/NKNU/detail.action?docID=168715</t>
  </si>
  <si>
    <t>https://ebookcentral.proquest.com/lib/NKNU/detail.action?docID=168716</t>
  </si>
  <si>
    <t>https://ebookcentral.proquest.com/lib/NKNU/detail.action?docID=168719</t>
  </si>
  <si>
    <t>https://ebookcentral.proquest.com/lib/NKNU/detail.action?docID=168731</t>
  </si>
  <si>
    <t>https://ebookcentral.proquest.com/lib/NKNU/detail.action?docID=168739</t>
  </si>
  <si>
    <t>https://ebookcentral.proquest.com/lib/NKNU/detail.action?docID=168827</t>
  </si>
  <si>
    <t>https://ebookcentral.proquest.com/lib/NKNU/detail.action?docID=168861</t>
  </si>
  <si>
    <t>https://ebookcentral.proquest.com/lib/NKNU/detail.action?docID=168893</t>
  </si>
  <si>
    <t>https://ebookcentral.proquest.com/lib/NKNU/detail.action?docID=168895</t>
  </si>
  <si>
    <t>https://ebookcentral.proquest.com/lib/NKNU/detail.action?docID=168917</t>
  </si>
  <si>
    <t>https://ebookcentral.proquest.com/lib/NKNU/detail.action?docID=169004</t>
  </si>
  <si>
    <t>https://ebookcentral.proquest.com/lib/NKNU/detail.action?docID=169011</t>
  </si>
  <si>
    <t>https://ebookcentral.proquest.com/lib/NKNU/detail.action?docID=169026</t>
  </si>
  <si>
    <t>https://ebookcentral.proquest.com/lib/NKNU/detail.action?docID=169052</t>
  </si>
  <si>
    <t>https://ebookcentral.proquest.com/lib/NKNU/detail.action?docID=169200</t>
  </si>
  <si>
    <t>https://ebookcentral.proquest.com/lib/NKNU/detail.action?docID=169218</t>
  </si>
  <si>
    <t>https://ebookcentral.proquest.com/lib/NKNU/detail.action?docID=169244</t>
  </si>
  <si>
    <t>https://ebookcentral.proquest.com/lib/NKNU/detail.action?docID=169250</t>
  </si>
  <si>
    <t>https://ebookcentral.proquest.com/lib/NKNU/detail.action?docID=169265</t>
  </si>
  <si>
    <t>https://ebookcentral.proquest.com/lib/NKNU/detail.action?docID=169268</t>
  </si>
  <si>
    <t>https://ebookcentral.proquest.com/lib/NKNU/detail.action?docID=169395</t>
  </si>
  <si>
    <t>https://ebookcentral.proquest.com/lib/NKNU/detail.action?docID=169422</t>
  </si>
  <si>
    <t>https://ebookcentral.proquest.com/lib/NKNU/detail.action?docID=169428</t>
  </si>
  <si>
    <t>https://ebookcentral.proquest.com/lib/NKNU/detail.action?docID=169448</t>
  </si>
  <si>
    <t>https://ebookcentral.proquest.com/lib/NKNU/detail.action?docID=169457</t>
  </si>
  <si>
    <t>https://ebookcentral.proquest.com/lib/NKNU/detail.action?docID=169481</t>
  </si>
  <si>
    <t>https://ebookcentral.proquest.com/lib/NKNU/detail.action?docID=169490</t>
  </si>
  <si>
    <t>https://ebookcentral.proquest.com/lib/NKNU/detail.action?docID=169580</t>
  </si>
  <si>
    <t>https://ebookcentral.proquest.com/lib/NKNU/detail.action?docID=169611</t>
  </si>
  <si>
    <t>https://ebookcentral.proquest.com/lib/NKNU/detail.action?docID=169628</t>
  </si>
  <si>
    <t>https://ebookcentral.proquest.com/lib/NKNU/detail.action?docID=169649</t>
  </si>
  <si>
    <t>https://ebookcentral.proquest.com/lib/NKNU/detail.action?docID=169663</t>
  </si>
  <si>
    <t>https://ebookcentral.proquest.com/lib/NKNU/detail.action?docID=169690</t>
  </si>
  <si>
    <t>https://ebookcentral.proquest.com/lib/NKNU/detail.action?docID=169703</t>
  </si>
  <si>
    <t>https://ebookcentral.proquest.com/lib/NKNU/detail.action?docID=169729</t>
  </si>
  <si>
    <t>https://ebookcentral.proquest.com/lib/NKNU/detail.action?docID=169792</t>
  </si>
  <si>
    <t>https://ebookcentral.proquest.com/lib/NKNU/detail.action?docID=169844</t>
  </si>
  <si>
    <t>https://ebookcentral.proquest.com/lib/NKNU/detail.action?docID=169849</t>
  </si>
  <si>
    <t>https://ebookcentral.proquest.com/lib/NKNU/detail.action?docID=169850</t>
  </si>
  <si>
    <t>https://ebookcentral.proquest.com/lib/NKNU/detail.action?docID=169878</t>
  </si>
  <si>
    <t>https://ebookcentral.proquest.com/lib/NKNU/detail.action?docID=169917</t>
  </si>
  <si>
    <t>https://ebookcentral.proquest.com/lib/NKNU/detail.action?docID=169936</t>
  </si>
  <si>
    <t>https://ebookcentral.proquest.com/lib/NKNU/detail.action?docID=169945</t>
  </si>
  <si>
    <t>https://ebookcentral.proquest.com/lib/NKNU/detail.action?docID=169967</t>
  </si>
  <si>
    <t>https://ebookcentral.proquest.com/lib/NKNU/detail.action?docID=170016</t>
  </si>
  <si>
    <t>https://ebookcentral.proquest.com/lib/NKNU/detail.action?docID=170020</t>
  </si>
  <si>
    <t>https://ebookcentral.proquest.com/lib/NKNU/detail.action?docID=170071</t>
  </si>
  <si>
    <t>https://ebookcentral.proquest.com/lib/NKNU/detail.action?docID=170083</t>
  </si>
  <si>
    <t>https://ebookcentral.proquest.com/lib/NKNU/detail.action?docID=170101</t>
  </si>
  <si>
    <t>https://ebookcentral.proquest.com/lib/NKNU/detail.action?docID=170112</t>
  </si>
  <si>
    <t>https://ebookcentral.proquest.com/lib/NKNU/detail.action?docID=170136</t>
  </si>
  <si>
    <t>https://ebookcentral.proquest.com/lib/NKNU/detail.action?docID=170138</t>
  </si>
  <si>
    <t>https://ebookcentral.proquest.com/lib/NKNU/detail.action?docID=170139</t>
  </si>
  <si>
    <t>https://ebookcentral.proquest.com/lib/NKNU/detail.action?docID=170146</t>
  </si>
  <si>
    <t>https://ebookcentral.proquest.com/lib/NKNU/detail.action?docID=170154</t>
  </si>
  <si>
    <t>https://ebookcentral.proquest.com/lib/NKNU/detail.action?docID=170203</t>
  </si>
  <si>
    <t>https://ebookcentral.proquest.com/lib/NKNU/detail.action?docID=170224</t>
  </si>
  <si>
    <t>https://ebookcentral.proquest.com/lib/NKNU/detail.action?docID=170264</t>
  </si>
  <si>
    <t>https://ebookcentral.proquest.com/lib/NKNU/detail.action?docID=170284</t>
  </si>
  <si>
    <t>https://ebookcentral.proquest.com/lib/NKNU/detail.action?docID=170321</t>
  </si>
  <si>
    <t>https://ebookcentral.proquest.com/lib/NKNU/detail.action?docID=170373</t>
  </si>
  <si>
    <t>https://ebookcentral.proquest.com/lib/NKNU/detail.action?docID=170426</t>
  </si>
  <si>
    <t>https://ebookcentral.proquest.com/lib/NKNU/detail.action?docID=170476</t>
  </si>
  <si>
    <t>https://ebookcentral.proquest.com/lib/NKNU/detail.action?docID=170479</t>
  </si>
  <si>
    <t>https://ebookcentral.proquest.com/lib/NKNU/detail.action?docID=170532</t>
  </si>
  <si>
    <t>https://ebookcentral.proquest.com/lib/NKNU/detail.action?docID=170540</t>
  </si>
  <si>
    <t>https://ebookcentral.proquest.com/lib/NKNU/detail.action?docID=170576</t>
  </si>
  <si>
    <t>https://ebookcentral.proquest.com/lib/NKNU/detail.action?docID=170626</t>
  </si>
  <si>
    <t>https://ebookcentral.proquest.com/lib/NKNU/detail.action?docID=170674</t>
  </si>
  <si>
    <t>https://ebookcentral.proquest.com/lib/NKNU/detail.action?docID=170676</t>
  </si>
  <si>
    <t>https://ebookcentral.proquest.com/lib/NKNU/detail.action?docID=170703</t>
  </si>
  <si>
    <t>https://ebookcentral.proquest.com/lib/NKNU/detail.action?docID=170821</t>
  </si>
  <si>
    <t>https://ebookcentral.proquest.com/lib/NKNU/detail.action?docID=170869</t>
  </si>
  <si>
    <t>https://ebookcentral.proquest.com/lib/NKNU/detail.action?docID=170873</t>
  </si>
  <si>
    <t>https://ebookcentral.proquest.com/lib/NKNU/detail.action?docID=170884</t>
  </si>
  <si>
    <t>https://ebookcentral.proquest.com/lib/NKNU/detail.action?docID=170890</t>
  </si>
  <si>
    <t>https://ebookcentral.proquest.com/lib/NKNU/detail.action?docID=170929</t>
  </si>
  <si>
    <t>https://ebookcentral.proquest.com/lib/NKNU/detail.action?docID=170950</t>
  </si>
  <si>
    <t>https://ebookcentral.proquest.com/lib/NKNU/detail.action?docID=170969</t>
  </si>
  <si>
    <t>https://ebookcentral.proquest.com/lib/NKNU/detail.action?docID=170990</t>
  </si>
  <si>
    <t>https://ebookcentral.proquest.com/lib/NKNU/detail.action?docID=170999</t>
  </si>
  <si>
    <t>https://ebookcentral.proquest.com/lib/NKNU/detail.action?docID=171016</t>
  </si>
  <si>
    <t>https://ebookcentral.proquest.com/lib/NKNU/detail.action?docID=171354</t>
  </si>
  <si>
    <t>https://ebookcentral.proquest.com/lib/NKNU/detail.action?docID=171379</t>
  </si>
  <si>
    <t>https://ebookcentral.proquest.com/lib/NKNU/detail.action?docID=171384</t>
  </si>
  <si>
    <t>https://ebookcentral.proquest.com/lib/NKNU/detail.action?docID=171504</t>
  </si>
  <si>
    <t>https://ebookcentral.proquest.com/lib/NKNU/detail.action?docID=171603</t>
  </si>
  <si>
    <t>https://ebookcentral.proquest.com/lib/NKNU/detail.action?docID=171848</t>
  </si>
  <si>
    <t>https://ebookcentral.proquest.com/lib/NKNU/detail.action?docID=171866</t>
  </si>
  <si>
    <t>https://ebookcentral.proquest.com/lib/NKNU/detail.action?docID=171938</t>
  </si>
  <si>
    <t>https://ebookcentral.proquest.com/lib/NKNU/detail.action?docID=172078</t>
  </si>
  <si>
    <t>https://ebookcentral.proquest.com/lib/NKNU/detail.action?docID=172146</t>
  </si>
  <si>
    <t>https://ebookcentral.proquest.com/lib/NKNU/detail.action?docID=172165</t>
  </si>
  <si>
    <t>https://ebookcentral.proquest.com/lib/NKNU/detail.action?docID=172225</t>
  </si>
  <si>
    <t>https://ebookcentral.proquest.com/lib/NKNU/detail.action?docID=172237</t>
  </si>
  <si>
    <t>https://ebookcentral.proquest.com/lib/NKNU/detail.action?docID=172253</t>
  </si>
  <si>
    <t>https://ebookcentral.proquest.com/lib/NKNU/detail.action?docID=172737</t>
  </si>
  <si>
    <t>https://ebookcentral.proquest.com/lib/NKNU/detail.action?docID=173168</t>
  </si>
  <si>
    <t>https://ebookcentral.proquest.com/lib/NKNU/detail.action?docID=174633</t>
  </si>
  <si>
    <t>https://ebookcentral.proquest.com/lib/NKNU/detail.action?docID=175243</t>
  </si>
  <si>
    <t>https://ebookcentral.proquest.com/lib/NKNU/detail.action?docID=178064</t>
  </si>
  <si>
    <t>https://ebookcentral.proquest.com/lib/NKNU/detail.action?docID=178070</t>
  </si>
  <si>
    <t>https://ebookcentral.proquest.com/lib/NKNU/detail.action?docID=178071</t>
  </si>
  <si>
    <t>https://ebookcentral.proquest.com/lib/NKNU/detail.action?docID=178084</t>
  </si>
  <si>
    <t>https://ebookcentral.proquest.com/lib/NKNU/detail.action?docID=178087</t>
  </si>
  <si>
    <t>https://ebookcentral.proquest.com/lib/NKNU/detail.action?docID=178100</t>
  </si>
  <si>
    <t>https://ebookcentral.proquest.com/lib/NKNU/detail.action?docID=178118</t>
  </si>
  <si>
    <t>https://ebookcentral.proquest.com/lib/NKNU/detail.action?docID=178129</t>
  </si>
  <si>
    <t>https://ebookcentral.proquest.com/lib/NKNU/detail.action?docID=178148</t>
  </si>
  <si>
    <t>https://ebookcentral.proquest.com/lib/NKNU/detail.action?docID=178192</t>
  </si>
  <si>
    <t>https://ebookcentral.proquest.com/lib/NKNU/detail.action?docID=178226</t>
  </si>
  <si>
    <t>https://ebookcentral.proquest.com/lib/NKNU/detail.action?docID=178230</t>
  </si>
  <si>
    <t>https://ebookcentral.proquest.com/lib/NKNU/detail.action?docID=178232</t>
  </si>
  <si>
    <t>https://ebookcentral.proquest.com/lib/NKNU/detail.action?docID=178235</t>
  </si>
  <si>
    <t>https://ebookcentral.proquest.com/lib/NKNU/detail.action?docID=178236</t>
  </si>
  <si>
    <t>https://ebookcentral.proquest.com/lib/NKNU/detail.action?docID=178256</t>
  </si>
  <si>
    <t>https://ebookcentral.proquest.com/lib/NKNU/detail.action?docID=178262</t>
  </si>
  <si>
    <t>https://ebookcentral.proquest.com/lib/NKNU/detail.action?docID=178266</t>
  </si>
  <si>
    <t>https://ebookcentral.proquest.com/lib/NKNU/detail.action?docID=178283</t>
  </si>
  <si>
    <t>https://ebookcentral.proquest.com/lib/NKNU/detail.action?docID=178330</t>
  </si>
  <si>
    <t>https://ebookcentral.proquest.com/lib/NKNU/detail.action?docID=178344</t>
  </si>
  <si>
    <t>https://ebookcentral.proquest.com/lib/NKNU/detail.action?docID=178348</t>
  </si>
  <si>
    <t>https://ebookcentral.proquest.com/lib/NKNU/detail.action?docID=178353</t>
  </si>
  <si>
    <t>https://ebookcentral.proquest.com/lib/NKNU/detail.action?docID=178364</t>
  </si>
  <si>
    <t>https://ebookcentral.proquest.com/lib/NKNU/detail.action?docID=178370</t>
  </si>
  <si>
    <t>https://ebookcentral.proquest.com/lib/NKNU/detail.action?docID=178371</t>
  </si>
  <si>
    <t>https://ebookcentral.proquest.com/lib/NKNU/detail.action?docID=178408</t>
  </si>
  <si>
    <t>https://ebookcentral.proquest.com/lib/NKNU/detail.action?docID=178438</t>
  </si>
  <si>
    <t>https://ebookcentral.proquest.com/lib/NKNU/detail.action?docID=178471</t>
  </si>
  <si>
    <t>https://ebookcentral.proquest.com/lib/NKNU/detail.action?docID=178472</t>
  </si>
  <si>
    <t>https://ebookcentral.proquest.com/lib/NKNU/detail.action?docID=178476</t>
  </si>
  <si>
    <t>https://ebookcentral.proquest.com/lib/NKNU/detail.action?docID=178478</t>
  </si>
  <si>
    <t>https://ebookcentral.proquest.com/lib/NKNU/detail.action?docID=178557</t>
  </si>
  <si>
    <t>https://ebookcentral.proquest.com/lib/NKNU/detail.action?docID=178588</t>
  </si>
  <si>
    <t>https://ebookcentral.proquest.com/lib/NKNU/detail.action?docID=178601</t>
  </si>
  <si>
    <t>https://ebookcentral.proquest.com/lib/NKNU/detail.action?docID=178609</t>
  </si>
  <si>
    <t>https://ebookcentral.proquest.com/lib/NKNU/detail.action?docID=178615</t>
  </si>
  <si>
    <t>https://ebookcentral.proquest.com/lib/NKNU/detail.action?docID=178648</t>
  </si>
  <si>
    <t>https://ebookcentral.proquest.com/lib/NKNU/detail.action?docID=178664</t>
  </si>
  <si>
    <t>https://ebookcentral.proquest.com/lib/NKNU/detail.action?docID=178666</t>
  </si>
  <si>
    <t>https://ebookcentral.proquest.com/lib/NKNU/detail.action?docID=178669</t>
  </si>
  <si>
    <t>https://ebookcentral.proquest.com/lib/NKNU/detail.action?docID=178675</t>
  </si>
  <si>
    <t>https://ebookcentral.proquest.com/lib/NKNU/detail.action?docID=178684</t>
  </si>
  <si>
    <t>https://ebookcentral.proquest.com/lib/NKNU/detail.action?docID=178693</t>
  </si>
  <si>
    <t>https://ebookcentral.proquest.com/lib/NKNU/detail.action?docID=178702</t>
  </si>
  <si>
    <t>https://ebookcentral.proquest.com/lib/NKNU/detail.action?docID=178723</t>
  </si>
  <si>
    <t>https://ebookcentral.proquest.com/lib/NKNU/detail.action?docID=178737</t>
  </si>
  <si>
    <t>https://ebookcentral.proquest.com/lib/NKNU/detail.action?docID=178739</t>
  </si>
  <si>
    <t>https://ebookcentral.proquest.com/lib/NKNU/detail.action?docID=178752</t>
  </si>
  <si>
    <t>https://ebookcentral.proquest.com/lib/NKNU/detail.action?docID=178754</t>
  </si>
  <si>
    <t>https://ebookcentral.proquest.com/lib/NKNU/detail.action?docID=178795</t>
  </si>
  <si>
    <t>https://ebookcentral.proquest.com/lib/NKNU/detail.action?docID=178798</t>
  </si>
  <si>
    <t>https://ebookcentral.proquest.com/lib/NKNU/detail.action?docID=178810</t>
  </si>
  <si>
    <t>https://ebookcentral.proquest.com/lib/NKNU/detail.action?docID=178816</t>
  </si>
  <si>
    <t>https://ebookcentral.proquest.com/lib/NKNU/detail.action?docID=178838</t>
  </si>
  <si>
    <t>https://ebookcentral.proquest.com/lib/NKNU/detail.action?docID=178857</t>
  </si>
  <si>
    <t>https://ebookcentral.proquest.com/lib/NKNU/detail.action?docID=178859</t>
  </si>
  <si>
    <t>https://ebookcentral.proquest.com/lib/NKNU/detail.action?docID=178865</t>
  </si>
  <si>
    <t>https://ebookcentral.proquest.com/lib/NKNU/detail.action?docID=178924</t>
  </si>
  <si>
    <t>https://ebookcentral.proquest.com/lib/NKNU/detail.action?docID=178925</t>
  </si>
  <si>
    <t>https://ebookcentral.proquest.com/lib/NKNU/detail.action?docID=178970</t>
  </si>
  <si>
    <t>https://ebookcentral.proquest.com/lib/NKNU/detail.action?docID=179039</t>
  </si>
  <si>
    <t>https://ebookcentral.proquest.com/lib/NKNU/detail.action?docID=179062</t>
  </si>
  <si>
    <t>https://ebookcentral.proquest.com/lib/NKNU/detail.action?docID=179137</t>
  </si>
  <si>
    <t>https://ebookcentral.proquest.com/lib/NKNU/detail.action?docID=179140</t>
  </si>
  <si>
    <t>https://ebookcentral.proquest.com/lib/NKNU/detail.action?docID=179165</t>
  </si>
  <si>
    <t>https://ebookcentral.proquest.com/lib/NKNU/detail.action?docID=179171</t>
  </si>
  <si>
    <t>https://ebookcentral.proquest.com/lib/NKNU/detail.action?docID=179173</t>
  </si>
  <si>
    <t>https://ebookcentral.proquest.com/lib/NKNU/detail.action?docID=179202</t>
  </si>
  <si>
    <t>https://ebookcentral.proquest.com/lib/NKNU/detail.action?docID=179205</t>
  </si>
  <si>
    <t>https://ebookcentral.proquest.com/lib/NKNU/detail.action?docID=179206</t>
  </si>
  <si>
    <t>https://ebookcentral.proquest.com/lib/NKNU/detail.action?docID=179208</t>
  </si>
  <si>
    <t>https://ebookcentral.proquest.com/lib/NKNU/detail.action?docID=179215</t>
  </si>
  <si>
    <t>https://ebookcentral.proquest.com/lib/NKNU/detail.action?docID=179252</t>
  </si>
  <si>
    <t>https://ebookcentral.proquest.com/lib/NKNU/detail.action?docID=179254</t>
  </si>
  <si>
    <t>https://ebookcentral.proquest.com/lib/NKNU/detail.action?docID=179257</t>
  </si>
  <si>
    <t>https://ebookcentral.proquest.com/lib/NKNU/detail.action?docID=179259</t>
  </si>
  <si>
    <t>https://ebookcentral.proquest.com/lib/NKNU/detail.action?docID=179272</t>
  </si>
  <si>
    <t>https://ebookcentral.proquest.com/lib/NKNU/detail.action?docID=179289</t>
  </si>
  <si>
    <t>https://ebookcentral.proquest.com/lib/NKNU/detail.action?docID=179359</t>
  </si>
  <si>
    <t>https://ebookcentral.proquest.com/lib/NKNU/detail.action?docID=179364</t>
  </si>
  <si>
    <t>https://ebookcentral.proquest.com/lib/NKNU/detail.action?docID=179436</t>
  </si>
  <si>
    <t>https://ebookcentral.proquest.com/lib/NKNU/detail.action?docID=179446</t>
  </si>
  <si>
    <t>https://ebookcentral.proquest.com/lib/NKNU/detail.action?docID=179461</t>
  </si>
  <si>
    <t>https://ebookcentral.proquest.com/lib/NKNU/detail.action?docID=179474</t>
  </si>
  <si>
    <t>https://ebookcentral.proquest.com/lib/NKNU/detail.action?docID=179524</t>
  </si>
  <si>
    <t>https://ebookcentral.proquest.com/lib/NKNU/detail.action?docID=179526</t>
  </si>
  <si>
    <t>https://ebookcentral.proquest.com/lib/NKNU/detail.action?docID=179546</t>
  </si>
  <si>
    <t>https://ebookcentral.proquest.com/lib/NKNU/detail.action?docID=179560</t>
  </si>
  <si>
    <t>https://ebookcentral.proquest.com/lib/NKNU/detail.action?docID=179605</t>
  </si>
  <si>
    <t>https://ebookcentral.proquest.com/lib/NKNU/detail.action?docID=179679</t>
  </si>
  <si>
    <t>https://ebookcentral.proquest.com/lib/NKNU/detail.action?docID=179692</t>
  </si>
  <si>
    <t>https://ebookcentral.proquest.com/lib/NKNU/detail.action?docID=179693</t>
  </si>
  <si>
    <t>https://ebookcentral.proquest.com/lib/NKNU/detail.action?docID=179707</t>
  </si>
  <si>
    <t>https://ebookcentral.proquest.com/lib/NKNU/detail.action?docID=179758</t>
  </si>
  <si>
    <t>https://ebookcentral.proquest.com/lib/NKNU/detail.action?docID=179781</t>
  </si>
  <si>
    <t>https://ebookcentral.proquest.com/lib/NKNU/detail.action?docID=179809</t>
  </si>
  <si>
    <t>https://ebookcentral.proquest.com/lib/NKNU/detail.action?docID=179818</t>
  </si>
  <si>
    <t>https://ebookcentral.proquest.com/lib/NKNU/detail.action?docID=179824</t>
  </si>
  <si>
    <t>https://ebookcentral.proquest.com/lib/NKNU/detail.action?docID=179830</t>
  </si>
  <si>
    <t>https://ebookcentral.proquest.com/lib/NKNU/detail.action?docID=179836</t>
  </si>
  <si>
    <t>https://ebookcentral.proquest.com/lib/NKNU/detail.action?docID=179888</t>
  </si>
  <si>
    <t>https://ebookcentral.proquest.com/lib/NKNU/detail.action?docID=179920</t>
  </si>
  <si>
    <t>https://ebookcentral.proquest.com/lib/NKNU/detail.action?docID=179930</t>
  </si>
  <si>
    <t>https://ebookcentral.proquest.com/lib/NKNU/detail.action?docID=179933</t>
  </si>
  <si>
    <t>https://ebookcentral.proquest.com/lib/NKNU/detail.action?docID=179937</t>
  </si>
  <si>
    <t>https://ebookcentral.proquest.com/lib/NKNU/detail.action?docID=179953</t>
  </si>
  <si>
    <t>https://ebookcentral.proquest.com/lib/NKNU/detail.action?docID=180001</t>
  </si>
  <si>
    <t>https://ebookcentral.proquest.com/lib/NKNU/detail.action?docID=180017</t>
  </si>
  <si>
    <t>https://ebookcentral.proquest.com/lib/NKNU/detail.action?docID=180020</t>
  </si>
  <si>
    <t>https://ebookcentral.proquest.com/lib/NKNU/detail.action?docID=180060</t>
  </si>
  <si>
    <t>https://ebookcentral.proquest.com/lib/NKNU/detail.action?docID=180084</t>
  </si>
  <si>
    <t>https://ebookcentral.proquest.com/lib/NKNU/detail.action?docID=180109</t>
  </si>
  <si>
    <t>https://ebookcentral.proquest.com/lib/NKNU/detail.action?docID=180112</t>
  </si>
  <si>
    <t>https://ebookcentral.proquest.com/lib/NKNU/detail.action?docID=180169</t>
  </si>
  <si>
    <t>https://ebookcentral.proquest.com/lib/NKNU/detail.action?docID=180170</t>
  </si>
  <si>
    <t>https://ebookcentral.proquest.com/lib/NKNU/detail.action?docID=180187</t>
  </si>
  <si>
    <t>https://ebookcentral.proquest.com/lib/NKNU/detail.action?docID=180192</t>
  </si>
  <si>
    <t>https://ebookcentral.proquest.com/lib/NKNU/detail.action?docID=180226</t>
  </si>
  <si>
    <t>https://ebookcentral.proquest.com/lib/NKNU/detail.action?docID=180231</t>
  </si>
  <si>
    <t>https://ebookcentral.proquest.com/lib/NKNU/detail.action?docID=180238</t>
  </si>
  <si>
    <t>https://ebookcentral.proquest.com/lib/NKNU/detail.action?docID=180265</t>
  </si>
  <si>
    <t>https://ebookcentral.proquest.com/lib/NKNU/detail.action?docID=180276</t>
  </si>
  <si>
    <t>https://ebookcentral.proquest.com/lib/NKNU/detail.action?docID=180291</t>
  </si>
  <si>
    <t>https://ebookcentral.proquest.com/lib/NKNU/detail.action?docID=180329</t>
  </si>
  <si>
    <t>https://ebookcentral.proquest.com/lib/NKNU/detail.action?docID=180337</t>
  </si>
  <si>
    <t>https://ebookcentral.proquest.com/lib/NKNU/detail.action?docID=180341</t>
  </si>
  <si>
    <t>https://ebookcentral.proquest.com/lib/NKNU/detail.action?docID=180350</t>
  </si>
  <si>
    <t>https://ebookcentral.proquest.com/lib/NKNU/detail.action?docID=180354</t>
  </si>
  <si>
    <t>https://ebookcentral.proquest.com/lib/NKNU/detail.action?docID=180356</t>
  </si>
  <si>
    <t>https://ebookcentral.proquest.com/lib/NKNU/detail.action?docID=180363</t>
  </si>
  <si>
    <t>https://ebookcentral.proquest.com/lib/NKNU/detail.action?docID=180365</t>
  </si>
  <si>
    <t>https://ebookcentral.proquest.com/lib/NKNU/detail.action?docID=180367</t>
  </si>
  <si>
    <t>https://ebookcentral.proquest.com/lib/NKNU/detail.action?docID=180409</t>
  </si>
  <si>
    <t>https://ebookcentral.proquest.com/lib/NKNU/detail.action?docID=180417</t>
  </si>
  <si>
    <t>https://ebookcentral.proquest.com/lib/NKNU/detail.action?docID=180427</t>
  </si>
  <si>
    <t>https://ebookcentral.proquest.com/lib/NKNU/detail.action?docID=180441</t>
  </si>
  <si>
    <t>https://ebookcentral.proquest.com/lib/NKNU/detail.action?docID=180444</t>
  </si>
  <si>
    <t>https://ebookcentral.proquest.com/lib/NKNU/detail.action?docID=180446</t>
  </si>
  <si>
    <t>https://ebookcentral.proquest.com/lib/NKNU/detail.action?docID=180460</t>
  </si>
  <si>
    <t>https://ebookcentral.proquest.com/lib/NKNU/detail.action?docID=180494</t>
  </si>
  <si>
    <t>https://ebookcentral.proquest.com/lib/NKNU/detail.action?docID=180495</t>
  </si>
  <si>
    <t>https://ebookcentral.proquest.com/lib/NKNU/detail.action?docID=180496</t>
  </si>
  <si>
    <t>https://ebookcentral.proquest.com/lib/NKNU/detail.action?docID=180505</t>
  </si>
  <si>
    <t>https://ebookcentral.proquest.com/lib/NKNU/detail.action?docID=180517</t>
  </si>
  <si>
    <t>https://ebookcentral.proquest.com/lib/NKNU/detail.action?docID=180524</t>
  </si>
  <si>
    <t>https://ebookcentral.proquest.com/lib/NKNU/detail.action?docID=180561</t>
  </si>
  <si>
    <t>https://ebookcentral.proquest.com/lib/NKNU/detail.action?docID=180570</t>
  </si>
  <si>
    <t>https://ebookcentral.proquest.com/lib/NKNU/detail.action?docID=180583</t>
  </si>
  <si>
    <t>https://ebookcentral.proquest.com/lib/NKNU/detail.action?docID=180586</t>
  </si>
  <si>
    <t>https://ebookcentral.proquest.com/lib/NKNU/detail.action?docID=180589</t>
  </si>
  <si>
    <t>https://ebookcentral.proquest.com/lib/NKNU/detail.action?docID=180600</t>
  </si>
  <si>
    <t>https://ebookcentral.proquest.com/lib/NKNU/detail.action?docID=180604</t>
  </si>
  <si>
    <t>https://ebookcentral.proquest.com/lib/NKNU/detail.action?docID=180607</t>
  </si>
  <si>
    <t>https://ebookcentral.proquest.com/lib/NKNU/detail.action?docID=180646</t>
  </si>
  <si>
    <t>https://ebookcentral.proquest.com/lib/NKNU/detail.action?docID=180650</t>
  </si>
  <si>
    <t>https://ebookcentral.proquest.com/lib/NKNU/detail.action?docID=180680</t>
  </si>
  <si>
    <t>https://ebookcentral.proquest.com/lib/NKNU/detail.action?docID=180713</t>
  </si>
  <si>
    <t>https://ebookcentral.proquest.com/lib/NKNU/detail.action?docID=180736</t>
  </si>
  <si>
    <t>https://ebookcentral.proquest.com/lib/NKNU/detail.action?docID=180748</t>
  </si>
  <si>
    <t>https://ebookcentral.proquest.com/lib/NKNU/detail.action?docID=180768</t>
  </si>
  <si>
    <t>https://ebookcentral.proquest.com/lib/NKNU/detail.action?docID=180775</t>
  </si>
  <si>
    <t>https://ebookcentral.proquest.com/lib/NKNU/detail.action?docID=180776</t>
  </si>
  <si>
    <t>https://ebookcentral.proquest.com/lib/NKNU/detail.action?docID=180825</t>
  </si>
  <si>
    <t>https://ebookcentral.proquest.com/lib/NKNU/detail.action?docID=180837</t>
  </si>
  <si>
    <t>https://ebookcentral.proquest.com/lib/NKNU/detail.action?docID=180841</t>
  </si>
  <si>
    <t>https://ebookcentral.proquest.com/lib/NKNU/detail.action?docID=180845</t>
  </si>
  <si>
    <t>https://ebookcentral.proquest.com/lib/NKNU/detail.action?docID=180870</t>
  </si>
  <si>
    <t>https://ebookcentral.proquest.com/lib/NKNU/detail.action?docID=180875</t>
  </si>
  <si>
    <t>https://ebookcentral.proquest.com/lib/NKNU/detail.action?docID=180901</t>
  </si>
  <si>
    <t>https://ebookcentral.proquest.com/lib/NKNU/detail.action?docID=180906</t>
  </si>
  <si>
    <t>https://ebookcentral.proquest.com/lib/NKNU/detail.action?docID=180913</t>
  </si>
  <si>
    <t>https://ebookcentral.proquest.com/lib/NKNU/detail.action?docID=180926</t>
  </si>
  <si>
    <t>https://ebookcentral.proquest.com/lib/NKNU/detail.action?docID=180929</t>
  </si>
  <si>
    <t>https://ebookcentral.proquest.com/lib/NKNU/detail.action?docID=180946</t>
  </si>
  <si>
    <t>https://ebookcentral.proquest.com/lib/NKNU/detail.action?docID=180953</t>
  </si>
  <si>
    <t>https://ebookcentral.proquest.com/lib/NKNU/detail.action?docID=180979</t>
  </si>
  <si>
    <t>https://ebookcentral.proquest.com/lib/NKNU/detail.action?docID=181007</t>
  </si>
  <si>
    <t>https://ebookcentral.proquest.com/lib/NKNU/detail.action?docID=181048</t>
  </si>
  <si>
    <t>https://ebookcentral.proquest.com/lib/NKNU/detail.action?docID=181061</t>
  </si>
  <si>
    <t>https://ebookcentral.proquest.com/lib/NKNU/detail.action?docID=181081</t>
  </si>
  <si>
    <t>https://ebookcentral.proquest.com/lib/NKNU/detail.action?docID=181100</t>
  </si>
  <si>
    <t>https://ebookcentral.proquest.com/lib/NKNU/detail.action?docID=181105</t>
  </si>
  <si>
    <t>https://ebookcentral.proquest.com/lib/NKNU/detail.action?docID=181106</t>
  </si>
  <si>
    <t>https://ebookcentral.proquest.com/lib/NKNU/detail.action?docID=181118</t>
  </si>
  <si>
    <t>https://ebookcentral.proquest.com/lib/NKNU/detail.action?docID=181143</t>
  </si>
  <si>
    <t>https://ebookcentral.proquest.com/lib/NKNU/detail.action?docID=181144</t>
  </si>
  <si>
    <t>https://ebookcentral.proquest.com/lib/NKNU/detail.action?docID=181167</t>
  </si>
  <si>
    <t>https://ebookcentral.proquest.com/lib/NKNU/detail.action?docID=181181</t>
  </si>
  <si>
    <t>https://ebookcentral.proquest.com/lib/NKNU/detail.action?docID=181306</t>
  </si>
  <si>
    <t>https://ebookcentral.proquest.com/lib/NKNU/detail.action?docID=181309</t>
  </si>
  <si>
    <t>https://ebookcentral.proquest.com/lib/NKNU/detail.action?docID=181331</t>
  </si>
  <si>
    <t>https://ebookcentral.proquest.com/lib/NKNU/detail.action?docID=181340</t>
  </si>
  <si>
    <t>https://ebookcentral.proquest.com/lib/NKNU/detail.action?docID=181344</t>
  </si>
  <si>
    <t>https://ebookcentral.proquest.com/lib/NKNU/detail.action?docID=181347</t>
  </si>
  <si>
    <t>https://ebookcentral.proquest.com/lib/NKNU/detail.action?docID=181380</t>
  </si>
  <si>
    <t>https://ebookcentral.proquest.com/lib/NKNU/detail.action?docID=181395</t>
  </si>
  <si>
    <t>https://ebookcentral.proquest.com/lib/NKNU/detail.action?docID=181415</t>
  </si>
  <si>
    <t>https://ebookcentral.proquest.com/lib/NKNU/detail.action?docID=181416</t>
  </si>
  <si>
    <t>https://ebookcentral.proquest.com/lib/NKNU/detail.action?docID=181418</t>
  </si>
  <si>
    <t>https://ebookcentral.proquest.com/lib/NKNU/detail.action?docID=181441</t>
  </si>
  <si>
    <t>https://ebookcentral.proquest.com/lib/NKNU/detail.action?docID=181465</t>
  </si>
  <si>
    <t>https://ebookcentral.proquest.com/lib/NKNU/detail.action?docID=181499</t>
  </si>
  <si>
    <t>https://ebookcentral.proquest.com/lib/NKNU/detail.action?docID=181567</t>
  </si>
  <si>
    <t>https://ebookcentral.proquest.com/lib/NKNU/detail.action?docID=181671</t>
  </si>
  <si>
    <t>https://ebookcentral.proquest.com/lib/NKNU/detail.action?docID=181680</t>
  </si>
  <si>
    <t>https://ebookcentral.proquest.com/lib/NKNU/detail.action?docID=181704</t>
  </si>
  <si>
    <t>https://ebookcentral.proquest.com/lib/NKNU/detail.action?docID=181715</t>
  </si>
  <si>
    <t>https://ebookcentral.proquest.com/lib/NKNU/detail.action?docID=181717</t>
  </si>
  <si>
    <t>https://ebookcentral.proquest.com/lib/NKNU/detail.action?docID=181720</t>
  </si>
  <si>
    <t>https://ebookcentral.proquest.com/lib/NKNU/detail.action?docID=181729</t>
  </si>
  <si>
    <t>https://ebookcentral.proquest.com/lib/NKNU/detail.action?docID=181747</t>
  </si>
  <si>
    <t>https://ebookcentral.proquest.com/lib/NKNU/detail.action?docID=181758</t>
  </si>
  <si>
    <t>https://ebookcentral.proquest.com/lib/NKNU/detail.action?docID=181765</t>
  </si>
  <si>
    <t>https://ebookcentral.proquest.com/lib/NKNU/detail.action?docID=181766</t>
  </si>
  <si>
    <t>https://ebookcentral.proquest.com/lib/NKNU/detail.action?docID=181785</t>
  </si>
  <si>
    <t>https://ebookcentral.proquest.com/lib/NKNU/detail.action?docID=181791</t>
  </si>
  <si>
    <t>https://ebookcentral.proquest.com/lib/NKNU/detail.action?docID=181792</t>
  </si>
  <si>
    <t>https://ebookcentral.proquest.com/lib/NKNU/detail.action?docID=181800</t>
  </si>
  <si>
    <t>https://ebookcentral.proquest.com/lib/NKNU/detail.action?docID=181805</t>
  </si>
  <si>
    <t>https://ebookcentral.proquest.com/lib/NKNU/detail.action?docID=181813</t>
  </si>
  <si>
    <t>https://ebookcentral.proquest.com/lib/NKNU/detail.action?docID=181819</t>
  </si>
  <si>
    <t>https://ebookcentral.proquest.com/lib/NKNU/detail.action?docID=181829</t>
  </si>
  <si>
    <t>https://ebookcentral.proquest.com/lib/NKNU/detail.action?docID=181853</t>
  </si>
  <si>
    <t>https://ebookcentral.proquest.com/lib/NKNU/detail.action?docID=181856</t>
  </si>
  <si>
    <t>https://ebookcentral.proquest.com/lib/NKNU/detail.action?docID=181875</t>
  </si>
  <si>
    <t>https://ebookcentral.proquest.com/lib/NKNU/detail.action?docID=181880</t>
  </si>
  <si>
    <t>https://ebookcentral.proquest.com/lib/NKNU/detail.action?docID=181886</t>
  </si>
  <si>
    <t>https://ebookcentral.proquest.com/lib/NKNU/detail.action?docID=181900</t>
  </si>
  <si>
    <t>https://ebookcentral.proquest.com/lib/NKNU/detail.action?docID=181912</t>
  </si>
  <si>
    <t>https://ebookcentral.proquest.com/lib/NKNU/detail.action?docID=181927</t>
  </si>
  <si>
    <t>https://ebookcentral.proquest.com/lib/NKNU/detail.action?docID=181939</t>
  </si>
  <si>
    <t>https://ebookcentral.proquest.com/lib/NKNU/detail.action?docID=181947</t>
  </si>
  <si>
    <t>https://ebookcentral.proquest.com/lib/NKNU/detail.action?docID=181968</t>
  </si>
  <si>
    <t>https://ebookcentral.proquest.com/lib/NKNU/detail.action?docID=181969</t>
  </si>
  <si>
    <t>https://ebookcentral.proquest.com/lib/NKNU/detail.action?docID=181970</t>
  </si>
  <si>
    <t>https://ebookcentral.proquest.com/lib/NKNU/detail.action?docID=181971</t>
  </si>
  <si>
    <t>https://ebookcentral.proquest.com/lib/NKNU/detail.action?docID=181975</t>
  </si>
  <si>
    <t>https://ebookcentral.proquest.com/lib/NKNU/detail.action?docID=181977</t>
  </si>
  <si>
    <t>https://ebookcentral.proquest.com/lib/NKNU/detail.action?docID=181978</t>
  </si>
  <si>
    <t>https://ebookcentral.proquest.com/lib/NKNU/detail.action?docID=181979</t>
  </si>
  <si>
    <t>https://ebookcentral.proquest.com/lib/NKNU/detail.action?docID=181987</t>
  </si>
  <si>
    <t>https://ebookcentral.proquest.com/lib/NKNU/detail.action?docID=182016</t>
  </si>
  <si>
    <t>https://ebookcentral.proquest.com/lib/NKNU/detail.action?docID=182019</t>
  </si>
  <si>
    <t>https://ebookcentral.proquest.com/lib/NKNU/detail.action?docID=182082</t>
  </si>
  <si>
    <t>https://ebookcentral.proquest.com/lib/NKNU/detail.action?docID=182123</t>
  </si>
  <si>
    <t>https://ebookcentral.proquest.com/lib/NKNU/detail.action?docID=182125</t>
  </si>
  <si>
    <t>https://ebookcentral.proquest.com/lib/NKNU/detail.action?docID=182173</t>
  </si>
  <si>
    <t>https://ebookcentral.proquest.com/lib/NKNU/detail.action?docID=182189</t>
  </si>
  <si>
    <t>https://ebookcentral.proquest.com/lib/NKNU/detail.action?docID=182197</t>
  </si>
  <si>
    <t>https://ebookcentral.proquest.com/lib/NKNU/detail.action?docID=182206</t>
  </si>
  <si>
    <t>https://ebookcentral.proquest.com/lib/NKNU/detail.action?docID=182219</t>
  </si>
  <si>
    <t>https://ebookcentral.proquest.com/lib/NKNU/detail.action?docID=182222</t>
  </si>
  <si>
    <t>https://ebookcentral.proquest.com/lib/NKNU/detail.action?docID=182224</t>
  </si>
  <si>
    <t>https://ebookcentral.proquest.com/lib/NKNU/detail.action?docID=182231</t>
  </si>
  <si>
    <t>https://ebookcentral.proquest.com/lib/NKNU/detail.action?docID=182253</t>
  </si>
  <si>
    <t>https://ebookcentral.proquest.com/lib/NKNU/detail.action?docID=182263</t>
  </si>
  <si>
    <t>https://ebookcentral.proquest.com/lib/NKNU/detail.action?docID=182271</t>
  </si>
  <si>
    <t>https://ebookcentral.proquest.com/lib/NKNU/detail.action?docID=182277</t>
  </si>
  <si>
    <t>https://ebookcentral.proquest.com/lib/NKNU/detail.action?docID=182286</t>
  </si>
  <si>
    <t>https://ebookcentral.proquest.com/lib/NKNU/detail.action?docID=182287</t>
  </si>
  <si>
    <t>https://ebookcentral.proquest.com/lib/NKNU/detail.action?docID=182291</t>
  </si>
  <si>
    <t>https://ebookcentral.proquest.com/lib/NKNU/detail.action?docID=182292</t>
  </si>
  <si>
    <t>https://ebookcentral.proquest.com/lib/NKNU/detail.action?docID=182293</t>
  </si>
  <si>
    <t>https://ebookcentral.proquest.com/lib/NKNU/detail.action?docID=182298</t>
  </si>
  <si>
    <t>https://ebookcentral.proquest.com/lib/NKNU/detail.action?docID=182301</t>
  </si>
  <si>
    <t>https://ebookcentral.proquest.com/lib/NKNU/detail.action?docID=182321</t>
  </si>
  <si>
    <t>https://ebookcentral.proquest.com/lib/NKNU/detail.action?docID=182322</t>
  </si>
  <si>
    <t>https://ebookcentral.proquest.com/lib/NKNU/detail.action?docID=182329</t>
  </si>
  <si>
    <t>https://ebookcentral.proquest.com/lib/NKNU/detail.action?docID=182351</t>
  </si>
  <si>
    <t>https://ebookcentral.proquest.com/lib/NKNU/detail.action?docID=182354</t>
  </si>
  <si>
    <t>https://ebookcentral.proquest.com/lib/NKNU/detail.action?docID=182357</t>
  </si>
  <si>
    <t>https://ebookcentral.proquest.com/lib/NKNU/detail.action?docID=182373</t>
  </si>
  <si>
    <t>https://ebookcentral.proquest.com/lib/NKNU/detail.action?docID=182375</t>
  </si>
  <si>
    <t>https://ebookcentral.proquest.com/lib/NKNU/detail.action?docID=182376</t>
  </si>
  <si>
    <t>https://ebookcentral.proquest.com/lib/NKNU/detail.action?docID=182383</t>
  </si>
  <si>
    <t>https://ebookcentral.proquest.com/lib/NKNU/detail.action?docID=182386</t>
  </si>
  <si>
    <t>https://ebookcentral.proquest.com/lib/NKNU/detail.action?docID=182397</t>
  </si>
  <si>
    <t>https://ebookcentral.proquest.com/lib/NKNU/detail.action?docID=182438</t>
  </si>
  <si>
    <t>https://ebookcentral.proquest.com/lib/NKNU/detail.action?docID=182458</t>
  </si>
  <si>
    <t>https://ebookcentral.proquest.com/lib/NKNU/detail.action?docID=182469</t>
  </si>
  <si>
    <t>https://ebookcentral.proquest.com/lib/NKNU/detail.action?docID=182476</t>
  </si>
  <si>
    <t>https://ebookcentral.proquest.com/lib/NKNU/detail.action?docID=182480</t>
  </si>
  <si>
    <t>https://ebookcentral.proquest.com/lib/NKNU/detail.action?docID=182491</t>
  </si>
  <si>
    <t>https://ebookcentral.proquest.com/lib/NKNU/detail.action?docID=182504</t>
  </si>
  <si>
    <t>https://ebookcentral.proquest.com/lib/NKNU/detail.action?docID=182535</t>
  </si>
  <si>
    <t>https://ebookcentral.proquest.com/lib/NKNU/detail.action?docID=182539</t>
  </si>
  <si>
    <t>https://ebookcentral.proquest.com/lib/NKNU/detail.action?docID=182545</t>
  </si>
  <si>
    <t>https://ebookcentral.proquest.com/lib/NKNU/detail.action?docID=182554</t>
  </si>
  <si>
    <t>https://ebookcentral.proquest.com/lib/NKNU/detail.action?docID=182557</t>
  </si>
  <si>
    <t>https://ebookcentral.proquest.com/lib/NKNU/detail.action?docID=182574</t>
  </si>
  <si>
    <t>https://ebookcentral.proquest.com/lib/NKNU/detail.action?docID=182578</t>
  </si>
  <si>
    <t>https://ebookcentral.proquest.com/lib/NKNU/detail.action?docID=182593</t>
  </si>
  <si>
    <t>https://ebookcentral.proquest.com/lib/NKNU/detail.action?docID=182598</t>
  </si>
  <si>
    <t>https://ebookcentral.proquest.com/lib/NKNU/detail.action?docID=182601</t>
  </si>
  <si>
    <t>https://ebookcentral.proquest.com/lib/NKNU/detail.action?docID=182617</t>
  </si>
  <si>
    <t>https://ebookcentral.proquest.com/lib/NKNU/detail.action?docID=182620</t>
  </si>
  <si>
    <t>https://ebookcentral.proquest.com/lib/NKNU/detail.action?docID=182632</t>
  </si>
  <si>
    <t>https://ebookcentral.proquest.com/lib/NKNU/detail.action?docID=182655</t>
  </si>
  <si>
    <t>https://ebookcentral.proquest.com/lib/NKNU/detail.action?docID=182656</t>
  </si>
  <si>
    <t>https://ebookcentral.proquest.com/lib/NKNU/detail.action?docID=182662</t>
  </si>
  <si>
    <t>https://ebookcentral.proquest.com/lib/NKNU/detail.action?docID=182671</t>
  </si>
  <si>
    <t>https://ebookcentral.proquest.com/lib/NKNU/detail.action?docID=182690</t>
  </si>
  <si>
    <t>https://ebookcentral.proquest.com/lib/NKNU/detail.action?docID=182715</t>
  </si>
  <si>
    <t>https://ebookcentral.proquest.com/lib/NKNU/detail.action?docID=182731</t>
  </si>
  <si>
    <t>https://ebookcentral.proquest.com/lib/NKNU/detail.action?docID=182751</t>
  </si>
  <si>
    <t>https://ebookcentral.proquest.com/lib/NKNU/detail.action?docID=182764</t>
  </si>
  <si>
    <t>https://ebookcentral.proquest.com/lib/NKNU/detail.action?docID=182795</t>
  </si>
  <si>
    <t>https://ebookcentral.proquest.com/lib/NKNU/detail.action?docID=182834</t>
  </si>
  <si>
    <t>https://ebookcentral.proquest.com/lib/NKNU/detail.action?docID=182856</t>
  </si>
  <si>
    <t>https://ebookcentral.proquest.com/lib/NKNU/detail.action?docID=182858</t>
  </si>
  <si>
    <t>https://ebookcentral.proquest.com/lib/NKNU/detail.action?docID=182868</t>
  </si>
  <si>
    <t>https://ebookcentral.proquest.com/lib/NKNU/detail.action?docID=182876</t>
  </si>
  <si>
    <t>https://ebookcentral.proquest.com/lib/NKNU/detail.action?docID=182917</t>
  </si>
  <si>
    <t>https://ebookcentral.proquest.com/lib/NKNU/detail.action?docID=182922</t>
  </si>
  <si>
    <t>https://ebookcentral.proquest.com/lib/NKNU/detail.action?docID=182923</t>
  </si>
  <si>
    <t>https://ebookcentral.proquest.com/lib/NKNU/detail.action?docID=182944</t>
  </si>
  <si>
    <t>https://ebookcentral.proquest.com/lib/NKNU/detail.action?docID=183023</t>
  </si>
  <si>
    <t>https://ebookcentral.proquest.com/lib/NKNU/detail.action?docID=183024</t>
  </si>
  <si>
    <t>https://ebookcentral.proquest.com/lib/NKNU/detail.action?docID=183055</t>
  </si>
  <si>
    <t>https://ebookcentral.proquest.com/lib/NKNU/detail.action?docID=183074</t>
  </si>
  <si>
    <t>https://ebookcentral.proquest.com/lib/NKNU/detail.action?docID=183098</t>
  </si>
  <si>
    <t>https://ebookcentral.proquest.com/lib/NKNU/detail.action?docID=183204</t>
  </si>
  <si>
    <t>https://ebookcentral.proquest.com/lib/NKNU/detail.action?docID=183207</t>
  </si>
  <si>
    <t>https://ebookcentral.proquest.com/lib/NKNU/detail.action?docID=183245</t>
  </si>
  <si>
    <t>https://ebookcentral.proquest.com/lib/NKNU/detail.action?docID=183269</t>
  </si>
  <si>
    <t>https://ebookcentral.proquest.com/lib/NKNU/detail.action?docID=183279</t>
  </si>
  <si>
    <t>https://ebookcentral.proquest.com/lib/NKNU/detail.action?docID=183287</t>
  </si>
  <si>
    <t>https://ebookcentral.proquest.com/lib/NKNU/detail.action?docID=183299</t>
  </si>
  <si>
    <t>https://ebookcentral.proquest.com/lib/NKNU/detail.action?docID=183305</t>
  </si>
  <si>
    <t>https://ebookcentral.proquest.com/lib/NKNU/detail.action?docID=183308</t>
  </si>
  <si>
    <t>https://ebookcentral.proquest.com/lib/NKNU/detail.action?docID=183320</t>
  </si>
  <si>
    <t>https://ebookcentral.proquest.com/lib/NKNU/detail.action?docID=183321</t>
  </si>
  <si>
    <t>https://ebookcentral.proquest.com/lib/NKNU/detail.action?docID=183322</t>
  </si>
  <si>
    <t>https://ebookcentral.proquest.com/lib/NKNU/detail.action?docID=183438</t>
  </si>
  <si>
    <t>https://ebookcentral.proquest.com/lib/NKNU/detail.action?docID=183443</t>
  </si>
  <si>
    <t>https://ebookcentral.proquest.com/lib/NKNU/detail.action?docID=183445</t>
  </si>
  <si>
    <t>https://ebookcentral.proquest.com/lib/NKNU/detail.action?docID=183449</t>
  </si>
  <si>
    <t>https://ebookcentral.proquest.com/lib/NKNU/detail.action?docID=183451</t>
  </si>
  <si>
    <t>https://ebookcentral.proquest.com/lib/NKNU/detail.action?docID=184135</t>
  </si>
  <si>
    <t>https://ebookcentral.proquest.com/lib/NKNU/detail.action?docID=187127</t>
  </si>
  <si>
    <t>https://ebookcentral.proquest.com/lib/NKNU/detail.action?docID=190834</t>
  </si>
  <si>
    <t>https://ebookcentral.proquest.com/lib/NKNU/detail.action?docID=197408</t>
  </si>
  <si>
    <t>https://ebookcentral.proquest.com/lib/NKNU/detail.action?docID=198346</t>
  </si>
  <si>
    <t>https://ebookcentral.proquest.com/lib/NKNU/detail.action?docID=198382</t>
  </si>
  <si>
    <t>https://ebookcentral.proquest.com/lib/NKNU/detail.action?docID=198383</t>
  </si>
  <si>
    <t>https://ebookcentral.proquest.com/lib/NKNU/detail.action?docID=198392</t>
  </si>
  <si>
    <t>https://ebookcentral.proquest.com/lib/NKNU/detail.action?docID=198394</t>
  </si>
  <si>
    <t>https://ebookcentral.proquest.com/lib/NKNU/detail.action?docID=198432</t>
  </si>
  <si>
    <t>https://ebookcentral.proquest.com/lib/NKNU/detail.action?docID=198448</t>
  </si>
  <si>
    <t>https://ebookcentral.proquest.com/lib/NKNU/detail.action?docID=198455</t>
  </si>
  <si>
    <t>https://ebookcentral.proquest.com/lib/NKNU/detail.action?docID=198456</t>
  </si>
  <si>
    <t>https://ebookcentral.proquest.com/lib/NKNU/detail.action?docID=198457</t>
  </si>
  <si>
    <t>https://ebookcentral.proquest.com/lib/NKNU/detail.action?docID=198459</t>
  </si>
  <si>
    <t>https://ebookcentral.proquest.com/lib/NKNU/detail.action?docID=198464</t>
  </si>
  <si>
    <t>https://ebookcentral.proquest.com/lib/NKNU/detail.action?docID=198465</t>
  </si>
  <si>
    <t>https://ebookcentral.proquest.com/lib/NKNU/detail.action?docID=198470</t>
  </si>
  <si>
    <t>https://ebookcentral.proquest.com/lib/NKNU/detail.action?docID=198477</t>
  </si>
  <si>
    <t>https://ebookcentral.proquest.com/lib/NKNU/detail.action?docID=198480</t>
  </si>
  <si>
    <t>https://ebookcentral.proquest.com/lib/NKNU/detail.action?docID=198483</t>
  </si>
  <si>
    <t>https://ebookcentral.proquest.com/lib/NKNU/detail.action?docID=198488</t>
  </si>
  <si>
    <t>https://ebookcentral.proquest.com/lib/NKNU/detail.action?docID=198491</t>
  </si>
  <si>
    <t>https://ebookcentral.proquest.com/lib/NKNU/detail.action?docID=198492</t>
  </si>
  <si>
    <t>https://ebookcentral.proquest.com/lib/NKNU/detail.action?docID=198496</t>
  </si>
  <si>
    <t>https://ebookcentral.proquest.com/lib/NKNU/detail.action?docID=198506</t>
  </si>
  <si>
    <t>https://ebookcentral.proquest.com/lib/NKNU/detail.action?docID=198507</t>
  </si>
  <si>
    <t>https://ebookcentral.proquest.com/lib/NKNU/detail.action?docID=198508</t>
  </si>
  <si>
    <t>https://ebookcentral.proquest.com/lib/NKNU/detail.action?docID=198514</t>
  </si>
  <si>
    <t>https://ebookcentral.proquest.com/lib/NKNU/detail.action?docID=198517</t>
  </si>
  <si>
    <t>https://ebookcentral.proquest.com/lib/NKNU/detail.action?docID=198519</t>
  </si>
  <si>
    <t>https://ebookcentral.proquest.com/lib/NKNU/detail.action?docID=198520</t>
  </si>
  <si>
    <t>https://ebookcentral.proquest.com/lib/NKNU/detail.action?docID=198531</t>
  </si>
  <si>
    <t>https://ebookcentral.proquest.com/lib/NKNU/detail.action?docID=198596</t>
  </si>
  <si>
    <t>https://ebookcentral.proquest.com/lib/NKNU/detail.action?docID=198615</t>
  </si>
  <si>
    <t>https://ebookcentral.proquest.com/lib/NKNU/detail.action?docID=198620</t>
  </si>
  <si>
    <t>https://ebookcentral.proquest.com/lib/NKNU/detail.action?docID=198621</t>
  </si>
  <si>
    <t>https://ebookcentral.proquest.com/lib/NKNU/detail.action?docID=198646</t>
  </si>
  <si>
    <t>https://ebookcentral.proquest.com/lib/NKNU/detail.action?docID=198699</t>
  </si>
  <si>
    <t>https://ebookcentral.proquest.com/lib/NKNU/detail.action?docID=198714</t>
  </si>
  <si>
    <t>https://ebookcentral.proquest.com/lib/NKNU/detail.action?docID=198723</t>
  </si>
  <si>
    <t>https://ebookcentral.proquest.com/lib/NKNU/detail.action?docID=198732</t>
  </si>
  <si>
    <t>https://ebookcentral.proquest.com/lib/NKNU/detail.action?docID=198739</t>
  </si>
  <si>
    <t>https://ebookcentral.proquest.com/lib/NKNU/detail.action?docID=198837</t>
  </si>
  <si>
    <t>https://ebookcentral.proquest.com/lib/NKNU/detail.action?docID=198864</t>
  </si>
  <si>
    <t>https://ebookcentral.proquest.com/lib/NKNU/detail.action?docID=198934</t>
  </si>
  <si>
    <t>https://ebookcentral.proquest.com/lib/NKNU/detail.action?docID=198959</t>
  </si>
  <si>
    <t>https://ebookcentral.proquest.com/lib/NKNU/detail.action?docID=198992</t>
  </si>
  <si>
    <t>https://ebookcentral.proquest.com/lib/NKNU/detail.action?docID=198999</t>
  </si>
  <si>
    <t>https://ebookcentral.proquest.com/lib/NKNU/detail.action?docID=199025</t>
  </si>
  <si>
    <t>https://ebookcentral.proquest.com/lib/NKNU/detail.action?docID=199125</t>
  </si>
  <si>
    <t>https://ebookcentral.proquest.com/lib/NKNU/detail.action?docID=199147</t>
  </si>
  <si>
    <t>https://ebookcentral.proquest.com/lib/NKNU/detail.action?docID=199183</t>
  </si>
  <si>
    <t>https://ebookcentral.proquest.com/lib/NKNU/detail.action?docID=199196</t>
  </si>
  <si>
    <t>https://ebookcentral.proquest.com/lib/NKNU/detail.action?docID=199199</t>
  </si>
  <si>
    <t>https://ebookcentral.proquest.com/lib/NKNU/detail.action?docID=199202</t>
  </si>
  <si>
    <t>https://ebookcentral.proquest.com/lib/NKNU/detail.action?docID=199204</t>
  </si>
  <si>
    <t>https://ebookcentral.proquest.com/lib/NKNU/detail.action?docID=199263</t>
  </si>
  <si>
    <t>https://ebookcentral.proquest.com/lib/NKNU/detail.action?docID=199276</t>
  </si>
  <si>
    <t>https://ebookcentral.proquest.com/lib/NKNU/detail.action?docID=199319</t>
  </si>
  <si>
    <t>https://ebookcentral.proquest.com/lib/NKNU/detail.action?docID=199325</t>
  </si>
  <si>
    <t>https://ebookcentral.proquest.com/lib/NKNU/detail.action?docID=199328</t>
  </si>
  <si>
    <t>https://ebookcentral.proquest.com/lib/NKNU/detail.action?docID=199330</t>
  </si>
  <si>
    <t>https://ebookcentral.proquest.com/lib/NKNU/detail.action?docID=199334</t>
  </si>
  <si>
    <t>https://ebookcentral.proquest.com/lib/NKNU/detail.action?docID=199345</t>
  </si>
  <si>
    <t>https://ebookcentral.proquest.com/lib/NKNU/detail.action?docID=199346</t>
  </si>
  <si>
    <t>https://ebookcentral.proquest.com/lib/NKNU/detail.action?docID=199361</t>
  </si>
  <si>
    <t>https://ebookcentral.proquest.com/lib/NKNU/detail.action?docID=199366</t>
  </si>
  <si>
    <t>https://ebookcentral.proquest.com/lib/NKNU/detail.action?docID=199386</t>
  </si>
  <si>
    <t>https://ebookcentral.proquest.com/lib/NKNU/detail.action?docID=199387</t>
  </si>
  <si>
    <t>https://ebookcentral.proquest.com/lib/NKNU/detail.action?docID=199400</t>
  </si>
  <si>
    <t>https://ebookcentral.proquest.com/lib/NKNU/detail.action?docID=199406</t>
  </si>
  <si>
    <t>https://ebookcentral.proquest.com/lib/NKNU/detail.action?docID=199431</t>
  </si>
  <si>
    <t>https://ebookcentral.proquest.com/lib/NKNU/detail.action?docID=199435</t>
  </si>
  <si>
    <t>https://ebookcentral.proquest.com/lib/NKNU/detail.action?docID=199436</t>
  </si>
  <si>
    <t>https://ebookcentral.proquest.com/lib/NKNU/detail.action?docID=199437</t>
  </si>
  <si>
    <t>https://ebookcentral.proquest.com/lib/NKNU/detail.action?docID=199438</t>
  </si>
  <si>
    <t>https://ebookcentral.proquest.com/lib/NKNU/detail.action?docID=199445</t>
  </si>
  <si>
    <t>https://ebookcentral.proquest.com/lib/NKNU/detail.action?docID=199469</t>
  </si>
  <si>
    <t>https://ebookcentral.proquest.com/lib/NKNU/detail.action?docID=199475</t>
  </si>
  <si>
    <t>https://ebookcentral.proquest.com/lib/NKNU/detail.action?docID=199476</t>
  </si>
  <si>
    <t>https://ebookcentral.proquest.com/lib/NKNU/detail.action?docID=199506</t>
  </si>
  <si>
    <t>https://ebookcentral.proquest.com/lib/NKNU/detail.action?docID=199527</t>
  </si>
  <si>
    <t>https://ebookcentral.proquest.com/lib/NKNU/detail.action?docID=199542</t>
  </si>
  <si>
    <t>https://ebookcentral.proquest.com/lib/NKNU/detail.action?docID=199574</t>
  </si>
  <si>
    <t>https://ebookcentral.proquest.com/lib/NKNU/detail.action?docID=199592</t>
  </si>
  <si>
    <t>https://ebookcentral.proquest.com/lib/NKNU/detail.action?docID=199600</t>
  </si>
  <si>
    <t>https://ebookcentral.proquest.com/lib/NKNU/detail.action?docID=199607</t>
  </si>
  <si>
    <t>https://ebookcentral.proquest.com/lib/NKNU/detail.action?docID=199649</t>
  </si>
  <si>
    <t>https://ebookcentral.proquest.com/lib/NKNU/detail.action?docID=199668</t>
  </si>
  <si>
    <t>https://ebookcentral.proquest.com/lib/NKNU/detail.action?docID=199669</t>
  </si>
  <si>
    <t>https://ebookcentral.proquest.com/lib/NKNU/detail.action?docID=199727</t>
  </si>
  <si>
    <t>https://ebookcentral.proquest.com/lib/NKNU/detail.action?docID=199752</t>
  </si>
  <si>
    <t>https://ebookcentral.proquest.com/lib/NKNU/detail.action?docID=199756</t>
  </si>
  <si>
    <t>https://ebookcentral.proquest.com/lib/NKNU/detail.action?docID=199770</t>
  </si>
  <si>
    <t>https://ebookcentral.proquest.com/lib/NKNU/detail.action?docID=199783</t>
  </si>
  <si>
    <t>https://ebookcentral.proquest.com/lib/NKNU/detail.action?docID=199797</t>
  </si>
  <si>
    <t>https://ebookcentral.proquest.com/lib/NKNU/detail.action?docID=199802</t>
  </si>
  <si>
    <t>https://ebookcentral.proquest.com/lib/NKNU/detail.action?docID=199806</t>
  </si>
  <si>
    <t>https://ebookcentral.proquest.com/lib/NKNU/detail.action?docID=199809</t>
  </si>
  <si>
    <t>https://ebookcentral.proquest.com/lib/NKNU/detail.action?docID=199812</t>
  </si>
  <si>
    <t>https://ebookcentral.proquest.com/lib/NKNU/detail.action?docID=199909</t>
  </si>
  <si>
    <t>https://ebookcentral.proquest.com/lib/NKNU/detail.action?docID=199929</t>
  </si>
  <si>
    <t>https://ebookcentral.proquest.com/lib/NKNU/detail.action?docID=199935</t>
  </si>
  <si>
    <t>https://ebookcentral.proquest.com/lib/NKNU/detail.action?docID=199966</t>
  </si>
  <si>
    <t>https://ebookcentral.proquest.com/lib/NKNU/detail.action?docID=200001</t>
  </si>
  <si>
    <t>https://ebookcentral.proquest.com/lib/NKNU/detail.action?docID=200002</t>
  </si>
  <si>
    <t>https://ebookcentral.proquest.com/lib/NKNU/detail.action?docID=200003</t>
  </si>
  <si>
    <t>https://ebookcentral.proquest.com/lib/NKNU/detail.action?docID=200025</t>
  </si>
  <si>
    <t>https://ebookcentral.proquest.com/lib/NKNU/detail.action?docID=200027</t>
  </si>
  <si>
    <t>https://ebookcentral.proquest.com/lib/NKNU/detail.action?docID=200048</t>
  </si>
  <si>
    <t>https://ebookcentral.proquest.com/lib/NKNU/detail.action?docID=200049</t>
  </si>
  <si>
    <t>https://ebookcentral.proquest.com/lib/NKNU/detail.action?docID=200064</t>
  </si>
  <si>
    <t>https://ebookcentral.proquest.com/lib/NKNU/detail.action?docID=200075</t>
  </si>
  <si>
    <t>https://ebookcentral.proquest.com/lib/NKNU/detail.action?docID=200093</t>
  </si>
  <si>
    <t>https://ebookcentral.proquest.com/lib/NKNU/detail.action?docID=200110</t>
  </si>
  <si>
    <t>https://ebookcentral.proquest.com/lib/NKNU/detail.action?docID=200123</t>
  </si>
  <si>
    <t>https://ebookcentral.proquest.com/lib/NKNU/detail.action?docID=200127</t>
  </si>
  <si>
    <t>https://ebookcentral.proquest.com/lib/NKNU/detail.action?docID=200128</t>
  </si>
  <si>
    <t>https://ebookcentral.proquest.com/lib/NKNU/detail.action?docID=200134</t>
  </si>
  <si>
    <t>https://ebookcentral.proquest.com/lib/NKNU/detail.action?docID=200149</t>
  </si>
  <si>
    <t>https://ebookcentral.proquest.com/lib/NKNU/detail.action?docID=200151</t>
  </si>
  <si>
    <t>https://ebookcentral.proquest.com/lib/NKNU/detail.action?docID=200162</t>
  </si>
  <si>
    <t>https://ebookcentral.proquest.com/lib/NKNU/detail.action?docID=200180</t>
  </si>
  <si>
    <t>https://ebookcentral.proquest.com/lib/NKNU/detail.action?docID=200194</t>
  </si>
  <si>
    <t>https://ebookcentral.proquest.com/lib/NKNU/detail.action?docID=200205</t>
  </si>
  <si>
    <t>https://ebookcentral.proquest.com/lib/NKNU/detail.action?docID=200237</t>
  </si>
  <si>
    <t>https://ebookcentral.proquest.com/lib/NKNU/detail.action?docID=200254</t>
  </si>
  <si>
    <t>https://ebookcentral.proquest.com/lib/NKNU/detail.action?docID=200318</t>
  </si>
  <si>
    <t>https://ebookcentral.proquest.com/lib/NKNU/detail.action?docID=200332</t>
  </si>
  <si>
    <t>https://ebookcentral.proquest.com/lib/NKNU/detail.action?docID=200352</t>
  </si>
  <si>
    <t>https://ebookcentral.proquest.com/lib/NKNU/detail.action?docID=200358</t>
  </si>
  <si>
    <t>https://ebookcentral.proquest.com/lib/NKNU/detail.action?docID=200368</t>
  </si>
  <si>
    <t>https://ebookcentral.proquest.com/lib/NKNU/detail.action?docID=200411</t>
  </si>
  <si>
    <t>https://ebookcentral.proquest.com/lib/NKNU/detail.action?docID=200412</t>
  </si>
  <si>
    <t>https://ebookcentral.proquest.com/lib/NKNU/detail.action?docID=200432</t>
  </si>
  <si>
    <t>https://ebookcentral.proquest.com/lib/NKNU/detail.action?docID=200443</t>
  </si>
  <si>
    <t>https://ebookcentral.proquest.com/lib/NKNU/detail.action?docID=200452</t>
  </si>
  <si>
    <t>https://ebookcentral.proquest.com/lib/NKNU/detail.action?docID=200459</t>
  </si>
  <si>
    <t>https://ebookcentral.proquest.com/lib/NKNU/detail.action?docID=200464</t>
  </si>
  <si>
    <t>https://ebookcentral.proquest.com/lib/NKNU/detail.action?docID=200473</t>
  </si>
  <si>
    <t>https://ebookcentral.proquest.com/lib/NKNU/detail.action?docID=200479</t>
  </si>
  <si>
    <t>https://ebookcentral.proquest.com/lib/NKNU/detail.action?docID=200501</t>
  </si>
  <si>
    <t>https://ebookcentral.proquest.com/lib/NKNU/detail.action?docID=200526</t>
  </si>
  <si>
    <t>https://ebookcentral.proquest.com/lib/NKNU/detail.action?docID=200543</t>
  </si>
  <si>
    <t>https://ebookcentral.proquest.com/lib/NKNU/detail.action?docID=200545</t>
  </si>
  <si>
    <t>https://ebookcentral.proquest.com/lib/NKNU/detail.action?docID=200563</t>
  </si>
  <si>
    <t>https://ebookcentral.proquest.com/lib/NKNU/detail.action?docID=200592</t>
  </si>
  <si>
    <t>https://ebookcentral.proquest.com/lib/NKNU/detail.action?docID=200600</t>
  </si>
  <si>
    <t>https://ebookcentral.proquest.com/lib/NKNU/detail.action?docID=200602</t>
  </si>
  <si>
    <t>https://ebookcentral.proquest.com/lib/NKNU/detail.action?docID=200605</t>
  </si>
  <si>
    <t>https://ebookcentral.proquest.com/lib/NKNU/detail.action?docID=200625</t>
  </si>
  <si>
    <t>https://ebookcentral.proquest.com/lib/NKNU/detail.action?docID=200626</t>
  </si>
  <si>
    <t>https://ebookcentral.proquest.com/lib/NKNU/detail.action?docID=200632</t>
  </si>
  <si>
    <t>https://ebookcentral.proquest.com/lib/NKNU/detail.action?docID=200658</t>
  </si>
  <si>
    <t>https://ebookcentral.proquest.com/lib/NKNU/detail.action?docID=200659</t>
  </si>
  <si>
    <t>https://ebookcentral.proquest.com/lib/NKNU/detail.action?docID=200660</t>
  </si>
  <si>
    <t>https://ebookcentral.proquest.com/lib/NKNU/detail.action?docID=200665</t>
  </si>
  <si>
    <t>https://ebookcentral.proquest.com/lib/NKNU/detail.action?docID=200675</t>
  </si>
  <si>
    <t>https://ebookcentral.proquest.com/lib/NKNU/detail.action?docID=200676</t>
  </si>
  <si>
    <t>https://ebookcentral.proquest.com/lib/NKNU/detail.action?docID=200679</t>
  </si>
  <si>
    <t>https://ebookcentral.proquest.com/lib/NKNU/detail.action?docID=200695</t>
  </si>
  <si>
    <t>https://ebookcentral.proquest.com/lib/NKNU/detail.action?docID=200696</t>
  </si>
  <si>
    <t>https://ebookcentral.proquest.com/lib/NKNU/detail.action?docID=200706</t>
  </si>
  <si>
    <t>https://ebookcentral.proquest.com/lib/NKNU/detail.action?docID=200711</t>
  </si>
  <si>
    <t>https://ebookcentral.proquest.com/lib/NKNU/detail.action?docID=200712</t>
  </si>
  <si>
    <t>https://ebookcentral.proquest.com/lib/NKNU/detail.action?docID=200716</t>
  </si>
  <si>
    <t>https://ebookcentral.proquest.com/lib/NKNU/detail.action?docID=200725</t>
  </si>
  <si>
    <t>https://ebookcentral.proquest.com/lib/NKNU/detail.action?docID=200726</t>
  </si>
  <si>
    <t>https://ebookcentral.proquest.com/lib/NKNU/detail.action?docID=200742</t>
  </si>
  <si>
    <t>https://ebookcentral.proquest.com/lib/NKNU/detail.action?docID=200745</t>
  </si>
  <si>
    <t>https://ebookcentral.proquest.com/lib/NKNU/detail.action?docID=200773</t>
  </si>
  <si>
    <t>https://ebookcentral.proquest.com/lib/NKNU/detail.action?docID=200788</t>
  </si>
  <si>
    <t>https://ebookcentral.proquest.com/lib/NKNU/detail.action?docID=200796</t>
  </si>
  <si>
    <t>https://ebookcentral.proquest.com/lib/NKNU/detail.action?docID=200803</t>
  </si>
  <si>
    <t>https://ebookcentral.proquest.com/lib/NKNU/detail.action?docID=200822</t>
  </si>
  <si>
    <t>https://ebookcentral.proquest.com/lib/NKNU/detail.action?docID=200870</t>
  </si>
  <si>
    <t>https://ebookcentral.proquest.com/lib/NKNU/detail.action?docID=200874</t>
  </si>
  <si>
    <t>https://ebookcentral.proquest.com/lib/NKNU/detail.action?docID=200880</t>
  </si>
  <si>
    <t>https://ebookcentral.proquest.com/lib/NKNU/detail.action?docID=200898</t>
  </si>
  <si>
    <t>https://ebookcentral.proquest.com/lib/NKNU/detail.action?docID=200902</t>
  </si>
  <si>
    <t>https://ebookcentral.proquest.com/lib/NKNU/detail.action?docID=200916</t>
  </si>
  <si>
    <t>https://ebookcentral.proquest.com/lib/NKNU/detail.action?docID=200976</t>
  </si>
  <si>
    <t>https://ebookcentral.proquest.com/lib/NKNU/detail.action?docID=200984</t>
  </si>
  <si>
    <t>https://ebookcentral.proquest.com/lib/NKNU/detail.action?docID=200990</t>
  </si>
  <si>
    <t>https://ebookcentral.proquest.com/lib/NKNU/detail.action?docID=201016</t>
  </si>
  <si>
    <t>https://ebookcentral.proquest.com/lib/NKNU/detail.action?docID=201023</t>
  </si>
  <si>
    <t>https://ebookcentral.proquest.com/lib/NKNU/detail.action?docID=201037</t>
  </si>
  <si>
    <t>https://ebookcentral.proquest.com/lib/NKNU/detail.action?docID=201044</t>
  </si>
  <si>
    <t>https://ebookcentral.proquest.com/lib/NKNU/detail.action?docID=201050</t>
  </si>
  <si>
    <t>https://ebookcentral.proquest.com/lib/NKNU/detail.action?docID=201051</t>
  </si>
  <si>
    <t>https://ebookcentral.proquest.com/lib/NKNU/detail.action?docID=201055</t>
  </si>
  <si>
    <t>https://ebookcentral.proquest.com/lib/NKNU/detail.action?docID=201059</t>
  </si>
  <si>
    <t>https://ebookcentral.proquest.com/lib/NKNU/detail.action?docID=201060</t>
  </si>
  <si>
    <t>https://ebookcentral.proquest.com/lib/NKNU/detail.action?docID=201061</t>
  </si>
  <si>
    <t>https://ebookcentral.proquest.com/lib/NKNU/detail.action?docID=201064</t>
  </si>
  <si>
    <t>https://ebookcentral.proquest.com/lib/NKNU/detail.action?docID=201138</t>
  </si>
  <si>
    <t>https://ebookcentral.proquest.com/lib/NKNU/detail.action?docID=201148</t>
  </si>
  <si>
    <t>https://ebookcentral.proquest.com/lib/NKNU/detail.action?docID=201186</t>
  </si>
  <si>
    <t>https://ebookcentral.proquest.com/lib/NKNU/detail.action?docID=201209</t>
  </si>
  <si>
    <t>https://ebookcentral.proquest.com/lib/NKNU/detail.action?docID=201213</t>
  </si>
  <si>
    <t>https://ebookcentral.proquest.com/lib/NKNU/detail.action?docID=201226</t>
  </si>
  <si>
    <t>https://ebookcentral.proquest.com/lib/NKNU/detail.action?docID=201273</t>
  </si>
  <si>
    <t>https://ebookcentral.proquest.com/lib/NKNU/detail.action?docID=201287</t>
  </si>
  <si>
    <t>https://ebookcentral.proquest.com/lib/NKNU/detail.action?docID=201328</t>
  </si>
  <si>
    <t>https://ebookcentral.proquest.com/lib/NKNU/detail.action?docID=201334</t>
  </si>
  <si>
    <t>https://ebookcentral.proquest.com/lib/NKNU/detail.action?docID=201347</t>
  </si>
  <si>
    <t>https://ebookcentral.proquest.com/lib/NKNU/detail.action?docID=201350</t>
  </si>
  <si>
    <t>https://ebookcentral.proquest.com/lib/NKNU/detail.action?docID=201372</t>
  </si>
  <si>
    <t>https://ebookcentral.proquest.com/lib/NKNU/detail.action?docID=201411</t>
  </si>
  <si>
    <t>https://ebookcentral.proquest.com/lib/NKNU/detail.action?docID=201452</t>
  </si>
  <si>
    <t>https://ebookcentral.proquest.com/lib/NKNU/detail.action?docID=201510</t>
  </si>
  <si>
    <t>https://ebookcentral.proquest.com/lib/NKNU/detail.action?docID=201522</t>
  </si>
  <si>
    <t>https://ebookcentral.proquest.com/lib/NKNU/detail.action?docID=201523</t>
  </si>
  <si>
    <t>https://ebookcentral.proquest.com/lib/NKNU/detail.action?docID=201682</t>
  </si>
  <si>
    <t>https://ebookcentral.proquest.com/lib/NKNU/detail.action?docID=201744</t>
  </si>
  <si>
    <t>https://ebookcentral.proquest.com/lib/NKNU/detail.action?docID=201813</t>
  </si>
  <si>
    <t>https://ebookcentral.proquest.com/lib/NKNU/detail.action?docID=201877</t>
  </si>
  <si>
    <t>https://ebookcentral.proquest.com/lib/NKNU/detail.action?docID=201883</t>
  </si>
  <si>
    <t>https://ebookcentral.proquest.com/lib/NKNU/detail.action?docID=201922</t>
  </si>
  <si>
    <t>https://ebookcentral.proquest.com/lib/NKNU/detail.action?docID=201948</t>
  </si>
  <si>
    <t>https://ebookcentral.proquest.com/lib/NKNU/detail.action?docID=201972</t>
  </si>
  <si>
    <t>https://ebookcentral.proquest.com/lib/NKNU/detail.action?docID=201978</t>
  </si>
  <si>
    <t>https://ebookcentral.proquest.com/lib/NKNU/detail.action?docID=202017</t>
  </si>
  <si>
    <t>https://ebookcentral.proquest.com/lib/NKNU/detail.action?docID=202028</t>
  </si>
  <si>
    <t>https://ebookcentral.proquest.com/lib/NKNU/detail.action?docID=202070</t>
  </si>
  <si>
    <t>https://ebookcentral.proquest.com/lib/NKNU/detail.action?docID=202072</t>
  </si>
  <si>
    <t>https://ebookcentral.proquest.com/lib/NKNU/detail.action?docID=202073</t>
  </si>
  <si>
    <t>https://ebookcentral.proquest.com/lib/NKNU/detail.action?docID=202082</t>
  </si>
  <si>
    <t>https://ebookcentral.proquest.com/lib/NKNU/detail.action?docID=202147</t>
  </si>
  <si>
    <t>https://ebookcentral.proquest.com/lib/NKNU/detail.action?docID=202177</t>
  </si>
  <si>
    <t>https://ebookcentral.proquest.com/lib/NKNU/detail.action?docID=202209</t>
  </si>
  <si>
    <t>https://ebookcentral.proquest.com/lib/NKNU/detail.action?docID=202227</t>
  </si>
  <si>
    <t>https://ebookcentral.proquest.com/lib/NKNU/detail.action?docID=202237</t>
  </si>
  <si>
    <t>https://ebookcentral.proquest.com/lib/NKNU/detail.action?docID=202243</t>
  </si>
  <si>
    <t>https://ebookcentral.proquest.com/lib/NKNU/detail.action?docID=202297</t>
  </si>
  <si>
    <t>https://ebookcentral.proquest.com/lib/NKNU/detail.action?docID=202302</t>
  </si>
  <si>
    <t>https://ebookcentral.proquest.com/lib/NKNU/detail.action?docID=202316</t>
  </si>
  <si>
    <t>https://ebookcentral.proquest.com/lib/NKNU/detail.action?docID=202318</t>
  </si>
  <si>
    <t>https://ebookcentral.proquest.com/lib/NKNU/detail.action?docID=202354</t>
  </si>
  <si>
    <t>https://ebookcentral.proquest.com/lib/NKNU/detail.action?docID=202355</t>
  </si>
  <si>
    <t>https://ebookcentral.proquest.com/lib/NKNU/detail.action?docID=202391</t>
  </si>
  <si>
    <t>https://ebookcentral.proquest.com/lib/NKNU/detail.action?docID=202421</t>
  </si>
  <si>
    <t>https://ebookcentral.proquest.com/lib/NKNU/detail.action?docID=203613</t>
  </si>
  <si>
    <t>https://ebookcentral.proquest.com/lib/NKNU/detail.action?docID=203640</t>
  </si>
  <si>
    <t>https://ebookcentral.proquest.com/lib/NKNU/detail.action?docID=203698</t>
  </si>
  <si>
    <t>https://ebookcentral.proquest.com/lib/NKNU/detail.action?docID=203726</t>
  </si>
  <si>
    <t>https://ebookcentral.proquest.com/lib/NKNU/detail.action?docID=203741</t>
  </si>
  <si>
    <t>https://ebookcentral.proquest.com/lib/NKNU/detail.action?docID=203772</t>
  </si>
  <si>
    <t>https://ebookcentral.proquest.com/lib/NKNU/detail.action?docID=203818</t>
  </si>
  <si>
    <t>https://ebookcentral.proquest.com/lib/NKNU/detail.action?docID=203950</t>
  </si>
  <si>
    <t>https://ebookcentral.proquest.com/lib/NKNU/detail.action?docID=204078</t>
  </si>
  <si>
    <t>https://ebookcentral.proquest.com/lib/NKNU/detail.action?docID=204118</t>
  </si>
  <si>
    <t>https://ebookcentral.proquest.com/lib/NKNU/detail.action?docID=210586</t>
  </si>
  <si>
    <t>https://ebookcentral.proquest.com/lib/NKNU/detail.action?docID=214049</t>
  </si>
  <si>
    <t>https://ebookcentral.proquest.com/lib/NKNU/detail.action?docID=214050</t>
  </si>
  <si>
    <t>https://ebookcentral.proquest.com/lib/NKNU/detail.action?docID=214054</t>
  </si>
  <si>
    <t>https://ebookcentral.proquest.com/lib/NKNU/detail.action?docID=214451</t>
  </si>
  <si>
    <t>https://ebookcentral.proquest.com/lib/NKNU/detail.action?docID=214454</t>
  </si>
  <si>
    <t>https://ebookcentral.proquest.com/lib/NKNU/detail.action?docID=214528</t>
  </si>
  <si>
    <t>https://ebookcentral.proquest.com/lib/NKNU/detail.action?docID=214536</t>
  </si>
  <si>
    <t>https://ebookcentral.proquest.com/lib/NKNU/detail.action?docID=214537</t>
  </si>
  <si>
    <t>https://ebookcentral.proquest.com/lib/NKNU/detail.action?docID=214538</t>
  </si>
  <si>
    <t>https://ebookcentral.proquest.com/lib/NKNU/detail.action?docID=214552</t>
  </si>
  <si>
    <t>https://ebookcentral.proquest.com/lib/NKNU/detail.action?docID=214558</t>
  </si>
  <si>
    <t>https://ebookcentral.proquest.com/lib/NKNU/detail.action?docID=214601</t>
  </si>
  <si>
    <t>https://ebookcentral.proquest.com/lib/NKNU/detail.action?docID=214666</t>
  </si>
  <si>
    <t>https://ebookcentral.proquest.com/lib/NKNU/detail.action?docID=214706</t>
  </si>
  <si>
    <t>https://ebookcentral.proquest.com/lib/NKNU/detail.action?docID=214708</t>
  </si>
  <si>
    <t>https://ebookcentral.proquest.com/lib/NKNU/detail.action?docID=214713</t>
  </si>
  <si>
    <t>https://ebookcentral.proquest.com/lib/NKNU/detail.action?docID=214719</t>
  </si>
  <si>
    <t>https://ebookcentral.proquest.com/lib/NKNU/detail.action?docID=214737</t>
  </si>
  <si>
    <t>https://ebookcentral.proquest.com/lib/NKNU/detail.action?docID=214738</t>
  </si>
  <si>
    <t>https://ebookcentral.proquest.com/lib/NKNU/detail.action?docID=214739</t>
  </si>
  <si>
    <t>https://ebookcentral.proquest.com/lib/NKNU/detail.action?docID=214753</t>
  </si>
  <si>
    <t>https://ebookcentral.proquest.com/lib/NKNU/detail.action?docID=214759</t>
  </si>
  <si>
    <t>https://ebookcentral.proquest.com/lib/NKNU/detail.action?docID=214761</t>
  </si>
  <si>
    <t>https://ebookcentral.proquest.com/lib/NKNU/detail.action?docID=214766</t>
  </si>
  <si>
    <t>https://ebookcentral.proquest.com/lib/NKNU/detail.action?docID=214771</t>
  </si>
  <si>
    <t>https://ebookcentral.proquest.com/lib/NKNU/detail.action?docID=214776</t>
  </si>
  <si>
    <t>https://ebookcentral.proquest.com/lib/NKNU/detail.action?docID=214780</t>
  </si>
  <si>
    <t>https://ebookcentral.proquest.com/lib/NKNU/detail.action?docID=214782</t>
  </si>
  <si>
    <t>https://ebookcentral.proquest.com/lib/NKNU/detail.action?docID=214787</t>
  </si>
  <si>
    <t>https://ebookcentral.proquest.com/lib/NKNU/detail.action?docID=214791</t>
  </si>
  <si>
    <t>https://ebookcentral.proquest.com/lib/NKNU/detail.action?docID=214792</t>
  </si>
  <si>
    <t>https://ebookcentral.proquest.com/lib/NKNU/detail.action?docID=214793</t>
  </si>
  <si>
    <t>https://ebookcentral.proquest.com/lib/NKNU/detail.action?docID=214809</t>
  </si>
  <si>
    <t>https://ebookcentral.proquest.com/lib/NKNU/detail.action?docID=214810</t>
  </si>
  <si>
    <t>https://ebookcentral.proquest.com/lib/NKNU/detail.action?docID=214811</t>
  </si>
  <si>
    <t>https://ebookcentral.proquest.com/lib/NKNU/detail.action?docID=214814</t>
  </si>
  <si>
    <t>https://ebookcentral.proquest.com/lib/NKNU/detail.action?docID=214815</t>
  </si>
  <si>
    <t>https://ebookcentral.proquest.com/lib/NKNU/detail.action?docID=214816</t>
  </si>
  <si>
    <t>https://ebookcentral.proquest.com/lib/NKNU/detail.action?docID=214852</t>
  </si>
  <si>
    <t>https://ebookcentral.proquest.com/lib/NKNU/detail.action?docID=214853</t>
  </si>
  <si>
    <t>https://ebookcentral.proquest.com/lib/NKNU/detail.action?docID=214871</t>
  </si>
  <si>
    <t>https://ebookcentral.proquest.com/lib/NKNU/detail.action?docID=214910</t>
  </si>
  <si>
    <t>https://ebookcentral.proquest.com/lib/NKNU/detail.action?docID=214954</t>
  </si>
  <si>
    <t>https://ebookcentral.proquest.com/lib/NKNU/detail.action?docID=214959</t>
  </si>
  <si>
    <t>https://ebookcentral.proquest.com/lib/NKNU/detail.action?docID=215000</t>
  </si>
  <si>
    <t>https://ebookcentral.proquest.com/lib/NKNU/detail.action?docID=215002</t>
  </si>
  <si>
    <t>https://ebookcentral.proquest.com/lib/NKNU/detail.action?docID=215011</t>
  </si>
  <si>
    <t>https://ebookcentral.proquest.com/lib/NKNU/detail.action?docID=215015</t>
  </si>
  <si>
    <t>https://ebookcentral.proquest.com/lib/NKNU/detail.action?docID=215032</t>
  </si>
  <si>
    <t>https://ebookcentral.proquest.com/lib/NKNU/detail.action?docID=215917</t>
  </si>
  <si>
    <t>https://ebookcentral.proquest.com/lib/NKNU/detail.action?docID=215996</t>
  </si>
  <si>
    <t>https://ebookcentral.proquest.com/lib/NKNU/detail.action?docID=216036</t>
  </si>
  <si>
    <t>https://ebookcentral.proquest.com/lib/NKNU/detail.action?docID=216037</t>
  </si>
  <si>
    <t>https://ebookcentral.proquest.com/lib/NKNU/detail.action?docID=216053</t>
  </si>
  <si>
    <t>https://ebookcentral.proquest.com/lib/NKNU/detail.action?docID=216061</t>
  </si>
  <si>
    <t>https://ebookcentral.proquest.com/lib/NKNU/detail.action?docID=216097</t>
  </si>
  <si>
    <t>https://ebookcentral.proquest.com/lib/NKNU/detail.action?docID=216117</t>
  </si>
  <si>
    <t>https://ebookcentral.proquest.com/lib/NKNU/detail.action?docID=216129</t>
  </si>
  <si>
    <t>https://ebookcentral.proquest.com/lib/NKNU/detail.action?docID=216130</t>
  </si>
  <si>
    <t>https://ebookcentral.proquest.com/lib/NKNU/detail.action?docID=216154</t>
  </si>
  <si>
    <t>https://ebookcentral.proquest.com/lib/NKNU/detail.action?docID=216156</t>
  </si>
  <si>
    <t>https://ebookcentral.proquest.com/lib/NKNU/detail.action?docID=216166</t>
  </si>
  <si>
    <t>https://ebookcentral.proquest.com/lib/NKNU/detail.action?docID=216169</t>
  </si>
  <si>
    <t>https://ebookcentral.proquest.com/lib/NKNU/detail.action?docID=216179</t>
  </si>
  <si>
    <t>https://ebookcentral.proquest.com/lib/NKNU/detail.action?docID=216233</t>
  </si>
  <si>
    <t>https://ebookcentral.proquest.com/lib/NKNU/detail.action?docID=216236</t>
  </si>
  <si>
    <t>https://ebookcentral.proquest.com/lib/NKNU/detail.action?docID=216249</t>
  </si>
  <si>
    <t>https://ebookcentral.proquest.com/lib/NKNU/detail.action?docID=216294</t>
  </si>
  <si>
    <t>https://ebookcentral.proquest.com/lib/NKNU/detail.action?docID=216295</t>
  </si>
  <si>
    <t>https://ebookcentral.proquest.com/lib/NKNU/detail.action?docID=216296</t>
  </si>
  <si>
    <t>https://ebookcentral.proquest.com/lib/NKNU/detail.action?docID=216313</t>
  </si>
  <si>
    <t>https://ebookcentral.proquest.com/lib/NKNU/detail.action?docID=216341</t>
  </si>
  <si>
    <t>https://ebookcentral.proquest.com/lib/NKNU/detail.action?docID=216349</t>
  </si>
  <si>
    <t>https://ebookcentral.proquest.com/lib/NKNU/detail.action?docID=216350</t>
  </si>
  <si>
    <t>https://ebookcentral.proquest.com/lib/NKNU/detail.action?docID=216351</t>
  </si>
  <si>
    <t>https://ebookcentral.proquest.com/lib/NKNU/detail.action?docID=216399</t>
  </si>
  <si>
    <t>https://ebookcentral.proquest.com/lib/NKNU/detail.action?docID=216417</t>
  </si>
  <si>
    <t>https://ebookcentral.proquest.com/lib/NKNU/detail.action?docID=216432</t>
  </si>
  <si>
    <t>https://ebookcentral.proquest.com/lib/NKNU/detail.action?docID=216465</t>
  </si>
  <si>
    <t>https://ebookcentral.proquest.com/lib/NKNU/detail.action?docID=216496</t>
  </si>
  <si>
    <t>https://ebookcentral.proquest.com/lib/NKNU/detail.action?docID=216497</t>
  </si>
  <si>
    <t>https://ebookcentral.proquest.com/lib/NKNU/detail.action?docID=216499</t>
  </si>
  <si>
    <t>https://ebookcentral.proquest.com/lib/NKNU/detail.action?docID=216505</t>
  </si>
  <si>
    <t>https://ebookcentral.proquest.com/lib/NKNU/detail.action?docID=216508</t>
  </si>
  <si>
    <t>https://ebookcentral.proquest.com/lib/NKNU/detail.action?docID=216519</t>
  </si>
  <si>
    <t>https://ebookcentral.proquest.com/lib/NKNU/detail.action?docID=216548</t>
  </si>
  <si>
    <t>https://ebookcentral.proquest.com/lib/NKNU/detail.action?docID=216703</t>
  </si>
  <si>
    <t>https://ebookcentral.proquest.com/lib/NKNU/detail.action?docID=217709</t>
  </si>
  <si>
    <t>https://ebookcentral.proquest.com/lib/NKNU/detail.action?docID=217746</t>
  </si>
  <si>
    <t>https://ebookcentral.proquest.com/lib/NKNU/detail.action?docID=217749</t>
  </si>
  <si>
    <t>https://ebookcentral.proquest.com/lib/NKNU/detail.action?docID=217816</t>
  </si>
  <si>
    <t>https://ebookcentral.proquest.com/lib/NKNU/detail.action?docID=217845</t>
  </si>
  <si>
    <t>https://ebookcentral.proquest.com/lib/NKNU/detail.action?docID=217852</t>
  </si>
  <si>
    <t>https://ebookcentral.proquest.com/lib/NKNU/detail.action?docID=217860</t>
  </si>
  <si>
    <t>https://ebookcentral.proquest.com/lib/NKNU/detail.action?docID=217883</t>
  </si>
  <si>
    <t>https://ebookcentral.proquest.com/lib/NKNU/detail.action?docID=217886</t>
  </si>
  <si>
    <t>https://ebookcentral.proquest.com/lib/NKNU/detail.action?docID=217892</t>
  </si>
  <si>
    <t>https://ebookcentral.proquest.com/lib/NKNU/detail.action?docID=217893</t>
  </si>
  <si>
    <t>https://ebookcentral.proquest.com/lib/NKNU/detail.action?docID=217909</t>
  </si>
  <si>
    <t>https://ebookcentral.proquest.com/lib/NKNU/detail.action?docID=217930</t>
  </si>
  <si>
    <t>https://ebookcentral.proquest.com/lib/NKNU/detail.action?docID=217964</t>
  </si>
  <si>
    <t>https://ebookcentral.proquest.com/lib/NKNU/detail.action?docID=217971</t>
  </si>
  <si>
    <t>https://ebookcentral.proquest.com/lib/NKNU/detail.action?docID=217990</t>
  </si>
  <si>
    <t>https://ebookcentral.proquest.com/lib/NKNU/detail.action?docID=217992</t>
  </si>
  <si>
    <t>https://ebookcentral.proquest.com/lib/NKNU/detail.action?docID=217995</t>
  </si>
  <si>
    <t>https://ebookcentral.proquest.com/lib/NKNU/detail.action?docID=218002</t>
  </si>
  <si>
    <t>https://ebookcentral.proquest.com/lib/NKNU/detail.action?docID=218007</t>
  </si>
  <si>
    <t>https://ebookcentral.proquest.com/lib/NKNU/detail.action?docID=218045</t>
  </si>
  <si>
    <t>https://ebookcentral.proquest.com/lib/NKNU/detail.action?docID=218092</t>
  </si>
  <si>
    <t>https://ebookcentral.proquest.com/lib/NKNU/detail.action?docID=218107</t>
  </si>
  <si>
    <t>https://ebookcentral.proquest.com/lib/NKNU/detail.action?docID=218123</t>
  </si>
  <si>
    <t>https://ebookcentral.proquest.com/lib/NKNU/detail.action?docID=218128</t>
  </si>
  <si>
    <t>https://ebookcentral.proquest.com/lib/NKNU/detail.action?docID=218134</t>
  </si>
  <si>
    <t>https://ebookcentral.proquest.com/lib/NKNU/detail.action?docID=218137</t>
  </si>
  <si>
    <t>https://ebookcentral.proquest.com/lib/NKNU/detail.action?docID=218153</t>
  </si>
  <si>
    <t>https://ebookcentral.proquest.com/lib/NKNU/detail.action?docID=218160</t>
  </si>
  <si>
    <t>https://ebookcentral.proquest.com/lib/NKNU/detail.action?docID=218181</t>
  </si>
  <si>
    <t>https://ebookcentral.proquest.com/lib/NKNU/detail.action?docID=218183</t>
  </si>
  <si>
    <t>https://ebookcentral.proquest.com/lib/NKNU/detail.action?docID=218196</t>
  </si>
  <si>
    <t>https://ebookcentral.proquest.com/lib/NKNU/detail.action?docID=218214</t>
  </si>
  <si>
    <t>https://ebookcentral.proquest.com/lib/NKNU/detail.action?docID=218218</t>
  </si>
  <si>
    <t>https://ebookcentral.proquest.com/lib/NKNU/detail.action?docID=218229</t>
  </si>
  <si>
    <t>https://ebookcentral.proquest.com/lib/NKNU/detail.action?docID=218284</t>
  </si>
  <si>
    <t>https://ebookcentral.proquest.com/lib/NKNU/detail.action?docID=218294</t>
  </si>
  <si>
    <t>https://ebookcentral.proquest.com/lib/NKNU/detail.action?docID=218297</t>
  </si>
  <si>
    <t>https://ebookcentral.proquest.com/lib/NKNU/detail.action?docID=219903</t>
  </si>
  <si>
    <t>https://ebookcentral.proquest.com/lib/NKNU/detail.action?docID=219951</t>
  </si>
  <si>
    <t>https://ebookcentral.proquest.com/lib/NKNU/detail.action?docID=219971</t>
  </si>
  <si>
    <t>https://ebookcentral.proquest.com/lib/NKNU/detail.action?docID=219984</t>
  </si>
  <si>
    <t>https://ebookcentral.proquest.com/lib/NKNU/detail.action?docID=220159</t>
  </si>
  <si>
    <t>https://ebookcentral.proquest.com/lib/NKNU/detail.action?docID=220202</t>
  </si>
  <si>
    <t>https://ebookcentral.proquest.com/lib/NKNU/detail.action?docID=220205</t>
  </si>
  <si>
    <t>https://ebookcentral.proquest.com/lib/NKNU/detail.action?docID=220282</t>
  </si>
  <si>
    <t>https://ebookcentral.proquest.com/lib/NKNU/detail.action?docID=220297</t>
  </si>
  <si>
    <t>https://ebookcentral.proquest.com/lib/NKNU/detail.action?docID=220325</t>
  </si>
  <si>
    <t>https://ebookcentral.proquest.com/lib/NKNU/detail.action?docID=220433</t>
  </si>
  <si>
    <t>https://ebookcentral.proquest.com/lib/NKNU/detail.action?docID=220434</t>
  </si>
  <si>
    <t>https://ebookcentral.proquest.com/lib/NKNU/detail.action?docID=220450</t>
  </si>
  <si>
    <t>https://ebookcentral.proquest.com/lib/NKNU/detail.action?docID=220455</t>
  </si>
  <si>
    <t>https://ebookcentral.proquest.com/lib/NKNU/detail.action?docID=221120</t>
  </si>
  <si>
    <t>https://ebookcentral.proquest.com/lib/NKNU/detail.action?docID=221167</t>
  </si>
  <si>
    <t>https://ebookcentral.proquest.com/lib/NKNU/detail.action?docID=221191</t>
  </si>
  <si>
    <t>https://ebookcentral.proquest.com/lib/NKNU/detail.action?docID=221205</t>
  </si>
  <si>
    <t>https://ebookcentral.proquest.com/lib/NKNU/detail.action?docID=221372</t>
  </si>
  <si>
    <t>https://ebookcentral.proquest.com/lib/NKNU/detail.action?docID=222488</t>
  </si>
  <si>
    <t>https://ebookcentral.proquest.com/lib/NKNU/detail.action?docID=225292</t>
  </si>
  <si>
    <t>https://ebookcentral.proquest.com/lib/NKNU/detail.action?docID=225296</t>
  </si>
  <si>
    <t>https://ebookcentral.proquest.com/lib/NKNU/detail.action?docID=225368</t>
  </si>
  <si>
    <t>https://ebookcentral.proquest.com/lib/NKNU/detail.action?docID=225371</t>
  </si>
  <si>
    <t>https://ebookcentral.proquest.com/lib/NKNU/detail.action?docID=225379</t>
  </si>
  <si>
    <t>https://ebookcentral.proquest.com/lib/NKNU/detail.action?docID=225389</t>
  </si>
  <si>
    <t>https://ebookcentral.proquest.com/lib/NKNU/detail.action?docID=225390</t>
  </si>
  <si>
    <t>https://ebookcentral.proquest.com/lib/NKNU/detail.action?docID=225695</t>
  </si>
  <si>
    <t>https://ebookcentral.proquest.com/lib/NKNU/detail.action?docID=225706</t>
  </si>
  <si>
    <t>https://ebookcentral.proquest.com/lib/NKNU/detail.action?docID=227074</t>
  </si>
  <si>
    <t>https://ebookcentral.proquest.com/lib/NKNU/detail.action?docID=227142</t>
  </si>
  <si>
    <t>https://ebookcentral.proquest.com/lib/NKNU/detail.action?docID=227144</t>
  </si>
  <si>
    <t>https://ebookcentral.proquest.com/lib/NKNU/detail.action?docID=227350</t>
  </si>
  <si>
    <t>https://ebookcentral.proquest.com/lib/NKNU/detail.action?docID=227571</t>
  </si>
  <si>
    <t>https://ebookcentral.proquest.com/lib/NKNU/detail.action?docID=227572</t>
  </si>
  <si>
    <t>https://ebookcentral.proquest.com/lib/NKNU/detail.action?docID=227824</t>
  </si>
  <si>
    <t>https://ebookcentral.proquest.com/lib/NKNU/detail.action?docID=228243</t>
  </si>
  <si>
    <t>https://ebookcentral.proquest.com/lib/NKNU/detail.action?docID=228246</t>
  </si>
  <si>
    <t>https://ebookcentral.proquest.com/lib/NKNU/detail.action?docID=228251</t>
  </si>
  <si>
    <t>https://ebookcentral.proquest.com/lib/NKNU/detail.action?docID=228254</t>
  </si>
  <si>
    <t>https://ebookcentral.proquest.com/lib/NKNU/detail.action?docID=228256</t>
  </si>
  <si>
    <t>https://ebookcentral.proquest.com/lib/NKNU/detail.action?docID=228257</t>
  </si>
  <si>
    <t>https://ebookcentral.proquest.com/lib/NKNU/detail.action?docID=228269</t>
  </si>
  <si>
    <t>https://ebookcentral.proquest.com/lib/NKNU/detail.action?docID=228271</t>
  </si>
  <si>
    <t>https://ebookcentral.proquest.com/lib/NKNU/detail.action?docID=228280</t>
  </si>
  <si>
    <t>https://ebookcentral.proquest.com/lib/NKNU/detail.action?docID=228285</t>
  </si>
  <si>
    <t>https://ebookcentral.proquest.com/lib/NKNU/detail.action?docID=228301</t>
  </si>
  <si>
    <t>https://ebookcentral.proquest.com/lib/NKNU/detail.action?docID=228306</t>
  </si>
  <si>
    <t>https://ebookcentral.proquest.com/lib/NKNU/detail.action?docID=228308</t>
  </si>
  <si>
    <t>https://ebookcentral.proquest.com/lib/NKNU/detail.action?docID=228310</t>
  </si>
  <si>
    <t>https://ebookcentral.proquest.com/lib/NKNU/detail.action?docID=228359</t>
  </si>
  <si>
    <t>https://ebookcentral.proquest.com/lib/NKNU/detail.action?docID=228369</t>
  </si>
  <si>
    <t>https://ebookcentral.proquest.com/lib/NKNU/detail.action?docID=228373</t>
  </si>
  <si>
    <t>https://ebookcentral.proquest.com/lib/NKNU/detail.action?docID=228381</t>
  </si>
  <si>
    <t>https://ebookcentral.proquest.com/lib/NKNU/detail.action?docID=228389</t>
  </si>
  <si>
    <t>https://ebookcentral.proquest.com/lib/NKNU/detail.action?docID=228390</t>
  </si>
  <si>
    <t>https://ebookcentral.proquest.com/lib/NKNU/detail.action?docID=228454</t>
  </si>
  <si>
    <t>https://ebookcentral.proquest.com/lib/NKNU/detail.action?docID=228532</t>
  </si>
  <si>
    <t>https://ebookcentral.proquest.com/lib/NKNU/detail.action?docID=228565</t>
  </si>
  <si>
    <t>https://ebookcentral.proquest.com/lib/NKNU/detail.action?docID=228576</t>
  </si>
  <si>
    <t>https://ebookcentral.proquest.com/lib/NKNU/detail.action?docID=228772</t>
  </si>
  <si>
    <t>https://ebookcentral.proquest.com/lib/NKNU/detail.action?docID=228792</t>
  </si>
  <si>
    <t>https://ebookcentral.proquest.com/lib/NKNU/detail.action?docID=228806</t>
  </si>
  <si>
    <t>https://ebookcentral.proquest.com/lib/NKNU/detail.action?docID=228807</t>
  </si>
  <si>
    <t>https://ebookcentral.proquest.com/lib/NKNU/detail.action?docID=228809</t>
  </si>
  <si>
    <t>https://ebookcentral.proquest.com/lib/NKNU/detail.action?docID=228818</t>
  </si>
  <si>
    <t>https://ebookcentral.proquest.com/lib/NKNU/detail.action?docID=228839</t>
  </si>
  <si>
    <t>https://ebookcentral.proquest.com/lib/NKNU/detail.action?docID=228847</t>
  </si>
  <si>
    <t>https://ebookcentral.proquest.com/lib/NKNU/detail.action?docID=228848</t>
  </si>
  <si>
    <t>https://ebookcentral.proquest.com/lib/NKNU/detail.action?docID=228858</t>
  </si>
  <si>
    <t>https://ebookcentral.proquest.com/lib/NKNU/detail.action?docID=228859</t>
  </si>
  <si>
    <t>https://ebookcentral.proquest.com/lib/NKNU/detail.action?docID=228866</t>
  </si>
  <si>
    <t>https://ebookcentral.proquest.com/lib/NKNU/detail.action?docID=228868</t>
  </si>
  <si>
    <t>https://ebookcentral.proquest.com/lib/NKNU/detail.action?docID=228873</t>
  </si>
  <si>
    <t>https://ebookcentral.proquest.com/lib/NKNU/detail.action?docID=228875</t>
  </si>
  <si>
    <t>https://ebookcentral.proquest.com/lib/NKNU/detail.action?docID=228881</t>
  </si>
  <si>
    <t>https://ebookcentral.proquest.com/lib/NKNU/detail.action?docID=228889</t>
  </si>
  <si>
    <t>https://ebookcentral.proquest.com/lib/NKNU/detail.action?docID=231561</t>
  </si>
  <si>
    <t>https://ebookcentral.proquest.com/lib/NKNU/detail.action?docID=231619</t>
  </si>
  <si>
    <t>https://ebookcentral.proquest.com/lib/NKNU/detail.action?docID=231653</t>
  </si>
  <si>
    <t>https://ebookcentral.proquest.com/lib/NKNU/detail.action?docID=231832</t>
  </si>
  <si>
    <t>https://ebookcentral.proquest.com/lib/NKNU/detail.action?docID=232108</t>
  </si>
  <si>
    <t>https://ebookcentral.proquest.com/lib/NKNU/detail.action?docID=232123</t>
  </si>
  <si>
    <t>https://ebookcentral.proquest.com/lib/NKNU/detail.action?docID=232125</t>
  </si>
  <si>
    <t>https://ebookcentral.proquest.com/lib/NKNU/detail.action?docID=232130</t>
  </si>
  <si>
    <t>https://ebookcentral.proquest.com/lib/NKNU/detail.action?docID=232135</t>
  </si>
  <si>
    <t>https://ebookcentral.proquest.com/lib/NKNU/detail.action?docID=232174</t>
  </si>
  <si>
    <t>https://ebookcentral.proquest.com/lib/NKNU/detail.action?docID=232194</t>
  </si>
  <si>
    <t>https://ebookcentral.proquest.com/lib/NKNU/detail.action?docID=232308</t>
  </si>
  <si>
    <t>https://ebookcentral.proquest.com/lib/NKNU/detail.action?docID=232311</t>
  </si>
  <si>
    <t>https://ebookcentral.proquest.com/lib/NKNU/detail.action?docID=232343</t>
  </si>
  <si>
    <t>https://ebookcentral.proquest.com/lib/NKNU/detail.action?docID=232849</t>
  </si>
  <si>
    <t>https://ebookcentral.proquest.com/lib/NKNU/detail.action?docID=233040</t>
  </si>
  <si>
    <t>https://ebookcentral.proquest.com/lib/NKNU/detail.action?docID=233050</t>
  </si>
  <si>
    <t>https://ebookcentral.proquest.com/lib/NKNU/detail.action?docID=233114</t>
  </si>
  <si>
    <t>https://ebookcentral.proquest.com/lib/NKNU/detail.action?docID=233140</t>
  </si>
  <si>
    <t>https://ebookcentral.proquest.com/lib/NKNU/detail.action?docID=233917</t>
  </si>
  <si>
    <t>https://ebookcentral.proquest.com/lib/NKNU/detail.action?docID=234183</t>
  </si>
  <si>
    <t>https://ebookcentral.proquest.com/lib/NKNU/detail.action?docID=234531</t>
  </si>
  <si>
    <t>https://ebookcentral.proquest.com/lib/NKNU/detail.action?docID=234943</t>
  </si>
  <si>
    <t>https://ebookcentral.proquest.com/lib/NKNU/detail.action?docID=234994</t>
  </si>
  <si>
    <t>https://ebookcentral.proquest.com/lib/NKNU/detail.action?docID=235019</t>
  </si>
  <si>
    <t>https://ebookcentral.proquest.com/lib/NKNU/detail.action?docID=235025</t>
  </si>
  <si>
    <t>https://ebookcentral.proquest.com/lib/NKNU/detail.action?docID=235029</t>
  </si>
  <si>
    <t>https://ebookcentral.proquest.com/lib/NKNU/detail.action?docID=235030</t>
  </si>
  <si>
    <t>https://ebookcentral.proquest.com/lib/NKNU/detail.action?docID=235031</t>
  </si>
  <si>
    <t>https://ebookcentral.proquest.com/lib/NKNU/detail.action?docID=235034</t>
  </si>
  <si>
    <t>https://ebookcentral.proquest.com/lib/NKNU/detail.action?docID=235036</t>
  </si>
  <si>
    <t>https://ebookcentral.proquest.com/lib/NKNU/detail.action?docID=235037</t>
  </si>
  <si>
    <t>https://ebookcentral.proquest.com/lib/NKNU/detail.action?docID=235040</t>
  </si>
  <si>
    <t>https://ebookcentral.proquest.com/lib/NKNU/detail.action?docID=235043</t>
  </si>
  <si>
    <t>https://ebookcentral.proquest.com/lib/NKNU/detail.action?docID=235050</t>
  </si>
  <si>
    <t>https://ebookcentral.proquest.com/lib/NKNU/detail.action?docID=235051</t>
  </si>
  <si>
    <t>https://ebookcentral.proquest.com/lib/NKNU/detail.action?docID=235052</t>
  </si>
  <si>
    <t>https://ebookcentral.proquest.com/lib/NKNU/detail.action?docID=235084</t>
  </si>
  <si>
    <t>https://ebookcentral.proquest.com/lib/NKNU/detail.action?docID=235099</t>
  </si>
  <si>
    <t>https://ebookcentral.proquest.com/lib/NKNU/detail.action?docID=235100</t>
  </si>
  <si>
    <t>https://ebookcentral.proquest.com/lib/NKNU/detail.action?docID=235110</t>
  </si>
  <si>
    <t>https://ebookcentral.proquest.com/lib/NKNU/detail.action?docID=235113</t>
  </si>
  <si>
    <t>https://ebookcentral.proquest.com/lib/NKNU/detail.action?docID=235118</t>
  </si>
  <si>
    <t>https://ebookcentral.proquest.com/lib/NKNU/detail.action?docID=235140</t>
  </si>
  <si>
    <t>https://ebookcentral.proquest.com/lib/NKNU/detail.action?docID=235149</t>
  </si>
  <si>
    <t>https://ebookcentral.proquest.com/lib/NKNU/detail.action?docID=235172</t>
  </si>
  <si>
    <t>https://ebookcentral.proquest.com/lib/NKNU/detail.action?docID=235213</t>
  </si>
  <si>
    <t>https://ebookcentral.proquest.com/lib/NKNU/detail.action?docID=235218</t>
  </si>
  <si>
    <t>https://ebookcentral.proquest.com/lib/NKNU/detail.action?docID=235237</t>
  </si>
  <si>
    <t>https://ebookcentral.proquest.com/lib/NKNU/detail.action?docID=235238</t>
  </si>
  <si>
    <t>https://ebookcentral.proquest.com/lib/NKNU/detail.action?docID=235244</t>
  </si>
  <si>
    <t>https://ebookcentral.proquest.com/lib/NKNU/detail.action?docID=235249</t>
  </si>
  <si>
    <t>https://ebookcentral.proquest.com/lib/NKNU/detail.action?docID=235288</t>
  </si>
  <si>
    <t>https://ebookcentral.proquest.com/lib/NKNU/detail.action?docID=235289</t>
  </si>
  <si>
    <t>https://ebookcentral.proquest.com/lib/NKNU/detail.action?docID=235313</t>
  </si>
  <si>
    <t>https://ebookcentral.proquest.com/lib/NKNU/detail.action?docID=235345</t>
  </si>
  <si>
    <t>https://ebookcentral.proquest.com/lib/NKNU/detail.action?docID=235371</t>
  </si>
  <si>
    <t>https://ebookcentral.proquest.com/lib/NKNU/detail.action?docID=235396</t>
  </si>
  <si>
    <t>https://ebookcentral.proquest.com/lib/NKNU/detail.action?docID=235401</t>
  </si>
  <si>
    <t>https://ebookcentral.proquest.com/lib/NKNU/detail.action?docID=235406</t>
  </si>
  <si>
    <t>https://ebookcentral.proquest.com/lib/NKNU/detail.action?docID=236236</t>
  </si>
  <si>
    <t>https://ebookcentral.proquest.com/lib/NKNU/detail.action?docID=236274</t>
  </si>
  <si>
    <t>https://ebookcentral.proquest.com/lib/NKNU/detail.action?docID=236590</t>
  </si>
  <si>
    <t>https://ebookcentral.proquest.com/lib/NKNU/detail.action?docID=236834</t>
  </si>
  <si>
    <t>https://ebookcentral.proquest.com/lib/NKNU/detail.action?docID=237250</t>
  </si>
  <si>
    <t>https://ebookcentral.proquest.com/lib/NKNU/detail.action?docID=237251</t>
  </si>
  <si>
    <t>https://ebookcentral.proquest.com/lib/NKNU/detail.action?docID=237253</t>
  </si>
  <si>
    <t>https://ebookcentral.proquest.com/lib/NKNU/detail.action?docID=237257</t>
  </si>
  <si>
    <t>https://ebookcentral.proquest.com/lib/NKNU/detail.action?docID=237259</t>
  </si>
  <si>
    <t>https://ebookcentral.proquest.com/lib/NKNU/detail.action?docID=237287</t>
  </si>
  <si>
    <t>https://ebookcentral.proquest.com/lib/NKNU/detail.action?docID=237293</t>
  </si>
  <si>
    <t>https://ebookcentral.proquest.com/lib/NKNU/detail.action?docID=237328</t>
  </si>
  <si>
    <t>https://ebookcentral.proquest.com/lib/NKNU/detail.action?docID=237342</t>
  </si>
  <si>
    <t>https://ebookcentral.proquest.com/lib/NKNU/detail.action?docID=237344</t>
  </si>
  <si>
    <t>https://ebookcentral.proquest.com/lib/NKNU/detail.action?docID=237366</t>
  </si>
  <si>
    <t>https://ebookcentral.proquest.com/lib/NKNU/detail.action?docID=237371</t>
  </si>
  <si>
    <t>https://ebookcentral.proquest.com/lib/NKNU/detail.action?docID=237580</t>
  </si>
  <si>
    <t>https://ebookcentral.proquest.com/lib/NKNU/detail.action?docID=237593</t>
  </si>
  <si>
    <t>https://ebookcentral.proquest.com/lib/NKNU/detail.action?docID=237613</t>
  </si>
  <si>
    <t>https://ebookcentral.proquest.com/lib/NKNU/detail.action?docID=237615</t>
  </si>
  <si>
    <t>https://ebookcentral.proquest.com/lib/NKNU/detail.action?docID=238208</t>
  </si>
  <si>
    <t>https://ebookcentral.proquest.com/lib/NKNU/detail.action?docID=238269</t>
  </si>
  <si>
    <t>https://ebookcentral.proquest.com/lib/NKNU/detail.action?docID=238293</t>
  </si>
  <si>
    <t>https://ebookcentral.proquest.com/lib/NKNU/detail.action?docID=238299</t>
  </si>
  <si>
    <t>https://ebookcentral.proquest.com/lib/NKNU/detail.action?docID=238316</t>
  </si>
  <si>
    <t>https://ebookcentral.proquest.com/lib/NKNU/detail.action?docID=238334</t>
  </si>
  <si>
    <t>https://ebookcentral.proquest.com/lib/NKNU/detail.action?docID=238402</t>
  </si>
  <si>
    <t>https://ebookcentral.proquest.com/lib/NKNU/detail.action?docID=238677</t>
  </si>
  <si>
    <t>https://ebookcentral.proquest.com/lib/NKNU/detail.action?docID=238876</t>
  </si>
  <si>
    <t>https://ebookcentral.proquest.com/lib/NKNU/detail.action?docID=239179</t>
  </si>
  <si>
    <t>https://ebookcentral.proquest.com/lib/NKNU/detail.action?docID=239182</t>
  </si>
  <si>
    <t>https://ebookcentral.proquest.com/lib/NKNU/detail.action?docID=239183</t>
  </si>
  <si>
    <t>https://ebookcentral.proquest.com/lib/NKNU/detail.action?docID=239192</t>
  </si>
  <si>
    <t>https://ebookcentral.proquest.com/lib/NKNU/detail.action?docID=239208</t>
  </si>
  <si>
    <t>https://ebookcentral.proquest.com/lib/NKNU/detail.action?docID=239209</t>
  </si>
  <si>
    <t>https://ebookcentral.proquest.com/lib/NKNU/detail.action?docID=239803</t>
  </si>
  <si>
    <t>https://ebookcentral.proquest.com/lib/NKNU/detail.action?docID=239815</t>
  </si>
  <si>
    <t>https://ebookcentral.proquest.com/lib/NKNU/detail.action?docID=239840</t>
  </si>
  <si>
    <t>https://ebookcentral.proquest.com/lib/NKNU/detail.action?docID=239867</t>
  </si>
  <si>
    <t>https://ebookcentral.proquest.com/lib/NKNU/detail.action?docID=239899</t>
  </si>
  <si>
    <t>https://ebookcentral.proquest.com/lib/NKNU/detail.action?docID=240105</t>
  </si>
  <si>
    <t>https://ebookcentral.proquest.com/lib/NKNU/detail.action?docID=240174</t>
  </si>
  <si>
    <t>https://ebookcentral.proquest.com/lib/NKNU/detail.action?docID=240179</t>
  </si>
  <si>
    <t>https://ebookcentral.proquest.com/lib/NKNU/detail.action?docID=240214</t>
  </si>
  <si>
    <t>https://ebookcentral.proquest.com/lib/NKNU/detail.action?docID=240229</t>
  </si>
  <si>
    <t>https://ebookcentral.proquest.com/lib/NKNU/detail.action?docID=240232</t>
  </si>
  <si>
    <t>https://ebookcentral.proquest.com/lib/NKNU/detail.action?docID=240238</t>
  </si>
  <si>
    <t>https://ebookcentral.proquest.com/lib/NKNU/detail.action?docID=240264</t>
  </si>
  <si>
    <t>https://ebookcentral.proquest.com/lib/NKNU/detail.action?docID=240267</t>
  </si>
  <si>
    <t>https://ebookcentral.proquest.com/lib/NKNU/detail.action?docID=240277</t>
  </si>
  <si>
    <t>https://ebookcentral.proquest.com/lib/NKNU/detail.action?docID=240278</t>
  </si>
  <si>
    <t>https://ebookcentral.proquest.com/lib/NKNU/detail.action?docID=240288</t>
  </si>
  <si>
    <t>https://ebookcentral.proquest.com/lib/NKNU/detail.action?docID=240297</t>
  </si>
  <si>
    <t>https://ebookcentral.proquest.com/lib/NKNU/detail.action?docID=240338</t>
  </si>
  <si>
    <t>https://ebookcentral.proquest.com/lib/NKNU/detail.action?docID=240348</t>
  </si>
  <si>
    <t>https://ebookcentral.proquest.com/lib/NKNU/detail.action?docID=240349</t>
  </si>
  <si>
    <t>https://ebookcentral.proquest.com/lib/NKNU/detail.action?docID=240379</t>
  </si>
  <si>
    <t>https://ebookcentral.proquest.com/lib/NKNU/detail.action?docID=240391</t>
  </si>
  <si>
    <t>https://ebookcentral.proquest.com/lib/NKNU/detail.action?docID=240399</t>
  </si>
  <si>
    <t>https://ebookcentral.proquest.com/lib/NKNU/detail.action?docID=240408</t>
  </si>
  <si>
    <t>https://ebookcentral.proquest.com/lib/NKNU/detail.action?docID=240418</t>
  </si>
  <si>
    <t>https://ebookcentral.proquest.com/lib/NKNU/detail.action?docID=240452</t>
  </si>
  <si>
    <t>https://ebookcentral.proquest.com/lib/NKNU/detail.action?docID=240466</t>
  </si>
  <si>
    <t>https://ebookcentral.proquest.com/lib/NKNU/detail.action?docID=240490</t>
  </si>
  <si>
    <t>https://ebookcentral.proquest.com/lib/NKNU/detail.action?docID=240501</t>
  </si>
  <si>
    <t>https://ebookcentral.proquest.com/lib/NKNU/detail.action?docID=240508</t>
  </si>
  <si>
    <t>https://ebookcentral.proquest.com/lib/NKNU/detail.action?docID=240542</t>
  </si>
  <si>
    <t>https://ebookcentral.proquest.com/lib/NKNU/detail.action?docID=240557</t>
  </si>
  <si>
    <t>https://ebookcentral.proquest.com/lib/NKNU/detail.action?docID=240578</t>
  </si>
  <si>
    <t>https://ebookcentral.proquest.com/lib/NKNU/detail.action?docID=240592</t>
  </si>
  <si>
    <t>https://ebookcentral.proquest.com/lib/NKNU/detail.action?docID=240643</t>
  </si>
  <si>
    <t>https://ebookcentral.proquest.com/lib/NKNU/detail.action?docID=240659</t>
  </si>
  <si>
    <t>https://ebookcentral.proquest.com/lib/NKNU/detail.action?docID=240674</t>
  </si>
  <si>
    <t>https://ebookcentral.proquest.com/lib/NKNU/detail.action?docID=240677</t>
  </si>
  <si>
    <t>https://ebookcentral.proquest.com/lib/NKNU/detail.action?docID=240681</t>
  </si>
  <si>
    <t>https://ebookcentral.proquest.com/lib/NKNU/detail.action?docID=240809</t>
  </si>
  <si>
    <t>https://ebookcentral.proquest.com/lib/NKNU/detail.action?docID=240854</t>
  </si>
  <si>
    <t>https://ebookcentral.proquest.com/lib/NKNU/detail.action?docID=240875</t>
  </si>
  <si>
    <t>https://ebookcentral.proquest.com/lib/NKNU/detail.action?docID=241101</t>
  </si>
  <si>
    <t>https://ebookcentral.proquest.com/lib/NKNU/detail.action?docID=241103</t>
  </si>
  <si>
    <t>https://ebookcentral.proquest.com/lib/NKNU/detail.action?docID=241245</t>
  </si>
  <si>
    <t>https://ebookcentral.proquest.com/lib/NKNU/detail.action?docID=241247</t>
  </si>
  <si>
    <t>https://ebookcentral.proquest.com/lib/NKNU/detail.action?docID=241256</t>
  </si>
  <si>
    <t>https://ebookcentral.proquest.com/lib/NKNU/detail.action?docID=241360</t>
  </si>
  <si>
    <t>https://ebookcentral.proquest.com/lib/NKNU/detail.action?docID=241378</t>
  </si>
  <si>
    <t>https://ebookcentral.proquest.com/lib/NKNU/detail.action?docID=241395</t>
  </si>
  <si>
    <t>https://ebookcentral.proquest.com/lib/NKNU/detail.action?docID=241397</t>
  </si>
  <si>
    <t>https://ebookcentral.proquest.com/lib/NKNU/detail.action?docID=241403</t>
  </si>
  <si>
    <t>https://ebookcentral.proquest.com/lib/NKNU/detail.action?docID=241411</t>
  </si>
  <si>
    <t>https://ebookcentral.proquest.com/lib/NKNU/detail.action?docID=241511</t>
  </si>
  <si>
    <t>https://ebookcentral.proquest.com/lib/NKNU/detail.action?docID=241620</t>
  </si>
  <si>
    <t>https://ebookcentral.proquest.com/lib/NKNU/detail.action?docID=241689</t>
  </si>
  <si>
    <t>https://ebookcentral.proquest.com/lib/NKNU/detail.action?docID=241724</t>
  </si>
  <si>
    <t>https://ebookcentral.proquest.com/lib/NKNU/detail.action?docID=241737</t>
  </si>
  <si>
    <t>https://ebookcentral.proquest.com/lib/NKNU/detail.action?docID=241740</t>
  </si>
  <si>
    <t>https://ebookcentral.proquest.com/lib/NKNU/detail.action?docID=241772</t>
  </si>
  <si>
    <t>https://ebookcentral.proquest.com/lib/NKNU/detail.action?docID=241791</t>
  </si>
  <si>
    <t>https://ebookcentral.proquest.com/lib/NKNU/detail.action?docID=241792</t>
  </si>
  <si>
    <t>https://ebookcentral.proquest.com/lib/NKNU/detail.action?docID=241793</t>
  </si>
  <si>
    <t>https://ebookcentral.proquest.com/lib/NKNU/detail.action?docID=241807</t>
  </si>
  <si>
    <t>https://ebookcentral.proquest.com/lib/NKNU/detail.action?docID=241829</t>
  </si>
  <si>
    <t>https://ebookcentral.proquest.com/lib/NKNU/detail.action?docID=241833</t>
  </si>
  <si>
    <t>https://ebookcentral.proquest.com/lib/NKNU/detail.action?docID=241856</t>
  </si>
  <si>
    <t>https://ebookcentral.proquest.com/lib/NKNU/detail.action?docID=241874</t>
  </si>
  <si>
    <t>https://ebookcentral.proquest.com/lib/NKNU/detail.action?docID=241877</t>
  </si>
  <si>
    <t>https://ebookcentral.proquest.com/lib/NKNU/detail.action?docID=241889</t>
  </si>
  <si>
    <t>https://ebookcentral.proquest.com/lib/NKNU/detail.action?docID=241900</t>
  </si>
  <si>
    <t>https://ebookcentral.proquest.com/lib/NKNU/detail.action?docID=241933</t>
  </si>
  <si>
    <t>https://ebookcentral.proquest.com/lib/NKNU/detail.action?docID=241944</t>
  </si>
  <si>
    <t>https://ebookcentral.proquest.com/lib/NKNU/detail.action?docID=241961</t>
  </si>
  <si>
    <t>https://ebookcentral.proquest.com/lib/NKNU/detail.action?docID=241965</t>
  </si>
  <si>
    <t>https://ebookcentral.proquest.com/lib/NKNU/detail.action?docID=241967</t>
  </si>
  <si>
    <t>https://ebookcentral.proquest.com/lib/NKNU/detail.action?docID=241992</t>
  </si>
  <si>
    <t>https://ebookcentral.proquest.com/lib/NKNU/detail.action?docID=242008</t>
  </si>
  <si>
    <t>https://ebookcentral.proquest.com/lib/NKNU/detail.action?docID=242036</t>
  </si>
  <si>
    <t>https://ebookcentral.proquest.com/lib/NKNU/detail.action?docID=242038</t>
  </si>
  <si>
    <t>https://ebookcentral.proquest.com/lib/NKNU/detail.action?docID=242045</t>
  </si>
  <si>
    <t>https://ebookcentral.proquest.com/lib/NKNU/detail.action?docID=242055</t>
  </si>
  <si>
    <t>https://ebookcentral.proquest.com/lib/NKNU/detail.action?docID=242080</t>
  </si>
  <si>
    <t>https://ebookcentral.proquest.com/lib/NKNU/detail.action?docID=242086</t>
  </si>
  <si>
    <t>https://ebookcentral.proquest.com/lib/NKNU/detail.action?docID=242090</t>
  </si>
  <si>
    <t>https://ebookcentral.proquest.com/lib/NKNU/detail.action?docID=242097</t>
  </si>
  <si>
    <t>https://ebookcentral.proquest.com/lib/NKNU/detail.action?docID=242187</t>
  </si>
  <si>
    <t>https://ebookcentral.proquest.com/lib/NKNU/detail.action?docID=242193</t>
  </si>
  <si>
    <t>https://ebookcentral.proquest.com/lib/NKNU/detail.action?docID=242218</t>
  </si>
  <si>
    <t>https://ebookcentral.proquest.com/lib/NKNU/detail.action?docID=242219</t>
  </si>
  <si>
    <t>https://ebookcentral.proquest.com/lib/NKNU/detail.action?docID=242247</t>
  </si>
  <si>
    <t>https://ebookcentral.proquest.com/lib/NKNU/detail.action?docID=242264</t>
  </si>
  <si>
    <t>https://ebookcentral.proquest.com/lib/NKNU/detail.action?docID=242265</t>
  </si>
  <si>
    <t>https://ebookcentral.proquest.com/lib/NKNU/detail.action?docID=242284</t>
  </si>
  <si>
    <t>https://ebookcentral.proquest.com/lib/NKNU/detail.action?docID=242289</t>
  </si>
  <si>
    <t>https://ebookcentral.proquest.com/lib/NKNU/detail.action?docID=242291</t>
  </si>
  <si>
    <t>https://ebookcentral.proquest.com/lib/NKNU/detail.action?docID=242294</t>
  </si>
  <si>
    <t>https://ebookcentral.proquest.com/lib/NKNU/detail.action?docID=242295</t>
  </si>
  <si>
    <t>https://ebookcentral.proquest.com/lib/NKNU/detail.action?docID=242302</t>
  </si>
  <si>
    <t>https://ebookcentral.proquest.com/lib/NKNU/detail.action?docID=242306</t>
  </si>
  <si>
    <t>https://ebookcentral.proquest.com/lib/NKNU/detail.action?docID=242320</t>
  </si>
  <si>
    <t>https://ebookcentral.proquest.com/lib/NKNU/detail.action?docID=242323</t>
  </si>
  <si>
    <t>https://ebookcentral.proquest.com/lib/NKNU/detail.action?docID=242693</t>
  </si>
  <si>
    <t>https://ebookcentral.proquest.com/lib/NKNU/detail.action?docID=242739</t>
  </si>
  <si>
    <t>https://ebookcentral.proquest.com/lib/NKNU/detail.action?docID=242740</t>
  </si>
  <si>
    <t>https://ebookcentral.proquest.com/lib/NKNU/detail.action?docID=242746</t>
  </si>
  <si>
    <t>https://ebookcentral.proquest.com/lib/NKNU/detail.action?docID=242755</t>
  </si>
  <si>
    <t>https://ebookcentral.proquest.com/lib/NKNU/detail.action?docID=242849</t>
  </si>
  <si>
    <t>https://ebookcentral.proquest.com/lib/NKNU/detail.action?docID=242982</t>
  </si>
  <si>
    <t>https://ebookcentral.proquest.com/lib/NKNU/detail.action?docID=242984</t>
  </si>
  <si>
    <t>https://ebookcentral.proquest.com/lib/NKNU/detail.action?docID=242993</t>
  </si>
  <si>
    <t>https://ebookcentral.proquest.com/lib/NKNU/detail.action?docID=242995</t>
  </si>
  <si>
    <t>https://ebookcentral.proquest.com/lib/NKNU/detail.action?docID=242998</t>
  </si>
  <si>
    <t>https://ebookcentral.proquest.com/lib/NKNU/detail.action?docID=242999</t>
  </si>
  <si>
    <t>https://ebookcentral.proquest.com/lib/NKNU/detail.action?docID=243000</t>
  </si>
  <si>
    <t>https://ebookcentral.proquest.com/lib/NKNU/detail.action?docID=243009</t>
  </si>
  <si>
    <t>https://ebookcentral.proquest.com/lib/NKNU/detail.action?docID=243015</t>
  </si>
  <si>
    <t>https://ebookcentral.proquest.com/lib/NKNU/detail.action?docID=243020</t>
  </si>
  <si>
    <t>https://ebookcentral.proquest.com/lib/NKNU/detail.action?docID=243021</t>
  </si>
  <si>
    <t>https://ebookcentral.proquest.com/lib/NKNU/detail.action?docID=243025</t>
  </si>
  <si>
    <t>https://ebookcentral.proquest.com/lib/NKNU/detail.action?docID=243027</t>
  </si>
  <si>
    <t>https://ebookcentral.proquest.com/lib/NKNU/detail.action?docID=243028</t>
  </si>
  <si>
    <t>https://ebookcentral.proquest.com/lib/NKNU/detail.action?docID=243033</t>
  </si>
  <si>
    <t>https://ebookcentral.proquest.com/lib/NKNU/detail.action?docID=243038</t>
  </si>
  <si>
    <t>https://ebookcentral.proquest.com/lib/NKNU/detail.action?docID=243041</t>
  </si>
  <si>
    <t>https://ebookcentral.proquest.com/lib/NKNU/detail.action?docID=243042</t>
  </si>
  <si>
    <t>https://ebookcentral.proquest.com/lib/NKNU/detail.action?docID=243045</t>
  </si>
  <si>
    <t>https://ebookcentral.proquest.com/lib/NKNU/detail.action?docID=243047</t>
  </si>
  <si>
    <t>https://ebookcentral.proquest.com/lib/NKNU/detail.action?docID=243049</t>
  </si>
  <si>
    <t>https://ebookcentral.proquest.com/lib/NKNU/detail.action?docID=243055</t>
  </si>
  <si>
    <t>https://ebookcentral.proquest.com/lib/NKNU/detail.action?docID=243058</t>
  </si>
  <si>
    <t>https://ebookcentral.proquest.com/lib/NKNU/detail.action?docID=243066</t>
  </si>
  <si>
    <t>https://ebookcentral.proquest.com/lib/NKNU/detail.action?docID=243073</t>
  </si>
  <si>
    <t>https://ebookcentral.proquest.com/lib/NKNU/detail.action?docID=243074</t>
  </si>
  <si>
    <t>https://ebookcentral.proquest.com/lib/NKNU/detail.action?docID=243075</t>
  </si>
  <si>
    <t>https://ebookcentral.proquest.com/lib/NKNU/detail.action?docID=243079</t>
  </si>
  <si>
    <t>https://ebookcentral.proquest.com/lib/NKNU/detail.action?docID=243082</t>
  </si>
  <si>
    <t>https://ebookcentral.proquest.com/lib/NKNU/detail.action?docID=243086</t>
  </si>
  <si>
    <t>https://ebookcentral.proquest.com/lib/NKNU/detail.action?docID=243087</t>
  </si>
  <si>
    <t>https://ebookcentral.proquest.com/lib/NKNU/detail.action?docID=243089</t>
  </si>
  <si>
    <t>https://ebookcentral.proquest.com/lib/NKNU/detail.action?docID=243090</t>
  </si>
  <si>
    <t>https://ebookcentral.proquest.com/lib/NKNU/detail.action?docID=243091</t>
  </si>
  <si>
    <t>https://ebookcentral.proquest.com/lib/NKNU/detail.action?docID=243093</t>
  </si>
  <si>
    <t>https://ebookcentral.proquest.com/lib/NKNU/detail.action?docID=243097</t>
  </si>
  <si>
    <t>https://ebookcentral.proquest.com/lib/NKNU/detail.action?docID=243103</t>
  </si>
  <si>
    <t>https://ebookcentral.proquest.com/lib/NKNU/detail.action?docID=243108</t>
  </si>
  <si>
    <t>https://ebookcentral.proquest.com/lib/NKNU/detail.action?docID=243112</t>
  </si>
  <si>
    <t>https://ebookcentral.proquest.com/lib/NKNU/detail.action?docID=243113</t>
  </si>
  <si>
    <t>https://ebookcentral.proquest.com/lib/NKNU/detail.action?docID=243135</t>
  </si>
  <si>
    <t>https://ebookcentral.proquest.com/lib/NKNU/detail.action?docID=243141</t>
  </si>
  <si>
    <t>https://ebookcentral.proquest.com/lib/NKNU/detail.action?docID=243170</t>
  </si>
  <si>
    <t>https://ebookcentral.proquest.com/lib/NKNU/detail.action?docID=243171</t>
  </si>
  <si>
    <t>https://ebookcentral.proquest.com/lib/NKNU/detail.action?docID=243183</t>
  </si>
  <si>
    <t>https://ebookcentral.proquest.com/lib/NKNU/detail.action?docID=243206</t>
  </si>
  <si>
    <t>https://ebookcentral.proquest.com/lib/NKNU/detail.action?docID=243220</t>
  </si>
  <si>
    <t>https://ebookcentral.proquest.com/lib/NKNU/detail.action?docID=243230</t>
  </si>
  <si>
    <t>https://ebookcentral.proquest.com/lib/NKNU/detail.action?docID=243237</t>
  </si>
  <si>
    <t>https://ebookcentral.proquest.com/lib/NKNU/detail.action?docID=243242</t>
  </si>
  <si>
    <t>https://ebookcentral.proquest.com/lib/NKNU/detail.action?docID=243244</t>
  </si>
  <si>
    <t>https://ebookcentral.proquest.com/lib/NKNU/detail.action?docID=243266</t>
  </si>
  <si>
    <t>https://ebookcentral.proquest.com/lib/NKNU/detail.action?docID=243272</t>
  </si>
  <si>
    <t>https://ebookcentral.proquest.com/lib/NKNU/detail.action?docID=243277</t>
  </si>
  <si>
    <t>https://ebookcentral.proquest.com/lib/NKNU/detail.action?docID=243285</t>
  </si>
  <si>
    <t>https://ebookcentral.proquest.com/lib/NKNU/detail.action?docID=243298</t>
  </si>
  <si>
    <t>https://ebookcentral.proquest.com/lib/NKNU/detail.action?docID=243303</t>
  </si>
  <si>
    <t>https://ebookcentral.proquest.com/lib/NKNU/detail.action?docID=243308</t>
  </si>
  <si>
    <t>https://ebookcentral.proquest.com/lib/NKNU/detail.action?docID=243336</t>
  </si>
  <si>
    <t>https://ebookcentral.proquest.com/lib/NKNU/detail.action?docID=243354</t>
  </si>
  <si>
    <t>https://ebookcentral.proquest.com/lib/NKNU/detail.action?docID=243366</t>
  </si>
  <si>
    <t>https://ebookcentral.proquest.com/lib/NKNU/detail.action?docID=243369</t>
  </si>
  <si>
    <t>https://ebookcentral.proquest.com/lib/NKNU/detail.action?docID=243404</t>
  </si>
  <si>
    <t>https://ebookcentral.proquest.com/lib/NKNU/detail.action?docID=243509</t>
  </si>
  <si>
    <t>https://ebookcentral.proquest.com/lib/NKNU/detail.action?docID=243541</t>
  </si>
  <si>
    <t>https://ebookcentral.proquest.com/lib/NKNU/detail.action?docID=243543</t>
  </si>
  <si>
    <t>https://ebookcentral.proquest.com/lib/NKNU/detail.action?docID=243559</t>
  </si>
  <si>
    <t>https://ebookcentral.proquest.com/lib/NKNU/detail.action?docID=243587</t>
  </si>
  <si>
    <t>https://ebookcentral.proquest.com/lib/NKNU/detail.action?docID=243590</t>
  </si>
  <si>
    <t>https://ebookcentral.proquest.com/lib/NKNU/detail.action?docID=243793</t>
  </si>
  <si>
    <t>https://ebookcentral.proquest.com/lib/NKNU/detail.action?docID=243987</t>
  </si>
  <si>
    <t>https://ebookcentral.proquest.com/lib/NKNU/detail.action?docID=243990</t>
  </si>
  <si>
    <t>https://ebookcentral.proquest.com/lib/NKNU/detail.action?docID=244001</t>
  </si>
  <si>
    <t>https://ebookcentral.proquest.com/lib/NKNU/detail.action?docID=244006</t>
  </si>
  <si>
    <t>https://ebookcentral.proquest.com/lib/NKNU/detail.action?docID=244007</t>
  </si>
  <si>
    <t>https://ebookcentral.proquest.com/lib/NKNU/detail.action?docID=244008</t>
  </si>
  <si>
    <t>https://ebookcentral.proquest.com/lib/NKNU/detail.action?docID=244010</t>
  </si>
  <si>
    <t>https://ebookcentral.proquest.com/lib/NKNU/detail.action?docID=244022</t>
  </si>
  <si>
    <t>https://ebookcentral.proquest.com/lib/NKNU/detail.action?docID=244028</t>
  </si>
  <si>
    <t>https://ebookcentral.proquest.com/lib/NKNU/detail.action?docID=244043</t>
  </si>
  <si>
    <t>https://ebookcentral.proquest.com/lib/NKNU/detail.action?docID=244051</t>
  </si>
  <si>
    <t>https://ebookcentral.proquest.com/lib/NKNU/detail.action?docID=244069</t>
  </si>
  <si>
    <t>https://ebookcentral.proquest.com/lib/NKNU/detail.action?docID=244071</t>
  </si>
  <si>
    <t>https://ebookcentral.proquest.com/lib/NKNU/detail.action?docID=244085</t>
  </si>
  <si>
    <t>https://ebookcentral.proquest.com/lib/NKNU/detail.action?docID=244246</t>
  </si>
  <si>
    <t>https://ebookcentral.proquest.com/lib/NKNU/detail.action?docID=244249</t>
  </si>
  <si>
    <t>https://ebookcentral.proquest.com/lib/NKNU/detail.action?docID=244387</t>
  </si>
  <si>
    <t>https://ebookcentral.proquest.com/lib/NKNU/detail.action?docID=244394</t>
  </si>
  <si>
    <t>https://ebookcentral.proquest.com/lib/NKNU/detail.action?docID=244400</t>
  </si>
  <si>
    <t>https://ebookcentral.proquest.com/lib/NKNU/detail.action?docID=244405</t>
  </si>
  <si>
    <t>https://ebookcentral.proquest.com/lib/NKNU/detail.action?docID=244407</t>
  </si>
  <si>
    <t>https://ebookcentral.proquest.com/lib/NKNU/detail.action?docID=244409</t>
  </si>
  <si>
    <t>https://ebookcentral.proquest.com/lib/NKNU/detail.action?docID=244417</t>
  </si>
  <si>
    <t>https://ebookcentral.proquest.com/lib/NKNU/detail.action?docID=244429</t>
  </si>
  <si>
    <t>https://ebookcentral.proquest.com/lib/NKNU/detail.action?docID=244432</t>
  </si>
  <si>
    <t>https://ebookcentral.proquest.com/lib/NKNU/detail.action?docID=244548</t>
  </si>
  <si>
    <t>https://ebookcentral.proquest.com/lib/NKNU/detail.action?docID=244552</t>
  </si>
  <si>
    <t>https://ebookcentral.proquest.com/lib/NKNU/detail.action?docID=244554</t>
  </si>
  <si>
    <t>https://ebookcentral.proquest.com/lib/NKNU/detail.action?docID=244828</t>
  </si>
  <si>
    <t>https://ebookcentral.proquest.com/lib/NKNU/detail.action?docID=244844</t>
  </si>
  <si>
    <t>https://ebookcentral.proquest.com/lib/NKNU/detail.action?docID=252668</t>
  </si>
  <si>
    <t>https://ebookcentral.proquest.com/lib/NKNU/detail.action?docID=253351</t>
  </si>
  <si>
    <t>https://ebookcentral.proquest.com/lib/NKNU/detail.action?docID=253386</t>
  </si>
  <si>
    <t>https://ebookcentral.proquest.com/lib/NKNU/detail.action?docID=253414</t>
  </si>
  <si>
    <t>https://ebookcentral.proquest.com/lib/NKNU/detail.action?docID=253453</t>
  </si>
  <si>
    <t>https://ebookcentral.proquest.com/lib/NKNU/detail.action?docID=253470</t>
  </si>
  <si>
    <t>https://ebookcentral.proquest.com/lib/NKNU/detail.action?docID=253488</t>
  </si>
  <si>
    <t>https://ebookcentral.proquest.com/lib/NKNU/detail.action?docID=253497</t>
  </si>
  <si>
    <t>https://ebookcentral.proquest.com/lib/NKNU/detail.action?docID=253502</t>
  </si>
  <si>
    <t>https://ebookcentral.proquest.com/lib/NKNU/detail.action?docID=253518</t>
  </si>
  <si>
    <t>https://ebookcentral.proquest.com/lib/NKNU/detail.action?docID=253519</t>
  </si>
  <si>
    <t>https://ebookcentral.proquest.com/lib/NKNU/detail.action?docID=253520</t>
  </si>
  <si>
    <t>https://ebookcentral.proquest.com/lib/NKNU/detail.action?docID=253531</t>
  </si>
  <si>
    <t>https://ebookcentral.proquest.com/lib/NKNU/detail.action?docID=253534</t>
  </si>
  <si>
    <t>https://ebookcentral.proquest.com/lib/NKNU/detail.action?docID=253557</t>
  </si>
  <si>
    <t>https://ebookcentral.proquest.com/lib/NKNU/detail.action?docID=253571</t>
  </si>
  <si>
    <t>https://ebookcentral.proquest.com/lib/NKNU/detail.action?docID=253587</t>
  </si>
  <si>
    <t>https://ebookcentral.proquest.com/lib/NKNU/detail.action?docID=253591</t>
  </si>
  <si>
    <t>https://ebookcentral.proquest.com/lib/NKNU/detail.action?docID=253605</t>
  </si>
  <si>
    <t>https://ebookcentral.proquest.com/lib/NKNU/detail.action?docID=253607</t>
  </si>
  <si>
    <t>https://ebookcentral.proquest.com/lib/NKNU/detail.action?docID=253609</t>
  </si>
  <si>
    <t>https://ebookcentral.proquest.com/lib/NKNU/detail.action?docID=253614</t>
  </si>
  <si>
    <t>https://ebookcentral.proquest.com/lib/NKNU/detail.action?docID=253624</t>
  </si>
  <si>
    <t>https://ebookcentral.proquest.com/lib/NKNU/detail.action?docID=253636</t>
  </si>
  <si>
    <t>https://ebookcentral.proquest.com/lib/NKNU/detail.action?docID=253640</t>
  </si>
  <si>
    <t>https://ebookcentral.proquest.com/lib/NKNU/detail.action?docID=253645</t>
  </si>
  <si>
    <t>https://ebookcentral.proquest.com/lib/NKNU/detail.action?docID=253650</t>
  </si>
  <si>
    <t>https://ebookcentral.proquest.com/lib/NKNU/detail.action?docID=253660</t>
  </si>
  <si>
    <t>https://ebookcentral.proquest.com/lib/NKNU/detail.action?docID=253671</t>
  </si>
  <si>
    <t>https://ebookcentral.proquest.com/lib/NKNU/detail.action?docID=253674</t>
  </si>
  <si>
    <t>https://ebookcentral.proquest.com/lib/NKNU/detail.action?docID=253687</t>
  </si>
  <si>
    <t>https://ebookcentral.proquest.com/lib/NKNU/detail.action?docID=253694</t>
  </si>
  <si>
    <t>https://ebookcentral.proquest.com/lib/NKNU/detail.action?docID=253710</t>
  </si>
  <si>
    <t>https://ebookcentral.proquest.com/lib/NKNU/detail.action?docID=253713</t>
  </si>
  <si>
    <t>https://ebookcentral.proquest.com/lib/NKNU/detail.action?docID=253717</t>
  </si>
  <si>
    <t>https://ebookcentral.proquest.com/lib/NKNU/detail.action?docID=253727</t>
  </si>
  <si>
    <t>https://ebookcentral.proquest.com/lib/NKNU/detail.action?docID=253738</t>
  </si>
  <si>
    <t>https://ebookcentral.proquest.com/lib/NKNU/detail.action?docID=253761</t>
  </si>
  <si>
    <t>https://ebookcentral.proquest.com/lib/NKNU/detail.action?docID=253766</t>
  </si>
  <si>
    <t>https://ebookcentral.proquest.com/lib/NKNU/detail.action?docID=253767</t>
  </si>
  <si>
    <t>https://ebookcentral.proquest.com/lib/NKNU/detail.action?docID=253896</t>
  </si>
  <si>
    <t>https://ebookcentral.proquest.com/lib/NKNU/detail.action?docID=253898</t>
  </si>
  <si>
    <t>https://ebookcentral.proquest.com/lib/NKNU/detail.action?docID=253901</t>
  </si>
  <si>
    <t>https://ebookcentral.proquest.com/lib/NKNU/detail.action?docID=253902</t>
  </si>
  <si>
    <t>https://ebookcentral.proquest.com/lib/NKNU/detail.action?docID=253903</t>
  </si>
  <si>
    <t>https://ebookcentral.proquest.com/lib/NKNU/detail.action?docID=253905</t>
  </si>
  <si>
    <t>https://ebookcentral.proquest.com/lib/NKNU/detail.action?docID=253907</t>
  </si>
  <si>
    <t>https://ebookcentral.proquest.com/lib/NKNU/detail.action?docID=253923</t>
  </si>
  <si>
    <t>https://ebookcentral.proquest.com/lib/NKNU/detail.action?docID=253928</t>
  </si>
  <si>
    <t>https://ebookcentral.proquest.com/lib/NKNU/detail.action?docID=253946</t>
  </si>
  <si>
    <t>https://ebookcentral.proquest.com/lib/NKNU/detail.action?docID=253953</t>
  </si>
  <si>
    <t>https://ebookcentral.proquest.com/lib/NKNU/detail.action?docID=253959</t>
  </si>
  <si>
    <t>https://ebookcentral.proquest.com/lib/NKNU/detail.action?docID=253969</t>
  </si>
  <si>
    <t>https://ebookcentral.proquest.com/lib/NKNU/detail.action?docID=253970</t>
  </si>
  <si>
    <t>https://ebookcentral.proquest.com/lib/NKNU/detail.action?docID=253973</t>
  </si>
  <si>
    <t>https://ebookcentral.proquest.com/lib/NKNU/detail.action?docID=253979</t>
  </si>
  <si>
    <t>https://ebookcentral.proquest.com/lib/NKNU/detail.action?docID=253982</t>
  </si>
  <si>
    <t>https://ebookcentral.proquest.com/lib/NKNU/detail.action?docID=253983</t>
  </si>
  <si>
    <t>https://ebookcentral.proquest.com/lib/NKNU/detail.action?docID=253994</t>
  </si>
  <si>
    <t>https://ebookcentral.proquest.com/lib/NKNU/detail.action?docID=254003</t>
  </si>
  <si>
    <t>https://ebookcentral.proquest.com/lib/NKNU/detail.action?docID=254006</t>
  </si>
  <si>
    <t>https://ebookcentral.proquest.com/lib/NKNU/detail.action?docID=254107</t>
  </si>
  <si>
    <t>https://ebookcentral.proquest.com/lib/NKNU/detail.action?docID=254116</t>
  </si>
  <si>
    <t>https://ebookcentral.proquest.com/lib/NKNU/detail.action?docID=254122</t>
  </si>
  <si>
    <t>https://ebookcentral.proquest.com/lib/NKNU/detail.action?docID=254131</t>
  </si>
  <si>
    <t>https://ebookcentral.proquest.com/lib/NKNU/detail.action?docID=254136</t>
  </si>
  <si>
    <t>https://ebookcentral.proquest.com/lib/NKNU/detail.action?docID=254145</t>
  </si>
  <si>
    <t>https://ebookcentral.proquest.com/lib/NKNU/detail.action?docID=254149</t>
  </si>
  <si>
    <t>https://ebookcentral.proquest.com/lib/NKNU/detail.action?docID=254165</t>
  </si>
  <si>
    <t>https://ebookcentral.proquest.com/lib/NKNU/detail.action?docID=254175</t>
  </si>
  <si>
    <t>https://ebookcentral.proquest.com/lib/NKNU/detail.action?docID=254192</t>
  </si>
  <si>
    <t>https://ebookcentral.proquest.com/lib/NKNU/detail.action?docID=254201</t>
  </si>
  <si>
    <t>https://ebookcentral.proquest.com/lib/NKNU/detail.action?docID=254206</t>
  </si>
  <si>
    <t>https://ebookcentral.proquest.com/lib/NKNU/detail.action?docID=254218</t>
  </si>
  <si>
    <t>https://ebookcentral.proquest.com/lib/NKNU/detail.action?docID=254222</t>
  </si>
  <si>
    <t>https://ebookcentral.proquest.com/lib/NKNU/detail.action?docID=254231</t>
  </si>
  <si>
    <t>https://ebookcentral.proquest.com/lib/NKNU/detail.action?docID=254233</t>
  </si>
  <si>
    <t>https://ebookcentral.proquest.com/lib/NKNU/detail.action?docID=254238</t>
  </si>
  <si>
    <t>https://ebookcentral.proquest.com/lib/NKNU/detail.action?docID=254241</t>
  </si>
  <si>
    <t>https://ebookcentral.proquest.com/lib/NKNU/detail.action?docID=254242</t>
  </si>
  <si>
    <t>https://ebookcentral.proquest.com/lib/NKNU/detail.action?docID=254244</t>
  </si>
  <si>
    <t>https://ebookcentral.proquest.com/lib/NKNU/detail.action?docID=254249</t>
  </si>
  <si>
    <t>https://ebookcentral.proquest.com/lib/NKNU/detail.action?docID=254250</t>
  </si>
  <si>
    <t>https://ebookcentral.proquest.com/lib/NKNU/detail.action?docID=254256</t>
  </si>
  <si>
    <t>https://ebookcentral.proquest.com/lib/NKNU/detail.action?docID=254257</t>
  </si>
  <si>
    <t>https://ebookcentral.proquest.com/lib/NKNU/detail.action?docID=254260</t>
  </si>
  <si>
    <t>https://ebookcentral.proquest.com/lib/NKNU/detail.action?docID=254268</t>
  </si>
  <si>
    <t>https://ebookcentral.proquest.com/lib/NKNU/detail.action?docID=254270</t>
  </si>
  <si>
    <t>https://ebookcentral.proquest.com/lib/NKNU/detail.action?docID=254271</t>
  </si>
  <si>
    <t>https://ebookcentral.proquest.com/lib/NKNU/detail.action?docID=254273</t>
  </si>
  <si>
    <t>https://ebookcentral.proquest.com/lib/NKNU/detail.action?docID=254274</t>
  </si>
  <si>
    <t>https://ebookcentral.proquest.com/lib/NKNU/detail.action?docID=254277</t>
  </si>
  <si>
    <t>https://ebookcentral.proquest.com/lib/NKNU/detail.action?docID=254281</t>
  </si>
  <si>
    <t>https://ebookcentral.proquest.com/lib/NKNU/detail.action?docID=254282</t>
  </si>
  <si>
    <t>https://ebookcentral.proquest.com/lib/NKNU/detail.action?docID=254284</t>
  </si>
  <si>
    <t>https://ebookcentral.proquest.com/lib/NKNU/detail.action?docID=254287</t>
  </si>
  <si>
    <t>https://ebookcentral.proquest.com/lib/NKNU/detail.action?docID=254299</t>
  </si>
  <si>
    <t>https://ebookcentral.proquest.com/lib/NKNU/detail.action?docID=254300</t>
  </si>
  <si>
    <t>https://ebookcentral.proquest.com/lib/NKNU/detail.action?docID=254304</t>
  </si>
  <si>
    <t>https://ebookcentral.proquest.com/lib/NKNU/detail.action?docID=254310</t>
  </si>
  <si>
    <t>https://ebookcentral.proquest.com/lib/NKNU/detail.action?docID=254311</t>
  </si>
  <si>
    <t>https://ebookcentral.proquest.com/lib/NKNU/detail.action?docID=254313</t>
  </si>
  <si>
    <t>https://ebookcentral.proquest.com/lib/NKNU/detail.action?docID=254326</t>
  </si>
  <si>
    <t>https://ebookcentral.proquest.com/lib/NKNU/detail.action?docID=254338</t>
  </si>
  <si>
    <t>https://ebookcentral.proquest.com/lib/NKNU/detail.action?docID=254341</t>
  </si>
  <si>
    <t>https://ebookcentral.proquest.com/lib/NKNU/detail.action?docID=254345</t>
  </si>
  <si>
    <t>https://ebookcentral.proquest.com/lib/NKNU/detail.action?docID=254350</t>
  </si>
  <si>
    <t>https://ebookcentral.proquest.com/lib/NKNU/detail.action?docID=254354</t>
  </si>
  <si>
    <t>https://ebookcentral.proquest.com/lib/NKNU/detail.action?docID=254360</t>
  </si>
  <si>
    <t>https://ebookcentral.proquest.com/lib/NKNU/detail.action?docID=254365</t>
  </si>
  <si>
    <t>https://ebookcentral.proquest.com/lib/NKNU/detail.action?docID=254370</t>
  </si>
  <si>
    <t>https://ebookcentral.proquest.com/lib/NKNU/detail.action?docID=254414</t>
  </si>
  <si>
    <t>https://ebookcentral.proquest.com/lib/NKNU/detail.action?docID=254416</t>
  </si>
  <si>
    <t>https://ebookcentral.proquest.com/lib/NKNU/detail.action?docID=254421</t>
  </si>
  <si>
    <t>https://ebookcentral.proquest.com/lib/NKNU/detail.action?docID=254441</t>
  </si>
  <si>
    <t>https://ebookcentral.proquest.com/lib/NKNU/detail.action?docID=254442</t>
  </si>
  <si>
    <t>https://ebookcentral.proquest.com/lib/NKNU/detail.action?docID=254450</t>
  </si>
  <si>
    <t>https://ebookcentral.proquest.com/lib/NKNU/detail.action?docID=254453</t>
  </si>
  <si>
    <t>https://ebookcentral.proquest.com/lib/NKNU/detail.action?docID=254481</t>
  </si>
  <si>
    <t>https://ebookcentral.proquest.com/lib/NKNU/detail.action?docID=254489</t>
  </si>
  <si>
    <t>https://ebookcentral.proquest.com/lib/NKNU/detail.action?docID=254492</t>
  </si>
  <si>
    <t>https://ebookcentral.proquest.com/lib/NKNU/detail.action?docID=254493</t>
  </si>
  <si>
    <t>https://ebookcentral.proquest.com/lib/NKNU/detail.action?docID=254516</t>
  </si>
  <si>
    <t>https://ebookcentral.proquest.com/lib/NKNU/detail.action?docID=254536</t>
  </si>
  <si>
    <t>https://ebookcentral.proquest.com/lib/NKNU/detail.action?docID=254587</t>
  </si>
  <si>
    <t>https://ebookcentral.proquest.com/lib/NKNU/detail.action?docID=254591</t>
  </si>
  <si>
    <t>https://ebookcentral.proquest.com/lib/NKNU/detail.action?docID=254603</t>
  </si>
  <si>
    <t>https://ebookcentral.proquest.com/lib/NKNU/detail.action?docID=254739</t>
  </si>
  <si>
    <t>https://ebookcentral.proquest.com/lib/NKNU/detail.action?docID=254746</t>
  </si>
  <si>
    <t>https://ebookcentral.proquest.com/lib/NKNU/detail.action?docID=254784</t>
  </si>
  <si>
    <t>https://ebookcentral.proquest.com/lib/NKNU/detail.action?docID=254786</t>
  </si>
  <si>
    <t>https://ebookcentral.proquest.com/lib/NKNU/detail.action?docID=254789</t>
  </si>
  <si>
    <t>https://ebookcentral.proquest.com/lib/NKNU/detail.action?docID=254792</t>
  </si>
  <si>
    <t>https://ebookcentral.proquest.com/lib/NKNU/detail.action?docID=254820</t>
  </si>
  <si>
    <t>https://ebookcentral.proquest.com/lib/NKNU/detail.action?docID=254822</t>
  </si>
  <si>
    <t>https://ebookcentral.proquest.com/lib/NKNU/detail.action?docID=254925</t>
  </si>
  <si>
    <t>https://ebookcentral.proquest.com/lib/NKNU/detail.action?docID=255009</t>
  </si>
  <si>
    <t>https://ebookcentral.proquest.com/lib/NKNU/detail.action?docID=255011</t>
  </si>
  <si>
    <t>https://ebookcentral.proquest.com/lib/NKNU/detail.action?docID=255016</t>
  </si>
  <si>
    <t>https://ebookcentral.proquest.com/lib/NKNU/detail.action?docID=255019</t>
  </si>
  <si>
    <t>https://ebookcentral.proquest.com/lib/NKNU/detail.action?docID=255135</t>
  </si>
  <si>
    <t>https://ebookcentral.proquest.com/lib/NKNU/detail.action?docID=255136</t>
  </si>
  <si>
    <t>https://ebookcentral.proquest.com/lib/NKNU/detail.action?docID=255173</t>
  </si>
  <si>
    <t>https://ebookcentral.proquest.com/lib/NKNU/detail.action?docID=255177</t>
  </si>
  <si>
    <t>https://ebookcentral.proquest.com/lib/NKNU/detail.action?docID=255181</t>
  </si>
  <si>
    <t>https://ebookcentral.proquest.com/lib/NKNU/detail.action?docID=255203</t>
  </si>
  <si>
    <t>https://ebookcentral.proquest.com/lib/NKNU/detail.action?docID=255204</t>
  </si>
  <si>
    <t>https://ebookcentral.proquest.com/lib/NKNU/detail.action?docID=255206</t>
  </si>
  <si>
    <t>https://ebookcentral.proquest.com/lib/NKNU/detail.action?docID=255231</t>
  </si>
  <si>
    <t>https://ebookcentral.proquest.com/lib/NKNU/detail.action?docID=255232</t>
  </si>
  <si>
    <t>https://ebookcentral.proquest.com/lib/NKNU/detail.action?docID=255233</t>
  </si>
  <si>
    <t>https://ebookcentral.proquest.com/lib/NKNU/detail.action?docID=255294</t>
  </si>
  <si>
    <t>https://ebookcentral.proquest.com/lib/NKNU/detail.action?docID=255728</t>
  </si>
  <si>
    <t>https://ebookcentral.proquest.com/lib/NKNU/detail.action?docID=255729</t>
  </si>
  <si>
    <t>https://ebookcentral.proquest.com/lib/NKNU/detail.action?docID=255730</t>
  </si>
  <si>
    <t>https://ebookcentral.proquest.com/lib/NKNU/detail.action?docID=255731</t>
  </si>
  <si>
    <t>https://ebookcentral.proquest.com/lib/NKNU/detail.action?docID=255733</t>
  </si>
  <si>
    <t>https://ebookcentral.proquest.com/lib/NKNU/detail.action?docID=255735</t>
  </si>
  <si>
    <t>https://ebookcentral.proquest.com/lib/NKNU/detail.action?docID=255736</t>
  </si>
  <si>
    <t>https://ebookcentral.proquest.com/lib/NKNU/detail.action?docID=255737</t>
  </si>
  <si>
    <t>https://ebookcentral.proquest.com/lib/NKNU/detail.action?docID=255738</t>
  </si>
  <si>
    <t>https://ebookcentral.proquest.com/lib/NKNU/detail.action?docID=255739</t>
  </si>
  <si>
    <t>https://ebookcentral.proquest.com/lib/NKNU/detail.action?docID=255740</t>
  </si>
  <si>
    <t>https://ebookcentral.proquest.com/lib/NKNU/detail.action?docID=255742</t>
  </si>
  <si>
    <t>https://ebookcentral.proquest.com/lib/NKNU/detail.action?docID=255744</t>
  </si>
  <si>
    <t>https://ebookcentral.proquest.com/lib/NKNU/detail.action?docID=255747</t>
  </si>
  <si>
    <t>https://ebookcentral.proquest.com/lib/NKNU/detail.action?docID=255748</t>
  </si>
  <si>
    <t>https://ebookcentral.proquest.com/lib/NKNU/detail.action?docID=255749</t>
  </si>
  <si>
    <t>https://ebookcentral.proquest.com/lib/NKNU/detail.action?docID=255751</t>
  </si>
  <si>
    <t>https://ebookcentral.proquest.com/lib/NKNU/detail.action?docID=255753</t>
  </si>
  <si>
    <t>https://ebookcentral.proquest.com/lib/NKNU/detail.action?docID=255754</t>
  </si>
  <si>
    <t>https://ebookcentral.proquest.com/lib/NKNU/detail.action?docID=255755</t>
  </si>
  <si>
    <t>https://ebookcentral.proquest.com/lib/NKNU/detail.action?docID=256138</t>
  </si>
  <si>
    <t>https://ebookcentral.proquest.com/lib/NKNU/detail.action?docID=256143</t>
  </si>
  <si>
    <t>https://ebookcentral.proquest.com/lib/NKNU/detail.action?docID=256145</t>
  </si>
  <si>
    <t>https://ebookcentral.proquest.com/lib/NKNU/detail.action?docID=256156</t>
  </si>
  <si>
    <t>https://ebookcentral.proquest.com/lib/NKNU/detail.action?docID=256164</t>
  </si>
  <si>
    <t>https://ebookcentral.proquest.com/lib/NKNU/detail.action?docID=256165</t>
  </si>
  <si>
    <t>https://ebookcentral.proquest.com/lib/NKNU/detail.action?docID=256166</t>
  </si>
  <si>
    <t>https://ebookcentral.proquest.com/lib/NKNU/detail.action?docID=256351</t>
  </si>
  <si>
    <t>https://ebookcentral.proquest.com/lib/NKNU/detail.action?docID=256352</t>
  </si>
  <si>
    <t>https://ebookcentral.proquest.com/lib/NKNU/detail.action?docID=256355</t>
  </si>
  <si>
    <t>https://ebookcentral.proquest.com/lib/NKNU/detail.action?docID=256357</t>
  </si>
  <si>
    <t>https://ebookcentral.proquest.com/lib/NKNU/detail.action?docID=256361</t>
  </si>
  <si>
    <t>https://ebookcentral.proquest.com/lib/NKNU/detail.action?docID=256577</t>
  </si>
  <si>
    <t>https://ebookcentral.proquest.com/lib/NKNU/detail.action?docID=256579</t>
  </si>
  <si>
    <t>https://ebookcentral.proquest.com/lib/NKNU/detail.action?docID=256588</t>
  </si>
  <si>
    <t>https://ebookcentral.proquest.com/lib/NKNU/detail.action?docID=256591</t>
  </si>
  <si>
    <t>https://ebookcentral.proquest.com/lib/NKNU/detail.action?docID=256598</t>
  </si>
  <si>
    <t>https://ebookcentral.proquest.com/lib/NKNU/detail.action?docID=256604</t>
  </si>
  <si>
    <t>https://ebookcentral.proquest.com/lib/NKNU/detail.action?docID=256611</t>
  </si>
  <si>
    <t>https://ebookcentral.proquest.com/lib/NKNU/detail.action?docID=256613</t>
  </si>
  <si>
    <t>https://ebookcentral.proquest.com/lib/NKNU/detail.action?docID=256618</t>
  </si>
  <si>
    <t>https://ebookcentral.proquest.com/lib/NKNU/detail.action?docID=256620</t>
  </si>
  <si>
    <t>https://ebookcentral.proquest.com/lib/NKNU/detail.action?docID=256621</t>
  </si>
  <si>
    <t>https://ebookcentral.proquest.com/lib/NKNU/detail.action?docID=256622</t>
  </si>
  <si>
    <t>https://ebookcentral.proquest.com/lib/NKNU/detail.action?docID=256628</t>
  </si>
  <si>
    <t>https://ebookcentral.proquest.com/lib/NKNU/detail.action?docID=256663</t>
  </si>
  <si>
    <t>https://ebookcentral.proquest.com/lib/NKNU/detail.action?docID=256666</t>
  </si>
  <si>
    <t>https://ebookcentral.proquest.com/lib/NKNU/detail.action?docID=256688</t>
  </si>
  <si>
    <t>https://ebookcentral.proquest.com/lib/NKNU/detail.action?docID=256700</t>
  </si>
  <si>
    <t>https://ebookcentral.proquest.com/lib/NKNU/detail.action?docID=256846</t>
  </si>
  <si>
    <t>https://ebookcentral.proquest.com/lib/NKNU/detail.action?docID=256879</t>
  </si>
  <si>
    <t>https://ebookcentral.proquest.com/lib/NKNU/detail.action?docID=256881</t>
  </si>
  <si>
    <t>https://ebookcentral.proquest.com/lib/NKNU/detail.action?docID=256883</t>
  </si>
  <si>
    <t>https://ebookcentral.proquest.com/lib/NKNU/detail.action?docID=256888</t>
  </si>
  <si>
    <t>https://ebookcentral.proquest.com/lib/NKNU/detail.action?docID=256891</t>
  </si>
  <si>
    <t>https://ebookcentral.proquest.com/lib/NKNU/detail.action?docID=256893</t>
  </si>
  <si>
    <t>https://ebookcentral.proquest.com/lib/NKNU/detail.action?docID=256901</t>
  </si>
  <si>
    <t>https://ebookcentral.proquest.com/lib/NKNU/detail.action?docID=256905</t>
  </si>
  <si>
    <t>https://ebookcentral.proquest.com/lib/NKNU/detail.action?docID=256915</t>
  </si>
  <si>
    <t>https://ebookcentral.proquest.com/lib/NKNU/detail.action?docID=256916</t>
  </si>
  <si>
    <t>https://ebookcentral.proquest.com/lib/NKNU/detail.action?docID=256919</t>
  </si>
  <si>
    <t>https://ebookcentral.proquest.com/lib/NKNU/detail.action?docID=256924</t>
  </si>
  <si>
    <t>https://ebookcentral.proquest.com/lib/NKNU/detail.action?docID=256925</t>
  </si>
  <si>
    <t>https://ebookcentral.proquest.com/lib/NKNU/detail.action?docID=256928</t>
  </si>
  <si>
    <t>https://ebookcentral.proquest.com/lib/NKNU/detail.action?docID=256931</t>
  </si>
  <si>
    <t>https://ebookcentral.proquest.com/lib/NKNU/detail.action?docID=256943</t>
  </si>
  <si>
    <t>https://ebookcentral.proquest.com/lib/NKNU/detail.action?docID=256947</t>
  </si>
  <si>
    <t>https://ebookcentral.proquest.com/lib/NKNU/detail.action?docID=256963</t>
  </si>
  <si>
    <t>https://ebookcentral.proquest.com/lib/NKNU/detail.action?docID=256981</t>
  </si>
  <si>
    <t>https://ebookcentral.proquest.com/lib/NKNU/detail.action?docID=256993</t>
  </si>
  <si>
    <t>https://ebookcentral.proquest.com/lib/NKNU/detail.action?docID=256996</t>
  </si>
  <si>
    <t>https://ebookcentral.proquest.com/lib/NKNU/detail.action?docID=257004</t>
  </si>
  <si>
    <t>https://ebookcentral.proquest.com/lib/NKNU/detail.action?docID=257005</t>
  </si>
  <si>
    <t>https://ebookcentral.proquest.com/lib/NKNU/detail.action?docID=257011</t>
  </si>
  <si>
    <t>https://ebookcentral.proquest.com/lib/NKNU/detail.action?docID=257015</t>
  </si>
  <si>
    <t>https://ebookcentral.proquest.com/lib/NKNU/detail.action?docID=257017</t>
  </si>
  <si>
    <t>https://ebookcentral.proquest.com/lib/NKNU/detail.action?docID=257025</t>
  </si>
  <si>
    <t>https://ebookcentral.proquest.com/lib/NKNU/detail.action?docID=257318</t>
  </si>
  <si>
    <t>https://ebookcentral.proquest.com/lib/NKNU/detail.action?docID=257321</t>
  </si>
  <si>
    <t>https://ebookcentral.proquest.com/lib/NKNU/detail.action?docID=257325</t>
  </si>
  <si>
    <t>https://ebookcentral.proquest.com/lib/NKNU/detail.action?docID=257327</t>
  </si>
  <si>
    <t>https://ebookcentral.proquest.com/lib/NKNU/detail.action?docID=257337</t>
  </si>
  <si>
    <t>https://ebookcentral.proquest.com/lib/NKNU/detail.action?docID=257342</t>
  </si>
  <si>
    <t>https://ebookcentral.proquest.com/lib/NKNU/detail.action?docID=257348</t>
  </si>
  <si>
    <t>https://ebookcentral.proquest.com/lib/NKNU/detail.action?docID=257366</t>
  </si>
  <si>
    <t>https://ebookcentral.proquest.com/lib/NKNU/detail.action?docID=257372</t>
  </si>
  <si>
    <t>https://ebookcentral.proquest.com/lib/NKNU/detail.action?docID=257382</t>
  </si>
  <si>
    <t>https://ebookcentral.proquest.com/lib/NKNU/detail.action?docID=257389</t>
  </si>
  <si>
    <t>https://ebookcentral.proquest.com/lib/NKNU/detail.action?docID=257398</t>
  </si>
  <si>
    <t>https://ebookcentral.proquest.com/lib/NKNU/detail.action?docID=257399</t>
  </si>
  <si>
    <t>https://ebookcentral.proquest.com/lib/NKNU/detail.action?docID=257402</t>
  </si>
  <si>
    <t>https://ebookcentral.proquest.com/lib/NKNU/detail.action?docID=257403</t>
  </si>
  <si>
    <t>https://ebookcentral.proquest.com/lib/NKNU/detail.action?docID=257417</t>
  </si>
  <si>
    <t>https://ebookcentral.proquest.com/lib/NKNU/detail.action?docID=257418</t>
  </si>
  <si>
    <t>https://ebookcentral.proquest.com/lib/NKNU/detail.action?docID=257421</t>
  </si>
  <si>
    <t>https://ebookcentral.proquest.com/lib/NKNU/detail.action?docID=257424</t>
  </si>
  <si>
    <t>https://ebookcentral.proquest.com/lib/NKNU/detail.action?docID=257428</t>
  </si>
  <si>
    <t>https://ebookcentral.proquest.com/lib/NKNU/detail.action?docID=257432</t>
  </si>
  <si>
    <t>https://ebookcentral.proquest.com/lib/NKNU/detail.action?docID=257441</t>
  </si>
  <si>
    <t>https://ebookcentral.proquest.com/lib/NKNU/detail.action?docID=257448</t>
  </si>
  <si>
    <t>https://ebookcentral.proquest.com/lib/NKNU/detail.action?docID=257451</t>
  </si>
  <si>
    <t>https://ebookcentral.proquest.com/lib/NKNU/detail.action?docID=257456</t>
  </si>
  <si>
    <t>https://ebookcentral.proquest.com/lib/NKNU/detail.action?docID=257466</t>
  </si>
  <si>
    <t>https://ebookcentral.proquest.com/lib/NKNU/detail.action?docID=257468</t>
  </si>
  <si>
    <t>https://ebookcentral.proquest.com/lib/NKNU/detail.action?docID=257475</t>
  </si>
  <si>
    <t>https://ebookcentral.proquest.com/lib/NKNU/detail.action?docID=257487</t>
  </si>
  <si>
    <t>https://ebookcentral.proquest.com/lib/NKNU/detail.action?docID=257488</t>
  </si>
  <si>
    <t>https://ebookcentral.proquest.com/lib/NKNU/detail.action?docID=257492</t>
  </si>
  <si>
    <t>https://ebookcentral.proquest.com/lib/NKNU/detail.action?docID=257498</t>
  </si>
  <si>
    <t>https://ebookcentral.proquest.com/lib/NKNU/detail.action?docID=257503</t>
  </si>
  <si>
    <t>https://ebookcentral.proquest.com/lib/NKNU/detail.action?docID=257519</t>
  </si>
  <si>
    <t>https://ebookcentral.proquest.com/lib/NKNU/detail.action?docID=257527</t>
  </si>
  <si>
    <t>https://ebookcentral.proquest.com/lib/NKNU/detail.action?docID=257530</t>
  </si>
  <si>
    <t>https://ebookcentral.proquest.com/lib/NKNU/detail.action?docID=257532</t>
  </si>
  <si>
    <t>https://ebookcentral.proquest.com/lib/NKNU/detail.action?docID=257533</t>
  </si>
  <si>
    <t>https://ebookcentral.proquest.com/lib/NKNU/detail.action?docID=257534</t>
  </si>
  <si>
    <t>https://ebookcentral.proquest.com/lib/NKNU/detail.action?docID=257536</t>
  </si>
  <si>
    <t>https://ebookcentral.proquest.com/lib/NKNU/detail.action?docID=257616</t>
  </si>
  <si>
    <t>https://ebookcentral.proquest.com/lib/NKNU/detail.action?docID=257617</t>
  </si>
  <si>
    <t>https://ebookcentral.proquest.com/lib/NKNU/detail.action?docID=257628</t>
  </si>
  <si>
    <t>https://ebookcentral.proquest.com/lib/NKNU/detail.action?docID=257637</t>
  </si>
  <si>
    <t>https://ebookcentral.proquest.com/lib/NKNU/detail.action?docID=257654</t>
  </si>
  <si>
    <t>https://ebookcentral.proquest.com/lib/NKNU/detail.action?docID=257664</t>
  </si>
  <si>
    <t>https://ebookcentral.proquest.com/lib/NKNU/detail.action?docID=257720</t>
  </si>
  <si>
    <t>https://ebookcentral.proquest.com/lib/NKNU/detail.action?docID=257740</t>
  </si>
  <si>
    <t>https://ebookcentral.proquest.com/lib/NKNU/detail.action?docID=257962</t>
  </si>
  <si>
    <t>https://ebookcentral.proquest.com/lib/NKNU/detail.action?docID=257968</t>
  </si>
  <si>
    <t>https://ebookcentral.proquest.com/lib/NKNU/detail.action?docID=257974</t>
  </si>
  <si>
    <t>https://ebookcentral.proquest.com/lib/NKNU/detail.action?docID=258126</t>
  </si>
  <si>
    <t>https://ebookcentral.proquest.com/lib/NKNU/detail.action?docID=258127</t>
  </si>
  <si>
    <t>https://ebookcentral.proquest.com/lib/NKNU/detail.action?docID=258128</t>
  </si>
  <si>
    <t>https://ebookcentral.proquest.com/lib/NKNU/detail.action?docID=258129</t>
  </si>
  <si>
    <t>https://ebookcentral.proquest.com/lib/NKNU/detail.action?docID=258130</t>
  </si>
  <si>
    <t>https://ebookcentral.proquest.com/lib/NKNU/detail.action?docID=258134</t>
  </si>
  <si>
    <t>https://ebookcentral.proquest.com/lib/NKNU/detail.action?docID=258136</t>
  </si>
  <si>
    <t>https://ebookcentral.proquest.com/lib/NKNU/detail.action?docID=258144</t>
  </si>
  <si>
    <t>https://ebookcentral.proquest.com/lib/NKNU/detail.action?docID=258146</t>
  </si>
  <si>
    <t>https://ebookcentral.proquest.com/lib/NKNU/detail.action?docID=258147</t>
  </si>
  <si>
    <t>https://ebookcentral.proquest.com/lib/NKNU/detail.action?docID=258153</t>
  </si>
  <si>
    <t>https://ebookcentral.proquest.com/lib/NKNU/detail.action?docID=258158</t>
  </si>
  <si>
    <t>https://ebookcentral.proquest.com/lib/NKNU/detail.action?docID=258163</t>
  </si>
  <si>
    <t>https://ebookcentral.proquest.com/lib/NKNU/detail.action?docID=258168</t>
  </si>
  <si>
    <t>https://ebookcentral.proquest.com/lib/NKNU/detail.action?docID=258169</t>
  </si>
  <si>
    <t>https://ebookcentral.proquest.com/lib/NKNU/detail.action?docID=258186</t>
  </si>
  <si>
    <t>https://ebookcentral.proquest.com/lib/NKNU/detail.action?docID=258188</t>
  </si>
  <si>
    <t>https://ebookcentral.proquest.com/lib/NKNU/detail.action?docID=258194</t>
  </si>
  <si>
    <t>https://ebookcentral.proquest.com/lib/NKNU/detail.action?docID=258196</t>
  </si>
  <si>
    <t>https://ebookcentral.proquest.com/lib/NKNU/detail.action?docID=258198</t>
  </si>
  <si>
    <t>https://ebookcentral.proquest.com/lib/NKNU/detail.action?docID=258209</t>
  </si>
  <si>
    <t>https://ebookcentral.proquest.com/lib/NKNU/detail.action?docID=258216</t>
  </si>
  <si>
    <t>https://ebookcentral.proquest.com/lib/NKNU/detail.action?docID=258245</t>
  </si>
  <si>
    <t>https://ebookcentral.proquest.com/lib/NKNU/detail.action?docID=258248</t>
  </si>
  <si>
    <t>https://ebookcentral.proquest.com/lib/NKNU/detail.action?docID=258263</t>
  </si>
  <si>
    <t>https://ebookcentral.proquest.com/lib/NKNU/detail.action?docID=258276</t>
  </si>
  <si>
    <t>https://ebookcentral.proquest.com/lib/NKNU/detail.action?docID=258487</t>
  </si>
  <si>
    <t>https://ebookcentral.proquest.com/lib/NKNU/detail.action?docID=258495</t>
  </si>
  <si>
    <t>https://ebookcentral.proquest.com/lib/NKNU/detail.action?docID=258502</t>
  </si>
  <si>
    <t>https://ebookcentral.proquest.com/lib/NKNU/detail.action?docID=258506</t>
  </si>
  <si>
    <t>https://ebookcentral.proquest.com/lib/NKNU/detail.action?docID=258510</t>
  </si>
  <si>
    <t>https://ebookcentral.proquest.com/lib/NKNU/detail.action?docID=258511</t>
  </si>
  <si>
    <t>https://ebookcentral.proquest.com/lib/NKNU/detail.action?docID=258515</t>
  </si>
  <si>
    <t>https://ebookcentral.proquest.com/lib/NKNU/detail.action?docID=258517</t>
  </si>
  <si>
    <t>https://ebookcentral.proquest.com/lib/NKNU/detail.action?docID=258523</t>
  </si>
  <si>
    <t>https://ebookcentral.proquest.com/lib/NKNU/detail.action?docID=258527</t>
  </si>
  <si>
    <t>https://ebookcentral.proquest.com/lib/NKNU/detail.action?docID=258528</t>
  </si>
  <si>
    <t>https://ebookcentral.proquest.com/lib/NKNU/detail.action?docID=258533</t>
  </si>
  <si>
    <t>https://ebookcentral.proquest.com/lib/NKNU/detail.action?docID=258535</t>
  </si>
  <si>
    <t>https://ebookcentral.proquest.com/lib/NKNU/detail.action?docID=258536</t>
  </si>
  <si>
    <t>https://ebookcentral.proquest.com/lib/NKNU/detail.action?docID=258539</t>
  </si>
  <si>
    <t>https://ebookcentral.proquest.com/lib/NKNU/detail.action?docID=258546</t>
  </si>
  <si>
    <t>https://ebookcentral.proquest.com/lib/NKNU/detail.action?docID=258572</t>
  </si>
  <si>
    <t>https://ebookcentral.proquest.com/lib/NKNU/detail.action?docID=258575</t>
  </si>
  <si>
    <t>https://ebookcentral.proquest.com/lib/NKNU/detail.action?docID=258580</t>
  </si>
  <si>
    <t>https://ebookcentral.proquest.com/lib/NKNU/detail.action?docID=258592</t>
  </si>
  <si>
    <t>https://ebookcentral.proquest.com/lib/NKNU/detail.action?docID=258602</t>
  </si>
  <si>
    <t>https://ebookcentral.proquest.com/lib/NKNU/detail.action?docID=258620</t>
  </si>
  <si>
    <t>https://ebookcentral.proquest.com/lib/NKNU/detail.action?docID=258621</t>
  </si>
  <si>
    <t>https://ebookcentral.proquest.com/lib/NKNU/detail.action?docID=258622</t>
  </si>
  <si>
    <t>https://ebookcentral.proquest.com/lib/NKNU/detail.action?docID=258623</t>
  </si>
  <si>
    <t>https://ebookcentral.proquest.com/lib/NKNU/detail.action?docID=258624</t>
  </si>
  <si>
    <t>https://ebookcentral.proquest.com/lib/NKNU/detail.action?docID=258625</t>
  </si>
  <si>
    <t>https://ebookcentral.proquest.com/lib/NKNU/detail.action?docID=258627</t>
  </si>
  <si>
    <t>https://ebookcentral.proquest.com/lib/NKNU/detail.action?docID=258628</t>
  </si>
  <si>
    <t>https://ebookcentral.proquest.com/lib/NKNU/detail.action?docID=258672</t>
  </si>
  <si>
    <t>https://ebookcentral.proquest.com/lib/NKNU/detail.action?docID=258673</t>
  </si>
  <si>
    <t>https://ebookcentral.proquest.com/lib/NKNU/detail.action?docID=258676</t>
  </si>
  <si>
    <t>https://ebookcentral.proquest.com/lib/NKNU/detail.action?docID=258680</t>
  </si>
  <si>
    <t>https://ebookcentral.proquest.com/lib/NKNU/detail.action?docID=258682</t>
  </si>
  <si>
    <t>https://ebookcentral.proquest.com/lib/NKNU/detail.action?docID=258785</t>
  </si>
  <si>
    <t>https://ebookcentral.proquest.com/lib/NKNU/detail.action?docID=258791</t>
  </si>
  <si>
    <t>https://ebookcentral.proquest.com/lib/NKNU/detail.action?docID=258794</t>
  </si>
  <si>
    <t>https://ebookcentral.proquest.com/lib/NKNU/detail.action?docID=258797</t>
  </si>
  <si>
    <t>https://ebookcentral.proquest.com/lib/NKNU/detail.action?docID=258971</t>
  </si>
  <si>
    <t>https://ebookcentral.proquest.com/lib/NKNU/detail.action?docID=258975</t>
  </si>
  <si>
    <t>https://ebookcentral.proquest.com/lib/NKNU/detail.action?docID=258978</t>
  </si>
  <si>
    <t>https://ebookcentral.proquest.com/lib/NKNU/detail.action?docID=258981</t>
  </si>
  <si>
    <t>https://ebookcentral.proquest.com/lib/NKNU/detail.action?docID=258982</t>
  </si>
  <si>
    <t>https://ebookcentral.proquest.com/lib/NKNU/detail.action?docID=258983</t>
  </si>
  <si>
    <t>https://ebookcentral.proquest.com/lib/NKNU/detail.action?docID=258984</t>
  </si>
  <si>
    <t>https://ebookcentral.proquest.com/lib/NKNU/detail.action?docID=258991</t>
  </si>
  <si>
    <t>https://ebookcentral.proquest.com/lib/NKNU/detail.action?docID=258992</t>
  </si>
  <si>
    <t>https://ebookcentral.proquest.com/lib/NKNU/detail.action?docID=258993</t>
  </si>
  <si>
    <t>https://ebookcentral.proquest.com/lib/NKNU/detail.action?docID=258994</t>
  </si>
  <si>
    <t>https://ebookcentral.proquest.com/lib/NKNU/detail.action?docID=258997</t>
  </si>
  <si>
    <t>https://ebookcentral.proquest.com/lib/NKNU/detail.action?docID=259003</t>
  </si>
  <si>
    <t>https://ebookcentral.proquest.com/lib/NKNU/detail.action?docID=259019</t>
  </si>
  <si>
    <t>https://ebookcentral.proquest.com/lib/NKNU/detail.action?docID=259025</t>
  </si>
  <si>
    <t>https://ebookcentral.proquest.com/lib/NKNU/detail.action?docID=259026</t>
  </si>
  <si>
    <t>https://ebookcentral.proquest.com/lib/NKNU/detail.action?docID=259028</t>
  </si>
  <si>
    <t>https://ebookcentral.proquest.com/lib/NKNU/detail.action?docID=259029</t>
  </si>
  <si>
    <t>https://ebookcentral.proquest.com/lib/NKNU/detail.action?docID=259037</t>
  </si>
  <si>
    <t>https://ebookcentral.proquest.com/lib/NKNU/detail.action?docID=259039</t>
  </si>
  <si>
    <t>https://ebookcentral.proquest.com/lib/NKNU/detail.action?docID=259047</t>
  </si>
  <si>
    <t>https://ebookcentral.proquest.com/lib/NKNU/detail.action?docID=259048</t>
  </si>
  <si>
    <t>https://ebookcentral.proquest.com/lib/NKNU/detail.action?docID=259060</t>
  </si>
  <si>
    <t>https://ebookcentral.proquest.com/lib/NKNU/detail.action?docID=259066</t>
  </si>
  <si>
    <t>https://ebookcentral.proquest.com/lib/NKNU/detail.action?docID=259068</t>
  </si>
  <si>
    <t>https://ebookcentral.proquest.com/lib/NKNU/detail.action?docID=259071</t>
  </si>
  <si>
    <t>https://ebookcentral.proquest.com/lib/NKNU/detail.action?docID=259283</t>
  </si>
  <si>
    <t>https://ebookcentral.proquest.com/lib/NKNU/detail.action?docID=259288</t>
  </si>
  <si>
    <t>https://ebookcentral.proquest.com/lib/NKNU/detail.action?docID=259290</t>
  </si>
  <si>
    <t>https://ebookcentral.proquest.com/lib/NKNU/detail.action?docID=259485</t>
  </si>
  <si>
    <t>https://ebookcentral.proquest.com/lib/NKNU/detail.action?docID=259489</t>
  </si>
  <si>
    <t>https://ebookcentral.proquest.com/lib/NKNU/detail.action?docID=259502</t>
  </si>
  <si>
    <t>https://ebookcentral.proquest.com/lib/NKNU/detail.action?docID=259517</t>
  </si>
  <si>
    <t>https://ebookcentral.proquest.com/lib/NKNU/detail.action?docID=259526</t>
  </si>
  <si>
    <t>https://ebookcentral.proquest.com/lib/NKNU/detail.action?docID=259544</t>
  </si>
  <si>
    <t>https://ebookcentral.proquest.com/lib/NKNU/detail.action?docID=259557</t>
  </si>
  <si>
    <t>https://ebookcentral.proquest.com/lib/NKNU/detail.action?docID=259558</t>
  </si>
  <si>
    <t>https://ebookcentral.proquest.com/lib/NKNU/detail.action?docID=259562</t>
  </si>
  <si>
    <t>https://ebookcentral.proquest.com/lib/NKNU/detail.action?docID=259565</t>
  </si>
  <si>
    <t>https://ebookcentral.proquest.com/lib/NKNU/detail.action?docID=259569</t>
  </si>
  <si>
    <t>https://ebookcentral.proquest.com/lib/NKNU/detail.action?docID=259575</t>
  </si>
  <si>
    <t>https://ebookcentral.proquest.com/lib/NKNU/detail.action?docID=259577</t>
  </si>
  <si>
    <t>https://ebookcentral.proquest.com/lib/NKNU/detail.action?docID=259583</t>
  </si>
  <si>
    <t>https://ebookcentral.proquest.com/lib/NKNU/detail.action?docID=259587</t>
  </si>
  <si>
    <t>https://ebookcentral.proquest.com/lib/NKNU/detail.action?docID=259598</t>
  </si>
  <si>
    <t>https://ebookcentral.proquest.com/lib/NKNU/detail.action?docID=259599</t>
  </si>
  <si>
    <t>https://ebookcentral.proquest.com/lib/NKNU/detail.action?docID=259605</t>
  </si>
  <si>
    <t>https://ebookcentral.proquest.com/lib/NKNU/detail.action?docID=259612</t>
  </si>
  <si>
    <t>https://ebookcentral.proquest.com/lib/NKNU/detail.action?docID=259615</t>
  </si>
  <si>
    <t>https://ebookcentral.proquest.com/lib/NKNU/detail.action?docID=259622</t>
  </si>
  <si>
    <t>https://ebookcentral.proquest.com/lib/NKNU/detail.action?docID=259623</t>
  </si>
  <si>
    <t>https://ebookcentral.proquest.com/lib/NKNU/detail.action?docID=259633</t>
  </si>
  <si>
    <t>https://ebookcentral.proquest.com/lib/NKNU/detail.action?docID=259640</t>
  </si>
  <si>
    <t>https://ebookcentral.proquest.com/lib/NKNU/detail.action?docID=259650</t>
  </si>
  <si>
    <t>https://ebookcentral.proquest.com/lib/NKNU/detail.action?docID=259652</t>
  </si>
  <si>
    <t>https://ebookcentral.proquest.com/lib/NKNU/detail.action?docID=259698</t>
  </si>
  <si>
    <t>https://ebookcentral.proquest.com/lib/NKNU/detail.action?docID=259700</t>
  </si>
  <si>
    <t>https://ebookcentral.proquest.com/lib/NKNU/detail.action?docID=259701</t>
  </si>
  <si>
    <t>https://ebookcentral.proquest.com/lib/NKNU/detail.action?docID=259702</t>
  </si>
  <si>
    <t>https://ebookcentral.proquest.com/lib/NKNU/detail.action?docID=259709</t>
  </si>
  <si>
    <t>https://ebookcentral.proquest.com/lib/NKNU/detail.action?docID=259712</t>
  </si>
  <si>
    <t>https://ebookcentral.proquest.com/lib/NKNU/detail.action?docID=259718</t>
  </si>
  <si>
    <t>https://ebookcentral.proquest.com/lib/NKNU/detail.action?docID=259854</t>
  </si>
  <si>
    <t>https://ebookcentral.proquest.com/lib/NKNU/detail.action?docID=259898</t>
  </si>
  <si>
    <t>https://ebookcentral.proquest.com/lib/NKNU/detail.action?docID=259899</t>
  </si>
  <si>
    <t>https://ebookcentral.proquest.com/lib/NKNU/detail.action?docID=259907</t>
  </si>
  <si>
    <t>https://ebookcentral.proquest.com/lib/NKNU/detail.action?docID=260990</t>
  </si>
  <si>
    <t>https://ebookcentral.proquest.com/lib/NKNU/detail.action?docID=261102</t>
  </si>
  <si>
    <t>https://ebookcentral.proquest.com/lib/NKNU/detail.action?docID=261124</t>
  </si>
  <si>
    <t>https://ebookcentral.proquest.com/lib/NKNU/detail.action?docID=261135</t>
  </si>
  <si>
    <t>https://ebookcentral.proquest.com/lib/NKNU/detail.action?docID=261139</t>
  </si>
  <si>
    <t>https://ebookcentral.proquest.com/lib/NKNU/detail.action?docID=261149</t>
  </si>
  <si>
    <t>https://ebookcentral.proquest.com/lib/NKNU/detail.action?docID=261151</t>
  </si>
  <si>
    <t>https://ebookcentral.proquest.com/lib/NKNU/detail.action?docID=261155</t>
  </si>
  <si>
    <t>https://ebookcentral.proquest.com/lib/NKNU/detail.action?docID=261292</t>
  </si>
  <si>
    <t>https://ebookcentral.proquest.com/lib/NKNU/detail.action?docID=261298</t>
  </si>
  <si>
    <t>https://ebookcentral.proquest.com/lib/NKNU/detail.action?docID=261299</t>
  </si>
  <si>
    <t>https://ebookcentral.proquest.com/lib/NKNU/detail.action?docID=261304</t>
  </si>
  <si>
    <t>https://ebookcentral.proquest.com/lib/NKNU/detail.action?docID=261308</t>
  </si>
  <si>
    <t>https://ebookcentral.proquest.com/lib/NKNU/detail.action?docID=261313</t>
  </si>
  <si>
    <t>https://ebookcentral.proquest.com/lib/NKNU/detail.action?docID=261314</t>
  </si>
  <si>
    <t>https://ebookcentral.proquest.com/lib/NKNU/detail.action?docID=261316</t>
  </si>
  <si>
    <t>https://ebookcentral.proquest.com/lib/NKNU/detail.action?docID=261324</t>
  </si>
  <si>
    <t>https://ebookcentral.proquest.com/lib/NKNU/detail.action?docID=261396</t>
  </si>
  <si>
    <t>https://ebookcentral.proquest.com/lib/NKNU/detail.action?docID=261977</t>
  </si>
  <si>
    <t>https://ebookcentral.proquest.com/lib/NKNU/detail.action?docID=262278</t>
  </si>
  <si>
    <t>https://ebookcentral.proquest.com/lib/NKNU/detail.action?docID=262294</t>
  </si>
  <si>
    <t>https://ebookcentral.proquest.com/lib/NKNU/detail.action?docID=262352</t>
  </si>
  <si>
    <t>https://ebookcentral.proquest.com/lib/NKNU/detail.action?docID=262993</t>
  </si>
  <si>
    <t>https://ebookcentral.proquest.com/lib/NKNU/detail.action?docID=263111</t>
  </si>
  <si>
    <t>https://ebookcentral.proquest.com/lib/NKNU/detail.action?docID=263130</t>
  </si>
  <si>
    <t>https://ebookcentral.proquest.com/lib/NKNU/detail.action?docID=263182</t>
  </si>
  <si>
    <t>https://ebookcentral.proquest.com/lib/NKNU/detail.action?docID=263189</t>
  </si>
  <si>
    <t>https://ebookcentral.proquest.com/lib/NKNU/detail.action?docID=263192</t>
  </si>
  <si>
    <t>https://ebookcentral.proquest.com/lib/NKNU/detail.action?docID=263197</t>
  </si>
  <si>
    <t>https://ebookcentral.proquest.com/lib/NKNU/detail.action?docID=263217</t>
  </si>
  <si>
    <t>https://ebookcentral.proquest.com/lib/NKNU/detail.action?docID=263241</t>
  </si>
  <si>
    <t>https://ebookcentral.proquest.com/lib/NKNU/detail.action?docID=263249</t>
  </si>
  <si>
    <t>https://ebookcentral.proquest.com/lib/NKNU/detail.action?docID=263259</t>
  </si>
  <si>
    <t>https://ebookcentral.proquest.com/lib/NKNU/detail.action?docID=263267</t>
  </si>
  <si>
    <t>https://ebookcentral.proquest.com/lib/NKNU/detail.action?docID=263277</t>
  </si>
  <si>
    <t>https://ebookcentral.proquest.com/lib/NKNU/detail.action?docID=263280</t>
  </si>
  <si>
    <t>https://ebookcentral.proquest.com/lib/NKNU/detail.action?docID=263332</t>
  </si>
  <si>
    <t>https://ebookcentral.proquest.com/lib/NKNU/detail.action?docID=263334</t>
  </si>
  <si>
    <t>https://ebookcentral.proquest.com/lib/NKNU/detail.action?docID=263382</t>
  </si>
  <si>
    <t>https://ebookcentral.proquest.com/lib/NKNU/detail.action?docID=263443</t>
  </si>
  <si>
    <t>https://ebookcentral.proquest.com/lib/NKNU/detail.action?docID=263502</t>
  </si>
  <si>
    <t>https://ebookcentral.proquest.com/lib/NKNU/detail.action?docID=263529</t>
  </si>
  <si>
    <t>https://ebookcentral.proquest.com/lib/NKNU/detail.action?docID=263539</t>
  </si>
  <si>
    <t>https://ebookcentral.proquest.com/lib/NKNU/detail.action?docID=263547</t>
  </si>
  <si>
    <t>https://ebookcentral.proquest.com/lib/NKNU/detail.action?docID=263572</t>
  </si>
  <si>
    <t>https://ebookcentral.proquest.com/lib/NKNU/detail.action?docID=263592</t>
  </si>
  <si>
    <t>https://ebookcentral.proquest.com/lib/NKNU/detail.action?docID=263609</t>
  </si>
  <si>
    <t>https://ebookcentral.proquest.com/lib/NKNU/detail.action?docID=263684</t>
  </si>
  <si>
    <t>https://ebookcentral.proquest.com/lib/NKNU/detail.action?docID=263755</t>
  </si>
  <si>
    <t>https://ebookcentral.proquest.com/lib/NKNU/detail.action?docID=263756</t>
  </si>
  <si>
    <t>https://ebookcentral.proquest.com/lib/NKNU/detail.action?docID=263800</t>
  </si>
  <si>
    <t>https://ebookcentral.proquest.com/lib/NKNU/detail.action?docID=263803</t>
  </si>
  <si>
    <t>https://ebookcentral.proquest.com/lib/NKNU/detail.action?docID=263880</t>
  </si>
  <si>
    <t>https://ebookcentral.proquest.com/lib/NKNU/detail.action?docID=263881</t>
  </si>
  <si>
    <t>https://ebookcentral.proquest.com/lib/NKNU/detail.action?docID=263882</t>
  </si>
  <si>
    <t>https://ebookcentral.proquest.com/lib/NKNU/detail.action?docID=263916</t>
  </si>
  <si>
    <t>https://ebookcentral.proquest.com/lib/NKNU/detail.action?docID=263919</t>
  </si>
  <si>
    <t>https://ebookcentral.proquest.com/lib/NKNU/detail.action?docID=263939</t>
  </si>
  <si>
    <t>https://ebookcentral.proquest.com/lib/NKNU/detail.action?docID=263975</t>
  </si>
  <si>
    <t>https://ebookcentral.proquest.com/lib/NKNU/detail.action?docID=263976</t>
  </si>
  <si>
    <t>https://ebookcentral.proquest.com/lib/NKNU/detail.action?docID=263981</t>
  </si>
  <si>
    <t>https://ebookcentral.proquest.com/lib/NKNU/detail.action?docID=264008</t>
  </si>
  <si>
    <t>https://ebookcentral.proquest.com/lib/NKNU/detail.action?docID=264072</t>
  </si>
  <si>
    <t>https://ebookcentral.proquest.com/lib/NKNU/detail.action?docID=264131</t>
  </si>
  <si>
    <t>https://ebookcentral.proquest.com/lib/NKNU/detail.action?docID=264133</t>
  </si>
  <si>
    <t>https://ebookcentral.proquest.com/lib/NKNU/detail.action?docID=264185</t>
  </si>
  <si>
    <t>https://ebookcentral.proquest.com/lib/NKNU/detail.action?docID=264226</t>
  </si>
  <si>
    <t>https://ebookcentral.proquest.com/lib/NKNU/detail.action?docID=264292</t>
  </si>
  <si>
    <t>https://ebookcentral.proquest.com/lib/NKNU/detail.action?docID=264299</t>
  </si>
  <si>
    <t>https://ebookcentral.proquest.com/lib/NKNU/detail.action?docID=264358</t>
  </si>
  <si>
    <t>https://ebookcentral.proquest.com/lib/NKNU/detail.action?docID=264383</t>
  </si>
  <si>
    <t>https://ebookcentral.proquest.com/lib/NKNU/detail.action?docID=264430</t>
  </si>
  <si>
    <t>https://ebookcentral.proquest.com/lib/NKNU/detail.action?docID=264436</t>
  </si>
  <si>
    <t>https://ebookcentral.proquest.com/lib/NKNU/detail.action?docID=264531</t>
  </si>
  <si>
    <t>https://ebookcentral.proquest.com/lib/NKNU/detail.action?docID=264633</t>
  </si>
  <si>
    <t>https://ebookcentral.proquest.com/lib/NKNU/detail.action?docID=264664</t>
  </si>
  <si>
    <t>https://ebookcentral.proquest.com/lib/NKNU/detail.action?docID=264743</t>
  </si>
  <si>
    <t>https://ebookcentral.proquest.com/lib/NKNU/detail.action?docID=264745</t>
  </si>
  <si>
    <t>https://ebookcentral.proquest.com/lib/NKNU/detail.action?docID=264766</t>
  </si>
  <si>
    <t>https://ebookcentral.proquest.com/lib/NKNU/detail.action?docID=264942</t>
  </si>
  <si>
    <t>https://ebookcentral.proquest.com/lib/NKNU/detail.action?docID=264948</t>
  </si>
  <si>
    <t>https://ebookcentral.proquest.com/lib/NKNU/detail.action?docID=264950</t>
  </si>
  <si>
    <t>https://ebookcentral.proquest.com/lib/NKNU/detail.action?docID=264952</t>
  </si>
  <si>
    <t>https://ebookcentral.proquest.com/lib/NKNU/detail.action?docID=264956</t>
  </si>
  <si>
    <t>https://ebookcentral.proquest.com/lib/NKNU/detail.action?docID=264957</t>
  </si>
  <si>
    <t>https://ebookcentral.proquest.com/lib/NKNU/detail.action?docID=264968</t>
  </si>
  <si>
    <t>https://ebookcentral.proquest.com/lib/NKNU/detail.action?docID=264969</t>
  </si>
  <si>
    <t>https://ebookcentral.proquest.com/lib/NKNU/detail.action?docID=264975</t>
  </si>
  <si>
    <t>https://ebookcentral.proquest.com/lib/NKNU/detail.action?docID=265403</t>
  </si>
  <si>
    <t>https://ebookcentral.proquest.com/lib/NKNU/detail.action?docID=265412</t>
  </si>
  <si>
    <t>https://ebookcentral.proquest.com/lib/NKNU/detail.action?docID=265423</t>
  </si>
  <si>
    <t>https://ebookcentral.proquest.com/lib/NKNU/detail.action?docID=265439</t>
  </si>
  <si>
    <t>https://ebookcentral.proquest.com/lib/NKNU/detail.action?docID=265462</t>
  </si>
  <si>
    <t>https://ebookcentral.proquest.com/lib/NKNU/detail.action?docID=265491</t>
  </si>
  <si>
    <t>https://ebookcentral.proquest.com/lib/NKNU/detail.action?docID=265528</t>
  </si>
  <si>
    <t>https://ebookcentral.proquest.com/lib/NKNU/detail.action?docID=265531</t>
  </si>
  <si>
    <t>https://ebookcentral.proquest.com/lib/NKNU/detail.action?docID=265913</t>
  </si>
  <si>
    <t>https://ebookcentral.proquest.com/lib/NKNU/detail.action?docID=265915</t>
  </si>
  <si>
    <t>https://ebookcentral.proquest.com/lib/NKNU/detail.action?docID=265916</t>
  </si>
  <si>
    <t>https://ebookcentral.proquest.com/lib/NKNU/detail.action?docID=265917</t>
  </si>
  <si>
    <t>https://ebookcentral.proquest.com/lib/NKNU/detail.action?docID=265918</t>
  </si>
  <si>
    <t>https://ebookcentral.proquest.com/lib/NKNU/detail.action?docID=265919</t>
  </si>
  <si>
    <t>https://ebookcentral.proquest.com/lib/NKNU/detail.action?docID=266153</t>
  </si>
  <si>
    <t>https://ebookcentral.proquest.com/lib/NKNU/detail.action?docID=266251</t>
  </si>
  <si>
    <t>https://ebookcentral.proquest.com/lib/NKNU/detail.action?docID=266310</t>
  </si>
  <si>
    <t>https://ebookcentral.proquest.com/lib/NKNU/detail.action?docID=266324</t>
  </si>
  <si>
    <t>https://ebookcentral.proquest.com/lib/NKNU/detail.action?docID=266519</t>
  </si>
  <si>
    <t>https://ebookcentral.proquest.com/lib/NKNU/detail.action?docID=266525</t>
  </si>
  <si>
    <t>https://ebookcentral.proquest.com/lib/NKNU/detail.action?docID=266532</t>
  </si>
  <si>
    <t>https://ebookcentral.proquest.com/lib/NKNU/detail.action?docID=266538</t>
  </si>
  <si>
    <t>https://ebookcentral.proquest.com/lib/NKNU/detail.action?docID=266541</t>
  </si>
  <si>
    <t>https://ebookcentral.proquest.com/lib/NKNU/detail.action?docID=266544</t>
  </si>
  <si>
    <t>https://ebookcentral.proquest.com/lib/NKNU/detail.action?docID=266559</t>
  </si>
  <si>
    <t>https://ebookcentral.proquest.com/lib/NKNU/detail.action?docID=266571</t>
  </si>
  <si>
    <t>https://ebookcentral.proquest.com/lib/NKNU/detail.action?docID=266572</t>
  </si>
  <si>
    <t>https://ebookcentral.proquest.com/lib/NKNU/detail.action?docID=266591</t>
  </si>
  <si>
    <t>https://ebookcentral.proquest.com/lib/NKNU/detail.action?docID=266628</t>
  </si>
  <si>
    <t>https://ebookcentral.proquest.com/lib/NKNU/detail.action?docID=266643</t>
  </si>
  <si>
    <t>https://ebookcentral.proquest.com/lib/NKNU/detail.action?docID=266651</t>
  </si>
  <si>
    <t>https://ebookcentral.proquest.com/lib/NKNU/detail.action?docID=266655</t>
  </si>
  <si>
    <t>https://ebookcentral.proquest.com/lib/NKNU/detail.action?docID=266831</t>
  </si>
  <si>
    <t>https://ebookcentral.proquest.com/lib/NKNU/detail.action?docID=266845</t>
  </si>
  <si>
    <t>https://ebookcentral.proquest.com/lib/NKNU/detail.action?docID=266907</t>
  </si>
  <si>
    <t>https://ebookcentral.proquest.com/lib/NKNU/detail.action?docID=266913</t>
  </si>
  <si>
    <t>https://ebookcentral.proquest.com/lib/NKNU/detail.action?docID=267177</t>
  </si>
  <si>
    <t>https://ebookcentral.proquest.com/lib/NKNU/detail.action?docID=267178</t>
  </si>
  <si>
    <t>https://ebookcentral.proquest.com/lib/NKNU/detail.action?docID=267197</t>
  </si>
  <si>
    <t>https://ebookcentral.proquest.com/lib/NKNU/detail.action?docID=267202</t>
  </si>
  <si>
    <t>https://ebookcentral.proquest.com/lib/NKNU/detail.action?docID=267203</t>
  </si>
  <si>
    <t>https://ebookcentral.proquest.com/lib/NKNU/detail.action?docID=267206</t>
  </si>
  <si>
    <t>https://ebookcentral.proquest.com/lib/NKNU/detail.action?docID=267207</t>
  </si>
  <si>
    <t>https://ebookcentral.proquest.com/lib/NKNU/detail.action?docID=267208</t>
  </si>
  <si>
    <t>https://ebookcentral.proquest.com/lib/NKNU/detail.action?docID=267383</t>
  </si>
  <si>
    <t>https://ebookcentral.proquest.com/lib/NKNU/detail.action?docID=267384</t>
  </si>
  <si>
    <t>https://ebookcentral.proquest.com/lib/NKNU/detail.action?docID=267390</t>
  </si>
  <si>
    <t>https://ebookcentral.proquest.com/lib/NKNU/detail.action?docID=267401</t>
  </si>
  <si>
    <t>https://ebookcentral.proquest.com/lib/NKNU/detail.action?docID=267402</t>
  </si>
  <si>
    <t>https://ebookcentral.proquest.com/lib/NKNU/detail.action?docID=267410</t>
  </si>
  <si>
    <t>https://ebookcentral.proquest.com/lib/NKNU/detail.action?docID=267412</t>
  </si>
  <si>
    <t>https://ebookcentral.proquest.com/lib/NKNU/detail.action?docID=267414</t>
  </si>
  <si>
    <t>https://ebookcentral.proquest.com/lib/NKNU/detail.action?docID=267417</t>
  </si>
  <si>
    <t>https://ebookcentral.proquest.com/lib/NKNU/detail.action?docID=267423</t>
  </si>
  <si>
    <t>https://ebookcentral.proquest.com/lib/NKNU/detail.action?docID=267432</t>
  </si>
  <si>
    <t>https://ebookcentral.proquest.com/lib/NKNU/detail.action?docID=267467</t>
  </si>
  <si>
    <t>https://ebookcentral.proquest.com/lib/NKNU/detail.action?docID=267557</t>
  </si>
  <si>
    <t>https://ebookcentral.proquest.com/lib/NKNU/detail.action?docID=267564</t>
  </si>
  <si>
    <t>https://ebookcentral.proquest.com/lib/NKNU/detail.action?docID=267610</t>
  </si>
  <si>
    <t>https://ebookcentral.proquest.com/lib/NKNU/detail.action?docID=267613</t>
  </si>
  <si>
    <t>https://ebookcentral.proquest.com/lib/NKNU/detail.action?docID=267615</t>
  </si>
  <si>
    <t>https://ebookcentral.proquest.com/lib/NKNU/detail.action?docID=267616</t>
  </si>
  <si>
    <t>https://ebookcentral.proquest.com/lib/NKNU/detail.action?docID=267621</t>
  </si>
  <si>
    <t>https://ebookcentral.proquest.com/lib/NKNU/detail.action?docID=267628</t>
  </si>
  <si>
    <t>https://ebookcentral.proquest.com/lib/NKNU/detail.action?docID=267629</t>
  </si>
  <si>
    <t>https://ebookcentral.proquest.com/lib/NKNU/detail.action?docID=267639</t>
  </si>
  <si>
    <t>https://ebookcentral.proquest.com/lib/NKNU/detail.action?docID=267641</t>
  </si>
  <si>
    <t>https://ebookcentral.proquest.com/lib/NKNU/detail.action?docID=267730</t>
  </si>
  <si>
    <t>https://ebookcentral.proquest.com/lib/NKNU/detail.action?docID=267733</t>
  </si>
  <si>
    <t>https://ebookcentral.proquest.com/lib/NKNU/detail.action?docID=267941</t>
  </si>
  <si>
    <t>https://ebookcentral.proquest.com/lib/NKNU/detail.action?docID=267956</t>
  </si>
  <si>
    <t>https://ebookcentral.proquest.com/lib/NKNU/detail.action?docID=267958</t>
  </si>
  <si>
    <t>https://ebookcentral.proquest.com/lib/NKNU/detail.action?docID=267959</t>
  </si>
  <si>
    <t>https://ebookcentral.proquest.com/lib/NKNU/detail.action?docID=267970</t>
  </si>
  <si>
    <t>https://ebookcentral.proquest.com/lib/NKNU/detail.action?docID=267974</t>
  </si>
  <si>
    <t>https://ebookcentral.proquest.com/lib/NKNU/detail.action?docID=268230</t>
  </si>
  <si>
    <t>https://ebookcentral.proquest.com/lib/NKNU/detail.action?docID=268256</t>
  </si>
  <si>
    <t>https://ebookcentral.proquest.com/lib/NKNU/detail.action?docID=268601</t>
  </si>
  <si>
    <t>https://ebookcentral.proquest.com/lib/NKNU/detail.action?docID=268604</t>
  </si>
  <si>
    <t>https://ebookcentral.proquest.com/lib/NKNU/detail.action?docID=268606</t>
  </si>
  <si>
    <t>https://ebookcentral.proquest.com/lib/NKNU/detail.action?docID=268609</t>
  </si>
  <si>
    <t>https://ebookcentral.proquest.com/lib/NKNU/detail.action?docID=268611</t>
  </si>
  <si>
    <t>https://ebookcentral.proquest.com/lib/NKNU/detail.action?docID=268612</t>
  </si>
  <si>
    <t>https://ebookcentral.proquest.com/lib/NKNU/detail.action?docID=268613</t>
  </si>
  <si>
    <t>https://ebookcentral.proquest.com/lib/NKNU/detail.action?docID=268614</t>
  </si>
  <si>
    <t>https://ebookcentral.proquest.com/lib/NKNU/detail.action?docID=268617</t>
  </si>
  <si>
    <t>https://ebookcentral.proquest.com/lib/NKNU/detail.action?docID=268619</t>
  </si>
  <si>
    <t>https://ebookcentral.proquest.com/lib/NKNU/detail.action?docID=268621</t>
  </si>
  <si>
    <t>https://ebookcentral.proquest.com/lib/NKNU/detail.action?docID=268626</t>
  </si>
  <si>
    <t>https://ebookcentral.proquest.com/lib/NKNU/detail.action?docID=268628</t>
  </si>
  <si>
    <t>https://ebookcentral.proquest.com/lib/NKNU/detail.action?docID=268632</t>
  </si>
  <si>
    <t>https://ebookcentral.proquest.com/lib/NKNU/detail.action?docID=268634</t>
  </si>
  <si>
    <t>https://ebookcentral.proquest.com/lib/NKNU/detail.action?docID=268639</t>
  </si>
  <si>
    <t>https://ebookcentral.proquest.com/lib/NKNU/detail.action?docID=268640</t>
  </si>
  <si>
    <t>https://ebookcentral.proquest.com/lib/NKNU/detail.action?docID=268644</t>
  </si>
  <si>
    <t>https://ebookcentral.proquest.com/lib/NKNU/detail.action?docID=268648</t>
  </si>
  <si>
    <t>https://ebookcentral.proquest.com/lib/NKNU/detail.action?docID=268649</t>
  </si>
  <si>
    <t>https://ebookcentral.proquest.com/lib/NKNU/detail.action?docID=268651</t>
  </si>
  <si>
    <t>https://ebookcentral.proquest.com/lib/NKNU/detail.action?docID=268664</t>
  </si>
  <si>
    <t>https://ebookcentral.proquest.com/lib/NKNU/detail.action?docID=268674</t>
  </si>
  <si>
    <t>https://ebookcentral.proquest.com/lib/NKNU/detail.action?docID=268675</t>
  </si>
  <si>
    <t>https://ebookcentral.proquest.com/lib/NKNU/detail.action?docID=268676</t>
  </si>
  <si>
    <t>https://ebookcentral.proquest.com/lib/NKNU/detail.action?docID=268693</t>
  </si>
  <si>
    <t>https://ebookcentral.proquest.com/lib/NKNU/detail.action?docID=268694</t>
  </si>
  <si>
    <t>https://ebookcentral.proquest.com/lib/NKNU/detail.action?docID=268695</t>
  </si>
  <si>
    <t>https://ebookcentral.proquest.com/lib/NKNU/detail.action?docID=268715</t>
  </si>
  <si>
    <t>https://ebookcentral.proquest.com/lib/NKNU/detail.action?docID=268720</t>
  </si>
  <si>
    <t>https://ebookcentral.proquest.com/lib/NKNU/detail.action?docID=268727</t>
  </si>
  <si>
    <t>https://ebookcentral.proquest.com/lib/NKNU/detail.action?docID=268728</t>
  </si>
  <si>
    <t>https://ebookcentral.proquest.com/lib/NKNU/detail.action?docID=268729</t>
  </si>
  <si>
    <t>https://ebookcentral.proquest.com/lib/NKNU/detail.action?docID=268741</t>
  </si>
  <si>
    <t>https://ebookcentral.proquest.com/lib/NKNU/detail.action?docID=268742</t>
  </si>
  <si>
    <t>https://ebookcentral.proquest.com/lib/NKNU/detail.action?docID=268748</t>
  </si>
  <si>
    <t>https://ebookcentral.proquest.com/lib/NKNU/detail.action?docID=268759</t>
  </si>
  <si>
    <t>https://ebookcentral.proquest.com/lib/NKNU/detail.action?docID=268760</t>
  </si>
  <si>
    <t>https://ebookcentral.proquest.com/lib/NKNU/detail.action?docID=268762</t>
  </si>
  <si>
    <t>https://ebookcentral.proquest.com/lib/NKNU/detail.action?docID=268763</t>
  </si>
  <si>
    <t>https://ebookcentral.proquest.com/lib/NKNU/detail.action?docID=268770</t>
  </si>
  <si>
    <t>https://ebookcentral.proquest.com/lib/NKNU/detail.action?docID=268784</t>
  </si>
  <si>
    <t>https://ebookcentral.proquest.com/lib/NKNU/detail.action?docID=268786</t>
  </si>
  <si>
    <t>https://ebookcentral.proquest.com/lib/NKNU/detail.action?docID=268893</t>
  </si>
  <si>
    <t>https://ebookcentral.proquest.com/lib/NKNU/detail.action?docID=268897</t>
  </si>
  <si>
    <t>https://ebookcentral.proquest.com/lib/NKNU/detail.action?docID=268898</t>
  </si>
  <si>
    <t>https://ebookcentral.proquest.com/lib/NKNU/detail.action?docID=268900</t>
  </si>
  <si>
    <t>https://ebookcentral.proquest.com/lib/NKNU/detail.action?docID=268950</t>
  </si>
  <si>
    <t>https://ebookcentral.proquest.com/lib/NKNU/detail.action?docID=268952</t>
  </si>
  <si>
    <t>https://ebookcentral.proquest.com/lib/NKNU/detail.action?docID=268955</t>
  </si>
  <si>
    <t>https://ebookcentral.proquest.com/lib/NKNU/detail.action?docID=268956</t>
  </si>
  <si>
    <t>https://ebookcentral.proquest.com/lib/NKNU/detail.action?docID=268957</t>
  </si>
  <si>
    <t>https://ebookcentral.proquest.com/lib/NKNU/detail.action?docID=268967</t>
  </si>
  <si>
    <t>https://ebookcentral.proquest.com/lib/NKNU/detail.action?docID=268968</t>
  </si>
  <si>
    <t>https://ebookcentral.proquest.com/lib/NKNU/detail.action?docID=268969</t>
  </si>
  <si>
    <t>https://ebookcentral.proquest.com/lib/NKNU/detail.action?docID=268977</t>
  </si>
  <si>
    <t>https://ebookcentral.proquest.com/lib/NKNU/detail.action?docID=268981</t>
  </si>
  <si>
    <t>https://ebookcentral.proquest.com/lib/NKNU/detail.action?docID=268982</t>
  </si>
  <si>
    <t>https://ebookcentral.proquest.com/lib/NKNU/detail.action?docID=268983</t>
  </si>
  <si>
    <t>https://ebookcentral.proquest.com/lib/NKNU/detail.action?docID=268984</t>
  </si>
  <si>
    <t>https://ebookcentral.proquest.com/lib/NKNU/detail.action?docID=268985</t>
  </si>
  <si>
    <t>https://ebookcentral.proquest.com/lib/NKNU/detail.action?docID=268986</t>
  </si>
  <si>
    <t>https://ebookcentral.proquest.com/lib/NKNU/detail.action?docID=268987</t>
  </si>
  <si>
    <t>https://ebookcentral.proquest.com/lib/NKNU/detail.action?docID=268988</t>
  </si>
  <si>
    <t>https://ebookcentral.proquest.com/lib/NKNU/detail.action?docID=269001</t>
  </si>
  <si>
    <t>https://ebookcentral.proquest.com/lib/NKNU/detail.action?docID=269003</t>
  </si>
  <si>
    <t>https://ebookcentral.proquest.com/lib/NKNU/detail.action?docID=269179</t>
  </si>
  <si>
    <t>https://ebookcentral.proquest.com/lib/NKNU/detail.action?docID=269184</t>
  </si>
  <si>
    <t>https://ebookcentral.proquest.com/lib/NKNU/detail.action?docID=269201</t>
  </si>
  <si>
    <t>https://ebookcentral.proquest.com/lib/NKNU/detail.action?docID=269206</t>
  </si>
  <si>
    <t>https://ebookcentral.proquest.com/lib/NKNU/detail.action?docID=269209</t>
  </si>
  <si>
    <t>https://ebookcentral.proquest.com/lib/NKNU/detail.action?docID=269214</t>
  </si>
  <si>
    <t>https://ebookcentral.proquest.com/lib/NKNU/detail.action?docID=269418</t>
  </si>
  <si>
    <t>https://ebookcentral.proquest.com/lib/NKNU/detail.action?docID=269472</t>
  </si>
  <si>
    <t>https://ebookcentral.proquest.com/lib/NKNU/detail.action?docID=269486</t>
  </si>
  <si>
    <t>https://ebookcentral.proquest.com/lib/NKNU/detail.action?docID=269487</t>
  </si>
  <si>
    <t>https://ebookcentral.proquest.com/lib/NKNU/detail.action?docID=269492</t>
  </si>
  <si>
    <t>https://ebookcentral.proquest.com/lib/NKNU/detail.action?docID=269494</t>
  </si>
  <si>
    <t>https://ebookcentral.proquest.com/lib/NKNU/detail.action?docID=269496</t>
  </si>
  <si>
    <t>https://ebookcentral.proquest.com/lib/NKNU/detail.action?docID=269497</t>
  </si>
  <si>
    <t>https://ebookcentral.proquest.com/lib/NKNU/detail.action?docID=269500</t>
  </si>
  <si>
    <t>https://ebookcentral.proquest.com/lib/NKNU/detail.action?docID=269502</t>
  </si>
  <si>
    <t>https://ebookcentral.proquest.com/lib/NKNU/detail.action?docID=269504</t>
  </si>
  <si>
    <t>https://ebookcentral.proquest.com/lib/NKNU/detail.action?docID=269505</t>
  </si>
  <si>
    <t>https://ebookcentral.proquest.com/lib/NKNU/detail.action?docID=269506</t>
  </si>
  <si>
    <t>https://ebookcentral.proquest.com/lib/NKNU/detail.action?docID=269528</t>
  </si>
  <si>
    <t>https://ebookcentral.proquest.com/lib/NKNU/detail.action?docID=269538</t>
  </si>
  <si>
    <t>https://ebookcentral.proquest.com/lib/NKNU/detail.action?docID=269545</t>
  </si>
  <si>
    <t>https://ebookcentral.proquest.com/lib/NKNU/detail.action?docID=269547</t>
  </si>
  <si>
    <t>https://ebookcentral.proquest.com/lib/NKNU/detail.action?docID=269563</t>
  </si>
  <si>
    <t>https://ebookcentral.proquest.com/lib/NKNU/detail.action?docID=269572</t>
  </si>
  <si>
    <t>https://ebookcentral.proquest.com/lib/NKNU/detail.action?docID=269588</t>
  </si>
  <si>
    <t>https://ebookcentral.proquest.com/lib/NKNU/detail.action?docID=269628</t>
  </si>
  <si>
    <t>https://ebookcentral.proquest.com/lib/NKNU/detail.action?docID=269660</t>
  </si>
  <si>
    <t>https://ebookcentral.proquest.com/lib/NKNU/detail.action?docID=269662</t>
  </si>
  <si>
    <t>https://ebookcentral.proquest.com/lib/NKNU/detail.action?docID=269695</t>
  </si>
  <si>
    <t>https://ebookcentral.proquest.com/lib/NKNU/detail.action?docID=269710</t>
  </si>
  <si>
    <t>https://ebookcentral.proquest.com/lib/NKNU/detail.action?docID=269755</t>
  </si>
  <si>
    <t>https://ebookcentral.proquest.com/lib/NKNU/detail.action?docID=269776</t>
  </si>
  <si>
    <t>https://ebookcentral.proquest.com/lib/NKNU/detail.action?docID=269780</t>
  </si>
  <si>
    <t>https://ebookcentral.proquest.com/lib/NKNU/detail.action?docID=269783</t>
  </si>
  <si>
    <t>https://ebookcentral.proquest.com/lib/NKNU/detail.action?docID=269798</t>
  </si>
  <si>
    <t>https://ebookcentral.proquest.com/lib/NKNU/detail.action?docID=269816</t>
  </si>
  <si>
    <t>https://ebookcentral.proquest.com/lib/NKNU/detail.action?docID=269847</t>
  </si>
  <si>
    <t>https://ebookcentral.proquest.com/lib/NKNU/detail.action?docID=269894</t>
  </si>
  <si>
    <t>https://ebookcentral.proquest.com/lib/NKNU/detail.action?docID=269900</t>
  </si>
  <si>
    <t>https://ebookcentral.proquest.com/lib/NKNU/detail.action?docID=269914</t>
  </si>
  <si>
    <t>https://ebookcentral.proquest.com/lib/NKNU/detail.action?docID=269920</t>
  </si>
  <si>
    <t>https://ebookcentral.proquest.com/lib/NKNU/detail.action?docID=269928</t>
  </si>
  <si>
    <t>https://ebookcentral.proquest.com/lib/NKNU/detail.action?docID=269930</t>
  </si>
  <si>
    <t>https://ebookcentral.proquest.com/lib/NKNU/detail.action?docID=269933</t>
  </si>
  <si>
    <t>https://ebookcentral.proquest.com/lib/NKNU/detail.action?docID=269939</t>
  </si>
  <si>
    <t>https://ebookcentral.proquest.com/lib/NKNU/detail.action?docID=269954</t>
  </si>
  <si>
    <t>https://ebookcentral.proquest.com/lib/NKNU/detail.action?docID=269956</t>
  </si>
  <si>
    <t>https://ebookcentral.proquest.com/lib/NKNU/detail.action?docID=269958</t>
  </si>
  <si>
    <t>https://ebookcentral.proquest.com/lib/NKNU/detail.action?docID=269960</t>
  </si>
  <si>
    <t>https://ebookcentral.proquest.com/lib/NKNU/detail.action?docID=269961</t>
  </si>
  <si>
    <t>https://ebookcentral.proquest.com/lib/NKNU/detail.action?docID=269962</t>
  </si>
  <si>
    <t>https://ebookcentral.proquest.com/lib/NKNU/detail.action?docID=269963</t>
  </si>
  <si>
    <t>https://ebookcentral.proquest.com/lib/NKNU/detail.action?docID=269990</t>
  </si>
  <si>
    <t>https://ebookcentral.proquest.com/lib/NKNU/detail.action?docID=269997</t>
  </si>
  <si>
    <t>https://ebookcentral.proquest.com/lib/NKNU/detail.action?docID=270028</t>
  </si>
  <si>
    <t>https://ebookcentral.proquest.com/lib/NKNU/detail.action?docID=270108</t>
  </si>
  <si>
    <t>https://ebookcentral.proquest.com/lib/NKNU/detail.action?docID=270111</t>
  </si>
  <si>
    <t>https://ebookcentral.proquest.com/lib/NKNU/detail.action?docID=270117</t>
  </si>
  <si>
    <t>https://ebookcentral.proquest.com/lib/NKNU/detail.action?docID=270131</t>
  </si>
  <si>
    <t>https://ebookcentral.proquest.com/lib/NKNU/detail.action?docID=270134</t>
  </si>
  <si>
    <t>https://ebookcentral.proquest.com/lib/NKNU/detail.action?docID=270146</t>
  </si>
  <si>
    <t>https://ebookcentral.proquest.com/lib/NKNU/detail.action?docID=270184</t>
  </si>
  <si>
    <t>https://ebookcentral.proquest.com/lib/NKNU/detail.action?docID=270199</t>
  </si>
  <si>
    <t>https://ebookcentral.proquest.com/lib/NKNU/detail.action?docID=270211</t>
  </si>
  <si>
    <t>https://ebookcentral.proquest.com/lib/NKNU/detail.action?docID=270219</t>
  </si>
  <si>
    <t>https://ebookcentral.proquest.com/lib/NKNU/detail.action?docID=270226</t>
  </si>
  <si>
    <t>https://ebookcentral.proquest.com/lib/NKNU/detail.action?docID=270265</t>
  </si>
  <si>
    <t>https://ebookcentral.proquest.com/lib/NKNU/detail.action?docID=270267</t>
  </si>
  <si>
    <t>https://ebookcentral.proquest.com/lib/NKNU/detail.action?docID=270284</t>
  </si>
  <si>
    <t>https://ebookcentral.proquest.com/lib/NKNU/detail.action?docID=270328</t>
  </si>
  <si>
    <t>https://ebookcentral.proquest.com/lib/NKNU/detail.action?docID=270334</t>
  </si>
  <si>
    <t>https://ebookcentral.proquest.com/lib/NKNU/detail.action?docID=270340</t>
  </si>
  <si>
    <t>https://ebookcentral.proquest.com/lib/NKNU/detail.action?docID=270378</t>
  </si>
  <si>
    <t>https://ebookcentral.proquest.com/lib/NKNU/detail.action?docID=270386</t>
  </si>
  <si>
    <t>https://ebookcentral.proquest.com/lib/NKNU/detail.action?docID=270389</t>
  </si>
  <si>
    <t>https://ebookcentral.proquest.com/lib/NKNU/detail.action?docID=270414</t>
  </si>
  <si>
    <t>https://ebookcentral.proquest.com/lib/NKNU/detail.action?docID=270417</t>
  </si>
  <si>
    <t>https://ebookcentral.proquest.com/lib/NKNU/detail.action?docID=270426</t>
  </si>
  <si>
    <t>https://ebookcentral.proquest.com/lib/NKNU/detail.action?docID=270527</t>
  </si>
  <si>
    <t>https://ebookcentral.proquest.com/lib/NKNU/detail.action?docID=270585</t>
  </si>
  <si>
    <t>https://ebookcentral.proquest.com/lib/NKNU/detail.action?docID=270591</t>
  </si>
  <si>
    <t>https://ebookcentral.proquest.com/lib/NKNU/detail.action?docID=270620</t>
  </si>
  <si>
    <t>https://ebookcentral.proquest.com/lib/NKNU/detail.action?docID=270634</t>
  </si>
  <si>
    <t>https://ebookcentral.proquest.com/lib/NKNU/detail.action?docID=270637</t>
  </si>
  <si>
    <t>https://ebookcentral.proquest.com/lib/NKNU/detail.action?docID=270638</t>
  </si>
  <si>
    <t>https://ebookcentral.proquest.com/lib/NKNU/detail.action?docID=270649</t>
  </si>
  <si>
    <t>https://ebookcentral.proquest.com/lib/NKNU/detail.action?docID=270655</t>
  </si>
  <si>
    <t>https://ebookcentral.proquest.com/lib/NKNU/detail.action?docID=270768</t>
  </si>
  <si>
    <t>https://ebookcentral.proquest.com/lib/NKNU/detail.action?docID=270860</t>
  </si>
  <si>
    <t>https://ebookcentral.proquest.com/lib/NKNU/detail.action?docID=270863</t>
  </si>
  <si>
    <t>https://ebookcentral.proquest.com/lib/NKNU/detail.action?docID=270865</t>
  </si>
  <si>
    <t>https://ebookcentral.proquest.com/lib/NKNU/detail.action?docID=270911</t>
  </si>
  <si>
    <t>https://ebookcentral.proquest.com/lib/NKNU/detail.action?docID=270920</t>
  </si>
  <si>
    <t>https://ebookcentral.proquest.com/lib/NKNU/detail.action?docID=270966</t>
  </si>
  <si>
    <t>https://ebookcentral.proquest.com/lib/NKNU/detail.action?docID=270994</t>
  </si>
  <si>
    <t>https://ebookcentral.proquest.com/lib/NKNU/detail.action?docID=271107</t>
  </si>
  <si>
    <t>https://ebookcentral.proquest.com/lib/NKNU/detail.action?docID=271117</t>
  </si>
  <si>
    <t>https://ebookcentral.proquest.com/lib/NKNU/detail.action?docID=271140</t>
  </si>
  <si>
    <t>https://ebookcentral.proquest.com/lib/NKNU/detail.action?docID=271170</t>
  </si>
  <si>
    <t>https://ebookcentral.proquest.com/lib/NKNU/detail.action?docID=271183</t>
  </si>
  <si>
    <t>https://ebookcentral.proquest.com/lib/NKNU/detail.action?docID=271194</t>
  </si>
  <si>
    <t>https://ebookcentral.proquest.com/lib/NKNU/detail.action?docID=271196</t>
  </si>
  <si>
    <t>https://ebookcentral.proquest.com/lib/NKNU/detail.action?docID=271197</t>
  </si>
  <si>
    <t>https://ebookcentral.proquest.com/lib/NKNU/detail.action?docID=271213</t>
  </si>
  <si>
    <t>https://ebookcentral.proquest.com/lib/NKNU/detail.action?docID=271225</t>
  </si>
  <si>
    <t>https://ebookcentral.proquest.com/lib/NKNU/detail.action?docID=271255</t>
  </si>
  <si>
    <t>https://ebookcentral.proquest.com/lib/NKNU/detail.action?docID=271268</t>
  </si>
  <si>
    <t>https://ebookcentral.proquest.com/lib/NKNU/detail.action?docID=271269</t>
  </si>
  <si>
    <t>https://ebookcentral.proquest.com/lib/NKNU/detail.action?docID=271278</t>
  </si>
  <si>
    <t>https://ebookcentral.proquest.com/lib/NKNU/detail.action?docID=271345</t>
  </si>
  <si>
    <t>https://ebookcentral.proquest.com/lib/NKNU/detail.action?docID=271347</t>
  </si>
  <si>
    <t>https://ebookcentral.proquest.com/lib/NKNU/detail.action?docID=271353</t>
  </si>
  <si>
    <t>https://ebookcentral.proquest.com/lib/NKNU/detail.action?docID=271422</t>
  </si>
  <si>
    <t>https://ebookcentral.proquest.com/lib/NKNU/detail.action?docID=271439</t>
  </si>
  <si>
    <t>https://ebookcentral.proquest.com/lib/NKNU/detail.action?docID=271466</t>
  </si>
  <si>
    <t>https://ebookcentral.proquest.com/lib/NKNU/detail.action?docID=271489</t>
  </si>
  <si>
    <t>https://ebookcentral.proquest.com/lib/NKNU/detail.action?docID=271577</t>
  </si>
  <si>
    <t>https://ebookcentral.proquest.com/lib/NKNU/detail.action?docID=271582</t>
  </si>
  <si>
    <t>https://ebookcentral.proquest.com/lib/NKNU/detail.action?docID=271677</t>
  </si>
  <si>
    <t>https://ebookcentral.proquest.com/lib/NKNU/detail.action?docID=271689</t>
  </si>
  <si>
    <t>https://ebookcentral.proquest.com/lib/NKNU/detail.action?docID=271729</t>
  </si>
  <si>
    <t>https://ebookcentral.proquest.com/lib/NKNU/detail.action?docID=271757</t>
  </si>
  <si>
    <t>https://ebookcentral.proquest.com/lib/NKNU/detail.action?docID=271791</t>
  </si>
  <si>
    <t>https://ebookcentral.proquest.com/lib/NKNU/detail.action?docID=271794</t>
  </si>
  <si>
    <t>https://ebookcentral.proquest.com/lib/NKNU/detail.action?docID=271822</t>
  </si>
  <si>
    <t>https://ebookcentral.proquest.com/lib/NKNU/detail.action?docID=271826</t>
  </si>
  <si>
    <t>https://ebookcentral.proquest.com/lib/NKNU/detail.action?docID=271859</t>
  </si>
  <si>
    <t>https://ebookcentral.proquest.com/lib/NKNU/detail.action?docID=271865</t>
  </si>
  <si>
    <t>https://ebookcentral.proquest.com/lib/NKNU/detail.action?docID=271866</t>
  </si>
  <si>
    <t>https://ebookcentral.proquest.com/lib/NKNU/detail.action?docID=271929</t>
  </si>
  <si>
    <t>https://ebookcentral.proquest.com/lib/NKNU/detail.action?docID=272067</t>
  </si>
  <si>
    <t>https://ebookcentral.proquest.com/lib/NKNU/detail.action?docID=272073</t>
  </si>
  <si>
    <t>https://ebookcentral.proquest.com/lib/NKNU/detail.action?docID=272074</t>
  </si>
  <si>
    <t>https://ebookcentral.proquest.com/lib/NKNU/detail.action?docID=272076</t>
  </si>
  <si>
    <t>https://ebookcentral.proquest.com/lib/NKNU/detail.action?docID=272077</t>
  </si>
  <si>
    <t>https://ebookcentral.proquest.com/lib/NKNU/detail.action?docID=272078</t>
  </si>
  <si>
    <t>https://ebookcentral.proquest.com/lib/NKNU/detail.action?docID=272079</t>
  </si>
  <si>
    <t>https://ebookcentral.proquest.com/lib/NKNU/detail.action?docID=272080</t>
  </si>
  <si>
    <t>https://ebookcentral.proquest.com/lib/NKNU/detail.action?docID=272082</t>
  </si>
  <si>
    <t>https://ebookcentral.proquest.com/lib/NKNU/detail.action?docID=272119</t>
  </si>
  <si>
    <t>https://ebookcentral.proquest.com/lib/NKNU/detail.action?docID=272123</t>
  </si>
  <si>
    <t>https://ebookcentral.proquest.com/lib/NKNU/detail.action?docID=272146</t>
  </si>
  <si>
    <t>https://ebookcentral.proquest.com/lib/NKNU/detail.action?docID=272229</t>
  </si>
  <si>
    <t>https://ebookcentral.proquest.com/lib/NKNU/detail.action?docID=272284</t>
  </si>
  <si>
    <t>https://ebookcentral.proquest.com/lib/NKNU/detail.action?docID=272294</t>
  </si>
  <si>
    <t>https://ebookcentral.proquest.com/lib/NKNU/detail.action?docID=272311</t>
  </si>
  <si>
    <t>https://ebookcentral.proquest.com/lib/NKNU/detail.action?docID=272356</t>
  </si>
  <si>
    <t>https://ebookcentral.proquest.com/lib/NKNU/detail.action?docID=272358</t>
  </si>
  <si>
    <t>https://ebookcentral.proquest.com/lib/NKNU/detail.action?docID=272482</t>
  </si>
  <si>
    <t>https://ebookcentral.proquest.com/lib/NKNU/detail.action?docID=272555</t>
  </si>
  <si>
    <t>https://ebookcentral.proquest.com/lib/NKNU/detail.action?docID=272557</t>
  </si>
  <si>
    <t>https://ebookcentral.proquest.com/lib/NKNU/detail.action?docID=272625</t>
  </si>
  <si>
    <t>https://ebookcentral.proquest.com/lib/NKNU/detail.action?docID=272626</t>
  </si>
  <si>
    <t>https://ebookcentral.proquest.com/lib/NKNU/detail.action?docID=272678</t>
  </si>
  <si>
    <t>https://ebookcentral.proquest.com/lib/NKNU/detail.action?docID=272697</t>
  </si>
  <si>
    <t>https://ebookcentral.proquest.com/lib/NKNU/detail.action?docID=272740</t>
  </si>
  <si>
    <t>https://ebookcentral.proquest.com/lib/NKNU/detail.action?docID=272774</t>
  </si>
  <si>
    <t>https://ebookcentral.proquest.com/lib/NKNU/detail.action?docID=272788</t>
  </si>
  <si>
    <t>https://ebookcentral.proquest.com/lib/NKNU/detail.action?docID=272860</t>
  </si>
  <si>
    <t>https://ebookcentral.proquest.com/lib/NKNU/detail.action?docID=272918</t>
  </si>
  <si>
    <t>https://ebookcentral.proquest.com/lib/NKNU/detail.action?docID=272929</t>
  </si>
  <si>
    <t>https://ebookcentral.proquest.com/lib/NKNU/detail.action?docID=272991</t>
  </si>
  <si>
    <t>https://ebookcentral.proquest.com/lib/NKNU/detail.action?docID=273167</t>
  </si>
  <si>
    <t>https://ebookcentral.proquest.com/lib/NKNU/detail.action?docID=273182</t>
  </si>
  <si>
    <t>https://ebookcentral.proquest.com/lib/NKNU/detail.action?docID=273382</t>
  </si>
  <si>
    <t>https://ebookcentral.proquest.com/lib/NKNU/detail.action?docID=273418</t>
  </si>
  <si>
    <t>https://ebookcentral.proquest.com/lib/NKNU/detail.action?docID=273528</t>
  </si>
  <si>
    <t>https://ebookcentral.proquest.com/lib/NKNU/detail.action?docID=273549</t>
  </si>
  <si>
    <t>https://ebookcentral.proquest.com/lib/NKNU/detail.action?docID=273618</t>
  </si>
  <si>
    <t>https://ebookcentral.proquest.com/lib/NKNU/detail.action?docID=273625</t>
  </si>
  <si>
    <t>https://ebookcentral.proquest.com/lib/NKNU/detail.action?docID=273630</t>
  </si>
  <si>
    <t>https://ebookcentral.proquest.com/lib/NKNU/detail.action?docID=273646</t>
  </si>
  <si>
    <t>https://ebookcentral.proquest.com/lib/NKNU/detail.action?docID=273648</t>
  </si>
  <si>
    <t>https://ebookcentral.proquest.com/lib/NKNU/detail.action?docID=273654</t>
  </si>
  <si>
    <t>https://ebookcentral.proquest.com/lib/NKNU/detail.action?docID=273655</t>
  </si>
  <si>
    <t>https://ebookcentral.proquest.com/lib/NKNU/detail.action?docID=273659</t>
  </si>
  <si>
    <t>https://ebookcentral.proquest.com/lib/NKNU/detail.action?docID=273662</t>
  </si>
  <si>
    <t>https://ebookcentral.proquest.com/lib/NKNU/detail.action?docID=273663</t>
  </si>
  <si>
    <t>https://ebookcentral.proquest.com/lib/NKNU/detail.action?docID=273667</t>
  </si>
  <si>
    <t>https://ebookcentral.proquest.com/lib/NKNU/detail.action?docID=273678</t>
  </si>
  <si>
    <t>https://ebookcentral.proquest.com/lib/NKNU/detail.action?docID=273680</t>
  </si>
  <si>
    <t>https://ebookcentral.proquest.com/lib/NKNU/detail.action?docID=273681</t>
  </si>
  <si>
    <t>https://ebookcentral.proquest.com/lib/NKNU/detail.action?docID=273687</t>
  </si>
  <si>
    <t>https://ebookcentral.proquest.com/lib/NKNU/detail.action?docID=273690</t>
  </si>
  <si>
    <t>https://ebookcentral.proquest.com/lib/NKNU/detail.action?docID=273691</t>
  </si>
  <si>
    <t>https://ebookcentral.proquest.com/lib/NKNU/detail.action?docID=273702</t>
  </si>
  <si>
    <t>https://ebookcentral.proquest.com/lib/NKNU/detail.action?docID=273703</t>
  </si>
  <si>
    <t>https://ebookcentral.proquest.com/lib/NKNU/detail.action?docID=273705</t>
  </si>
  <si>
    <t>https://ebookcentral.proquest.com/lib/NKNU/detail.action?docID=273707</t>
  </si>
  <si>
    <t>https://ebookcentral.proquest.com/lib/NKNU/detail.action?docID=273708</t>
  </si>
  <si>
    <t>https://ebookcentral.proquest.com/lib/NKNU/detail.action?docID=273710</t>
  </si>
  <si>
    <t>https://ebookcentral.proquest.com/lib/NKNU/detail.action?docID=273712</t>
  </si>
  <si>
    <t>https://ebookcentral.proquest.com/lib/NKNU/detail.action?docID=273714</t>
  </si>
  <si>
    <t>https://ebookcentral.proquest.com/lib/NKNU/detail.action?docID=273718</t>
  </si>
  <si>
    <t>https://ebookcentral.proquest.com/lib/NKNU/detail.action?docID=273719</t>
  </si>
  <si>
    <t>https://ebookcentral.proquest.com/lib/NKNU/detail.action?docID=273722</t>
  </si>
  <si>
    <t>https://ebookcentral.proquest.com/lib/NKNU/detail.action?docID=273727</t>
  </si>
  <si>
    <t>https://ebookcentral.proquest.com/lib/NKNU/detail.action?docID=273732</t>
  </si>
  <si>
    <t>https://ebookcentral.proquest.com/lib/NKNU/detail.action?docID=273733</t>
  </si>
  <si>
    <t>https://ebookcentral.proquest.com/lib/NKNU/detail.action?docID=273735</t>
  </si>
  <si>
    <t>https://ebookcentral.proquest.com/lib/NKNU/detail.action?docID=273737</t>
  </si>
  <si>
    <t>https://ebookcentral.proquest.com/lib/NKNU/detail.action?docID=273743</t>
  </si>
  <si>
    <t>https://ebookcentral.proquest.com/lib/NKNU/detail.action?docID=273747</t>
  </si>
  <si>
    <t>https://ebookcentral.proquest.com/lib/NKNU/detail.action?docID=273756</t>
  </si>
  <si>
    <t>https://ebookcentral.proquest.com/lib/NKNU/detail.action?docID=273768</t>
  </si>
  <si>
    <t>https://ebookcentral.proquest.com/lib/NKNU/detail.action?docID=273769</t>
  </si>
  <si>
    <t>https://ebookcentral.proquest.com/lib/NKNU/detail.action?docID=273770</t>
  </si>
  <si>
    <t>https://ebookcentral.proquest.com/lib/NKNU/detail.action?docID=273773</t>
  </si>
  <si>
    <t>https://ebookcentral.proquest.com/lib/NKNU/detail.action?docID=273774</t>
  </si>
  <si>
    <t>https://ebookcentral.proquest.com/lib/NKNU/detail.action?docID=273775</t>
  </si>
  <si>
    <t>https://ebookcentral.proquest.com/lib/NKNU/detail.action?docID=273776</t>
  </si>
  <si>
    <t>https://ebookcentral.proquest.com/lib/NKNU/detail.action?docID=273780</t>
  </si>
  <si>
    <t>https://ebookcentral.proquest.com/lib/NKNU/detail.action?docID=273782</t>
  </si>
  <si>
    <t>https://ebookcentral.proquest.com/lib/NKNU/detail.action?docID=273787</t>
  </si>
  <si>
    <t>https://ebookcentral.proquest.com/lib/NKNU/detail.action?docID=273795</t>
  </si>
  <si>
    <t>https://ebookcentral.proquest.com/lib/NKNU/detail.action?docID=273796</t>
  </si>
  <si>
    <t>https://ebookcentral.proquest.com/lib/NKNU/detail.action?docID=273797</t>
  </si>
  <si>
    <t>https://ebookcentral.proquest.com/lib/NKNU/detail.action?docID=273800</t>
  </si>
  <si>
    <t>https://ebookcentral.proquest.com/lib/NKNU/detail.action?docID=273801</t>
  </si>
  <si>
    <t>https://ebookcentral.proquest.com/lib/NKNU/detail.action?docID=273805</t>
  </si>
  <si>
    <t>https://ebookcentral.proquest.com/lib/NKNU/detail.action?docID=273807</t>
  </si>
  <si>
    <t>https://ebookcentral.proquest.com/lib/NKNU/detail.action?docID=273808</t>
  </si>
  <si>
    <t>https://ebookcentral.proquest.com/lib/NKNU/detail.action?docID=273814</t>
  </si>
  <si>
    <t>https://ebookcentral.proquest.com/lib/NKNU/detail.action?docID=273818</t>
  </si>
  <si>
    <t>https://ebookcentral.proquest.com/lib/NKNU/detail.action?docID=273819</t>
  </si>
  <si>
    <t>https://ebookcentral.proquest.com/lib/NKNU/detail.action?docID=273823</t>
  </si>
  <si>
    <t>https://ebookcentral.proquest.com/lib/NKNU/detail.action?docID=273826</t>
  </si>
  <si>
    <t>https://ebookcentral.proquest.com/lib/NKNU/detail.action?docID=273828</t>
  </si>
  <si>
    <t>https://ebookcentral.proquest.com/lib/NKNU/detail.action?docID=273833</t>
  </si>
  <si>
    <t>https://ebookcentral.proquest.com/lib/NKNU/detail.action?docID=273841</t>
  </si>
  <si>
    <t>https://ebookcentral.proquest.com/lib/NKNU/detail.action?docID=273844</t>
  </si>
  <si>
    <t>https://ebookcentral.proquest.com/lib/NKNU/detail.action?docID=273865</t>
  </si>
  <si>
    <t>https://ebookcentral.proquest.com/lib/NKNU/detail.action?docID=273866</t>
  </si>
  <si>
    <t>https://ebookcentral.proquest.com/lib/NKNU/detail.action?docID=273872</t>
  </si>
  <si>
    <t>https://ebookcentral.proquest.com/lib/NKNU/detail.action?docID=273874</t>
  </si>
  <si>
    <t>https://ebookcentral.proquest.com/lib/NKNU/detail.action?docID=273937</t>
  </si>
  <si>
    <t>https://ebookcentral.proquest.com/lib/NKNU/detail.action?docID=273939</t>
  </si>
  <si>
    <t>https://ebookcentral.proquest.com/lib/NKNU/detail.action?docID=273944</t>
  </si>
  <si>
    <t>https://ebookcentral.proquest.com/lib/NKNU/detail.action?docID=274071</t>
  </si>
  <si>
    <t>https://ebookcentral.proquest.com/lib/NKNU/detail.action?docID=274072</t>
  </si>
  <si>
    <t>https://ebookcentral.proquest.com/lib/NKNU/detail.action?docID=274226</t>
  </si>
  <si>
    <t>https://ebookcentral.proquest.com/lib/NKNU/detail.action?docID=274240</t>
  </si>
  <si>
    <t>https://ebookcentral.proquest.com/lib/NKNU/detail.action?docID=274369</t>
  </si>
  <si>
    <t>https://ebookcentral.proquest.com/lib/NKNU/detail.action?docID=274403</t>
  </si>
  <si>
    <t>https://ebookcentral.proquest.com/lib/NKNU/detail.action?docID=274411</t>
  </si>
  <si>
    <t>https://ebookcentral.proquest.com/lib/NKNU/detail.action?docID=274421</t>
  </si>
  <si>
    <t>https://ebookcentral.proquest.com/lib/NKNU/detail.action?docID=274422</t>
  </si>
  <si>
    <t>https://ebookcentral.proquest.com/lib/NKNU/detail.action?docID=274428</t>
  </si>
  <si>
    <t>https://ebookcentral.proquest.com/lib/NKNU/detail.action?docID=274429</t>
  </si>
  <si>
    <t>https://ebookcentral.proquest.com/lib/NKNU/detail.action?docID=274432</t>
  </si>
  <si>
    <t>https://ebookcentral.proquest.com/lib/NKNU/detail.action?docID=274438</t>
  </si>
  <si>
    <t>https://ebookcentral.proquest.com/lib/NKNU/detail.action?docID=274444</t>
  </si>
  <si>
    <t>https://ebookcentral.proquest.com/lib/NKNU/detail.action?docID=274447</t>
  </si>
  <si>
    <t>https://ebookcentral.proquest.com/lib/NKNU/detail.action?docID=274452</t>
  </si>
  <si>
    <t>https://ebookcentral.proquest.com/lib/NKNU/detail.action?docID=274454</t>
  </si>
  <si>
    <t>https://ebookcentral.proquest.com/lib/NKNU/detail.action?docID=274461</t>
  </si>
  <si>
    <t>https://ebookcentral.proquest.com/lib/NKNU/detail.action?docID=274464</t>
  </si>
  <si>
    <t>https://ebookcentral.proquest.com/lib/NKNU/detail.action?docID=274466</t>
  </si>
  <si>
    <t>https://ebookcentral.proquest.com/lib/NKNU/detail.action?docID=274469</t>
  </si>
  <si>
    <t>https://ebookcentral.proquest.com/lib/NKNU/detail.action?docID=274474</t>
  </si>
  <si>
    <t>https://ebookcentral.proquest.com/lib/NKNU/detail.action?docID=274476</t>
  </si>
  <si>
    <t>https://ebookcentral.proquest.com/lib/NKNU/detail.action?docID=274480</t>
  </si>
  <si>
    <t>https://ebookcentral.proquest.com/lib/NKNU/detail.action?docID=274481</t>
  </si>
  <si>
    <t>https://ebookcentral.proquest.com/lib/NKNU/detail.action?docID=274482</t>
  </si>
  <si>
    <t>https://ebookcentral.proquest.com/lib/NKNU/detail.action?docID=274484</t>
  </si>
  <si>
    <t>https://ebookcentral.proquest.com/lib/NKNU/detail.action?docID=274485</t>
  </si>
  <si>
    <t>https://ebookcentral.proquest.com/lib/NKNU/detail.action?docID=274486</t>
  </si>
  <si>
    <t>https://ebookcentral.proquest.com/lib/NKNU/detail.action?docID=274488</t>
  </si>
  <si>
    <t>https://ebookcentral.proquest.com/lib/NKNU/detail.action?docID=274493</t>
  </si>
  <si>
    <t>https://ebookcentral.proquest.com/lib/NKNU/detail.action?docID=274494</t>
  </si>
  <si>
    <t>https://ebookcentral.proquest.com/lib/NKNU/detail.action?docID=274495</t>
  </si>
  <si>
    <t>https://ebookcentral.proquest.com/lib/NKNU/detail.action?docID=274583</t>
  </si>
  <si>
    <t>https://ebookcentral.proquest.com/lib/NKNU/detail.action?docID=274677</t>
  </si>
  <si>
    <t>https://ebookcentral.proquest.com/lib/NKNU/detail.action?docID=274680</t>
  </si>
  <si>
    <t>https://ebookcentral.proquest.com/lib/NKNU/detail.action?docID=274697</t>
  </si>
  <si>
    <t>https://ebookcentral.proquest.com/lib/NKNU/detail.action?docID=274707</t>
  </si>
  <si>
    <t>https://ebookcentral.proquest.com/lib/NKNU/detail.action?docID=274708</t>
  </si>
  <si>
    <t>https://ebookcentral.proquest.com/lib/NKNU/detail.action?docID=274709</t>
  </si>
  <si>
    <t>https://ebookcentral.proquest.com/lib/NKNU/detail.action?docID=274711</t>
  </si>
  <si>
    <t>https://ebookcentral.proquest.com/lib/NKNU/detail.action?docID=274837</t>
  </si>
  <si>
    <t>https://ebookcentral.proquest.com/lib/NKNU/detail.action?docID=274845</t>
  </si>
  <si>
    <t>https://ebookcentral.proquest.com/lib/NKNU/detail.action?docID=274854</t>
  </si>
  <si>
    <t>https://ebookcentral.proquest.com/lib/NKNU/detail.action?docID=274866</t>
  </si>
  <si>
    <t>https://ebookcentral.proquest.com/lib/NKNU/detail.action?docID=274869</t>
  </si>
  <si>
    <t>https://ebookcentral.proquest.com/lib/NKNU/detail.action?docID=274872</t>
  </si>
  <si>
    <t>https://ebookcentral.proquest.com/lib/NKNU/detail.action?docID=274874</t>
  </si>
  <si>
    <t>https://ebookcentral.proquest.com/lib/NKNU/detail.action?docID=274888</t>
  </si>
  <si>
    <t>https://ebookcentral.proquest.com/lib/NKNU/detail.action?docID=274891</t>
  </si>
  <si>
    <t>https://ebookcentral.proquest.com/lib/NKNU/detail.action?docID=274893</t>
  </si>
  <si>
    <t>https://ebookcentral.proquest.com/lib/NKNU/detail.action?docID=274901</t>
  </si>
  <si>
    <t>https://ebookcentral.proquest.com/lib/NKNU/detail.action?docID=275134</t>
  </si>
  <si>
    <t>https://ebookcentral.proquest.com/lib/NKNU/detail.action?docID=275141</t>
  </si>
  <si>
    <t>https://ebookcentral.proquest.com/lib/NKNU/detail.action?docID=275144</t>
  </si>
  <si>
    <t>https://ebookcentral.proquest.com/lib/NKNU/detail.action?docID=275149</t>
  </si>
  <si>
    <t>https://ebookcentral.proquest.com/lib/NKNU/detail.action?docID=275150</t>
  </si>
  <si>
    <t>https://ebookcentral.proquest.com/lib/NKNU/detail.action?docID=275161</t>
  </si>
  <si>
    <t>https://ebookcentral.proquest.com/lib/NKNU/detail.action?docID=275183</t>
  </si>
  <si>
    <t>https://ebookcentral.proquest.com/lib/NKNU/detail.action?docID=275190</t>
  </si>
  <si>
    <t>https://ebookcentral.proquest.com/lib/NKNU/detail.action?docID=275243</t>
  </si>
  <si>
    <t>https://ebookcentral.proquest.com/lib/NKNU/detail.action?docID=275317</t>
  </si>
  <si>
    <t>https://ebookcentral.proquest.com/lib/NKNU/detail.action?docID=275318</t>
  </si>
  <si>
    <t>https://ebookcentral.proquest.com/lib/NKNU/detail.action?docID=275386</t>
  </si>
  <si>
    <t>https://ebookcentral.proquest.com/lib/NKNU/detail.action?docID=275460</t>
  </si>
  <si>
    <t>https://ebookcentral.proquest.com/lib/NKNU/detail.action?docID=275464</t>
  </si>
  <si>
    <t>https://ebookcentral.proquest.com/lib/NKNU/detail.action?docID=275465</t>
  </si>
  <si>
    <t>https://ebookcentral.proquest.com/lib/NKNU/detail.action?docID=275468</t>
  </si>
  <si>
    <t>https://ebookcentral.proquest.com/lib/NKNU/detail.action?docID=275473</t>
  </si>
  <si>
    <t>https://ebookcentral.proquest.com/lib/NKNU/detail.action?docID=275474</t>
  </si>
  <si>
    <t>https://ebookcentral.proquest.com/lib/NKNU/detail.action?docID=275480</t>
  </si>
  <si>
    <t>https://ebookcentral.proquest.com/lib/NKNU/detail.action?docID=275481</t>
  </si>
  <si>
    <t>https://ebookcentral.proquest.com/lib/NKNU/detail.action?docID=275483</t>
  </si>
  <si>
    <t>https://ebookcentral.proquest.com/lib/NKNU/detail.action?docID=275484</t>
  </si>
  <si>
    <t>https://ebookcentral.proquest.com/lib/NKNU/detail.action?docID=275485</t>
  </si>
  <si>
    <t>https://ebookcentral.proquest.com/lib/NKNU/detail.action?docID=275486</t>
  </si>
  <si>
    <t>https://ebookcentral.proquest.com/lib/NKNU/detail.action?docID=275487</t>
  </si>
  <si>
    <t>https://ebookcentral.proquest.com/lib/NKNU/detail.action?docID=275488</t>
  </si>
  <si>
    <t>https://ebookcentral.proquest.com/lib/NKNU/detail.action?docID=275489</t>
  </si>
  <si>
    <t>https://ebookcentral.proquest.com/lib/NKNU/detail.action?docID=275490</t>
  </si>
  <si>
    <t>https://ebookcentral.proquest.com/lib/NKNU/detail.action?docID=275491</t>
  </si>
  <si>
    <t>https://ebookcentral.proquest.com/lib/NKNU/detail.action?docID=275496</t>
  </si>
  <si>
    <t>https://ebookcentral.proquest.com/lib/NKNU/detail.action?docID=275497</t>
  </si>
  <si>
    <t>https://ebookcentral.proquest.com/lib/NKNU/detail.action?docID=275498</t>
  </si>
  <si>
    <t>https://ebookcentral.proquest.com/lib/NKNU/detail.action?docID=275501</t>
  </si>
  <si>
    <t>https://ebookcentral.proquest.com/lib/NKNU/detail.action?docID=275502</t>
  </si>
  <si>
    <t>https://ebookcentral.proquest.com/lib/NKNU/detail.action?docID=275506</t>
  </si>
  <si>
    <t>https://ebookcentral.proquest.com/lib/NKNU/detail.action?docID=275508</t>
  </si>
  <si>
    <t>https://ebookcentral.proquest.com/lib/NKNU/detail.action?docID=275509</t>
  </si>
  <si>
    <t>https://ebookcentral.proquest.com/lib/NKNU/detail.action?docID=275511</t>
  </si>
  <si>
    <t>https://ebookcentral.proquest.com/lib/NKNU/detail.action?docID=275512</t>
  </si>
  <si>
    <t>https://ebookcentral.proquest.com/lib/NKNU/detail.action?docID=275514</t>
  </si>
  <si>
    <t>https://ebookcentral.proquest.com/lib/NKNU/detail.action?docID=275515</t>
  </si>
  <si>
    <t>https://ebookcentral.proquest.com/lib/NKNU/detail.action?docID=275517</t>
  </si>
  <si>
    <t>https://ebookcentral.proquest.com/lib/NKNU/detail.action?docID=275802</t>
  </si>
  <si>
    <t>https://ebookcentral.proquest.com/lib/NKNU/detail.action?docID=275804</t>
  </si>
  <si>
    <t>https://ebookcentral.proquest.com/lib/NKNU/detail.action?docID=275809</t>
  </si>
  <si>
    <t>https://ebookcentral.proquest.com/lib/NKNU/detail.action?docID=275811</t>
  </si>
  <si>
    <t>https://ebookcentral.proquest.com/lib/NKNU/detail.action?docID=278981</t>
  </si>
  <si>
    <t>https://ebookcentral.proquest.com/lib/NKNU/detail.action?docID=278982</t>
  </si>
  <si>
    <t>https://ebookcentral.proquest.com/lib/NKNU/detail.action?docID=279185</t>
  </si>
  <si>
    <t>https://ebookcentral.proquest.com/lib/NKNU/detail.action?docID=279191</t>
  </si>
  <si>
    <t>https://ebookcentral.proquest.com/lib/NKNU/detail.action?docID=279198</t>
  </si>
  <si>
    <t>https://ebookcentral.proquest.com/lib/NKNU/detail.action?docID=279321</t>
  </si>
  <si>
    <t>https://ebookcentral.proquest.com/lib/NKNU/detail.action?docID=279327</t>
  </si>
  <si>
    <t>https://ebookcentral.proquest.com/lib/NKNU/detail.action?docID=279329</t>
  </si>
  <si>
    <t>https://ebookcentral.proquest.com/lib/NKNU/detail.action?docID=279338</t>
  </si>
  <si>
    <t>https://ebookcentral.proquest.com/lib/NKNU/detail.action?docID=279348</t>
  </si>
  <si>
    <t>https://ebookcentral.proquest.com/lib/NKNU/detail.action?docID=279485</t>
  </si>
  <si>
    <t>https://ebookcentral.proquest.com/lib/NKNU/detail.action?docID=279491</t>
  </si>
  <si>
    <t>https://ebookcentral.proquest.com/lib/NKNU/detail.action?docID=279502</t>
  </si>
  <si>
    <t>https://ebookcentral.proquest.com/lib/NKNU/detail.action?docID=279550</t>
  </si>
  <si>
    <t>https://ebookcentral.proquest.com/lib/NKNU/detail.action?docID=279556</t>
  </si>
  <si>
    <t>https://ebookcentral.proquest.com/lib/NKNU/detail.action?docID=279575</t>
  </si>
  <si>
    <t>https://ebookcentral.proquest.com/lib/NKNU/detail.action?docID=279666</t>
  </si>
  <si>
    <t>https://ebookcentral.proquest.com/lib/NKNU/detail.action?docID=279697</t>
  </si>
  <si>
    <t>https://ebookcentral.proquest.com/lib/NKNU/detail.action?docID=279708</t>
  </si>
  <si>
    <t>https://ebookcentral.proquest.com/lib/NKNU/detail.action?docID=279725</t>
  </si>
  <si>
    <t>https://ebookcentral.proquest.com/lib/NKNU/detail.action?docID=279738</t>
  </si>
  <si>
    <t>https://ebookcentral.proquest.com/lib/NKNU/detail.action?docID=279755</t>
  </si>
  <si>
    <t>https://ebookcentral.proquest.com/lib/NKNU/detail.action?docID=279769</t>
  </si>
  <si>
    <t>https://ebookcentral.proquest.com/lib/NKNU/detail.action?docID=279774</t>
  </si>
  <si>
    <t>https://ebookcentral.proquest.com/lib/NKNU/detail.action?docID=279810</t>
  </si>
  <si>
    <t>https://ebookcentral.proquest.com/lib/NKNU/detail.action?docID=279822</t>
  </si>
  <si>
    <t>https://ebookcentral.proquest.com/lib/NKNU/detail.action?docID=280129</t>
  </si>
  <si>
    <t>https://ebookcentral.proquest.com/lib/NKNU/detail.action?docID=280146</t>
  </si>
  <si>
    <t>https://ebookcentral.proquest.com/lib/NKNU/detail.action?docID=280149</t>
  </si>
  <si>
    <t>https://ebookcentral.proquest.com/lib/NKNU/detail.action?docID=280185</t>
  </si>
  <si>
    <t>https://ebookcentral.proquest.com/lib/NKNU/detail.action?docID=280193</t>
  </si>
  <si>
    <t>https://ebookcentral.proquest.com/lib/NKNU/detail.action?docID=280202</t>
  </si>
  <si>
    <t>https://ebookcentral.proquest.com/lib/NKNU/detail.action?docID=280213</t>
  </si>
  <si>
    <t>https://ebookcentral.proquest.com/lib/NKNU/detail.action?docID=280217</t>
  </si>
  <si>
    <t>https://ebookcentral.proquest.com/lib/NKNU/detail.action?docID=280218</t>
  </si>
  <si>
    <t>https://ebookcentral.proquest.com/lib/NKNU/detail.action?docID=280293</t>
  </si>
  <si>
    <t>https://ebookcentral.proquest.com/lib/NKNU/detail.action?docID=280297</t>
  </si>
  <si>
    <t>https://ebookcentral.proquest.com/lib/NKNU/detail.action?docID=280302</t>
  </si>
  <si>
    <t>https://ebookcentral.proquest.com/lib/NKNU/detail.action?docID=280314</t>
  </si>
  <si>
    <t>https://ebookcentral.proquest.com/lib/NKNU/detail.action?docID=280317</t>
  </si>
  <si>
    <t>https://ebookcentral.proquest.com/lib/NKNU/detail.action?docID=280318</t>
  </si>
  <si>
    <t>https://ebookcentral.proquest.com/lib/NKNU/detail.action?docID=280349</t>
  </si>
  <si>
    <t>https://ebookcentral.proquest.com/lib/NKNU/detail.action?docID=280351</t>
  </si>
  <si>
    <t>https://ebookcentral.proquest.com/lib/NKNU/detail.action?docID=280355</t>
  </si>
  <si>
    <t>https://ebookcentral.proquest.com/lib/NKNU/detail.action?docID=280358</t>
  </si>
  <si>
    <t>https://ebookcentral.proquest.com/lib/NKNU/detail.action?docID=280365</t>
  </si>
  <si>
    <t>https://ebookcentral.proquest.com/lib/NKNU/detail.action?docID=280386</t>
  </si>
  <si>
    <t>https://ebookcentral.proquest.com/lib/NKNU/detail.action?docID=280387</t>
  </si>
  <si>
    <t>https://ebookcentral.proquest.com/lib/NKNU/detail.action?docID=280394</t>
  </si>
  <si>
    <t>https://ebookcentral.proquest.com/lib/NKNU/detail.action?docID=280395</t>
  </si>
  <si>
    <t>https://ebookcentral.proquest.com/lib/NKNU/detail.action?docID=280403</t>
  </si>
  <si>
    <t>https://ebookcentral.proquest.com/lib/NKNU/detail.action?docID=280409</t>
  </si>
  <si>
    <t>https://ebookcentral.proquest.com/lib/NKNU/detail.action?docID=280417</t>
  </si>
  <si>
    <t>https://ebookcentral.proquest.com/lib/NKNU/detail.action?docID=280420</t>
  </si>
  <si>
    <t>https://ebookcentral.proquest.com/lib/NKNU/detail.action?docID=280425</t>
  </si>
  <si>
    <t>https://ebookcentral.proquest.com/lib/NKNU/detail.action?docID=280426</t>
  </si>
  <si>
    <t>https://ebookcentral.proquest.com/lib/NKNU/detail.action?docID=280427</t>
  </si>
  <si>
    <t>https://ebookcentral.proquest.com/lib/NKNU/detail.action?docID=280445</t>
  </si>
  <si>
    <t>https://ebookcentral.proquest.com/lib/NKNU/detail.action?docID=280487</t>
  </si>
  <si>
    <t>https://ebookcentral.proquest.com/lib/NKNU/detail.action?docID=280489</t>
  </si>
  <si>
    <t>https://ebookcentral.proquest.com/lib/NKNU/detail.action?docID=280498</t>
  </si>
  <si>
    <t>https://ebookcentral.proquest.com/lib/NKNU/detail.action?docID=280500</t>
  </si>
  <si>
    <t>https://ebookcentral.proquest.com/lib/NKNU/detail.action?docID=280503</t>
  </si>
  <si>
    <t>https://ebookcentral.proquest.com/lib/NKNU/detail.action?docID=280508</t>
  </si>
  <si>
    <t>https://ebookcentral.proquest.com/lib/NKNU/detail.action?docID=280509</t>
  </si>
  <si>
    <t>https://ebookcentral.proquest.com/lib/NKNU/detail.action?docID=280514</t>
  </si>
  <si>
    <t>https://ebookcentral.proquest.com/lib/NKNU/detail.action?docID=280520</t>
  </si>
  <si>
    <t>https://ebookcentral.proquest.com/lib/NKNU/detail.action?docID=280543</t>
  </si>
  <si>
    <t>https://ebookcentral.proquest.com/lib/NKNU/detail.action?docID=280544</t>
  </si>
  <si>
    <t>https://ebookcentral.proquest.com/lib/NKNU/detail.action?docID=280552</t>
  </si>
  <si>
    <t>https://ebookcentral.proquest.com/lib/NKNU/detail.action?docID=280593</t>
  </si>
  <si>
    <t>https://ebookcentral.proquest.com/lib/NKNU/detail.action?docID=280594</t>
  </si>
  <si>
    <t>https://ebookcentral.proquest.com/lib/NKNU/detail.action?docID=280634</t>
  </si>
  <si>
    <t>https://ebookcentral.proquest.com/lib/NKNU/detail.action?docID=280660</t>
  </si>
  <si>
    <t>https://ebookcentral.proquest.com/lib/NKNU/detail.action?docID=280671</t>
  </si>
  <si>
    <t>https://ebookcentral.proquest.com/lib/NKNU/detail.action?docID=280674</t>
  </si>
  <si>
    <t>https://ebookcentral.proquest.com/lib/NKNU/detail.action?docID=280681</t>
  </si>
  <si>
    <t>https://ebookcentral.proquest.com/lib/NKNU/detail.action?docID=280686</t>
  </si>
  <si>
    <t>https://ebookcentral.proquest.com/lib/NKNU/detail.action?docID=280697</t>
  </si>
  <si>
    <t>https://ebookcentral.proquest.com/lib/NKNU/detail.action?docID=280721</t>
  </si>
  <si>
    <t>https://ebookcentral.proquest.com/lib/NKNU/detail.action?docID=280734</t>
  </si>
  <si>
    <t>https://ebookcentral.proquest.com/lib/NKNU/detail.action?docID=280735</t>
  </si>
  <si>
    <t>https://ebookcentral.proquest.com/lib/NKNU/detail.action?docID=280738</t>
  </si>
  <si>
    <t>https://ebookcentral.proquest.com/lib/NKNU/detail.action?docID=280744</t>
  </si>
  <si>
    <t>https://ebookcentral.proquest.com/lib/NKNU/detail.action?docID=280756</t>
  </si>
  <si>
    <t>https://ebookcentral.proquest.com/lib/NKNU/detail.action?docID=280758</t>
  </si>
  <si>
    <t>https://ebookcentral.proquest.com/lib/NKNU/detail.action?docID=280762</t>
  </si>
  <si>
    <t>https://ebookcentral.proquest.com/lib/NKNU/detail.action?docID=280763</t>
  </si>
  <si>
    <t>https://ebookcentral.proquest.com/lib/NKNU/detail.action?docID=280773</t>
  </si>
  <si>
    <t>https://ebookcentral.proquest.com/lib/NKNU/detail.action?docID=280774</t>
  </si>
  <si>
    <t>https://ebookcentral.proquest.com/lib/NKNU/detail.action?docID=280778</t>
  </si>
  <si>
    <t>https://ebookcentral.proquest.com/lib/NKNU/detail.action?docID=280792</t>
  </si>
  <si>
    <t>https://ebookcentral.proquest.com/lib/NKNU/detail.action?docID=280793</t>
  </si>
  <si>
    <t>https://ebookcentral.proquest.com/lib/NKNU/detail.action?docID=280799</t>
  </si>
  <si>
    <t>https://ebookcentral.proquest.com/lib/NKNU/detail.action?docID=280810</t>
  </si>
  <si>
    <t>https://ebookcentral.proquest.com/lib/NKNU/detail.action?docID=280839</t>
  </si>
  <si>
    <t>https://ebookcentral.proquest.com/lib/NKNU/detail.action?docID=280846</t>
  </si>
  <si>
    <t>https://ebookcentral.proquest.com/lib/NKNU/detail.action?docID=280853</t>
  </si>
  <si>
    <t>https://ebookcentral.proquest.com/lib/NKNU/detail.action?docID=280864</t>
  </si>
  <si>
    <t>https://ebookcentral.proquest.com/lib/NKNU/detail.action?docID=280889</t>
  </si>
  <si>
    <t>https://ebookcentral.proquest.com/lib/NKNU/detail.action?docID=280894</t>
  </si>
  <si>
    <t>https://ebookcentral.proquest.com/lib/NKNU/detail.action?docID=280918</t>
  </si>
  <si>
    <t>https://ebookcentral.proquest.com/lib/NKNU/detail.action?docID=280964</t>
  </si>
  <si>
    <t>https://ebookcentral.proquest.com/lib/NKNU/detail.action?docID=280987</t>
  </si>
  <si>
    <t>https://ebookcentral.proquest.com/lib/NKNU/detail.action?docID=281085</t>
  </si>
  <si>
    <t>https://ebookcentral.proquest.com/lib/NKNU/detail.action?docID=281150</t>
  </si>
  <si>
    <t>https://ebookcentral.proquest.com/lib/NKNU/detail.action?docID=281168</t>
  </si>
  <si>
    <t>https://ebookcentral.proquest.com/lib/NKNU/detail.action?docID=281191</t>
  </si>
  <si>
    <t>https://ebookcentral.proquest.com/lib/NKNU/detail.action?docID=281193</t>
  </si>
  <si>
    <t>https://ebookcentral.proquest.com/lib/NKNU/detail.action?docID=281213</t>
  </si>
  <si>
    <t>https://ebookcentral.proquest.com/lib/NKNU/detail.action?docID=281252</t>
  </si>
  <si>
    <t>https://ebookcentral.proquest.com/lib/NKNU/detail.action?docID=281327</t>
  </si>
  <si>
    <t>https://ebookcentral.proquest.com/lib/NKNU/detail.action?docID=281337</t>
  </si>
  <si>
    <t>https://ebookcentral.proquest.com/lib/NKNU/detail.action?docID=281341</t>
  </si>
  <si>
    <t>https://ebookcentral.proquest.com/lib/NKNU/detail.action?docID=281375</t>
  </si>
  <si>
    <t>https://ebookcentral.proquest.com/lib/NKNU/detail.action?docID=281386</t>
  </si>
  <si>
    <t>https://ebookcentral.proquest.com/lib/NKNU/detail.action?docID=281404</t>
  </si>
  <si>
    <t>https://ebookcentral.proquest.com/lib/NKNU/detail.action?docID=281615</t>
  </si>
  <si>
    <t>https://ebookcentral.proquest.com/lib/NKNU/detail.action?docID=281721</t>
  </si>
  <si>
    <t>https://ebookcentral.proquest.com/lib/NKNU/detail.action?docID=281728</t>
  </si>
  <si>
    <t>https://ebookcentral.proquest.com/lib/NKNU/detail.action?docID=281729</t>
  </si>
  <si>
    <t>https://ebookcentral.proquest.com/lib/NKNU/detail.action?docID=281733</t>
  </si>
  <si>
    <t>https://ebookcentral.proquest.com/lib/NKNU/detail.action?docID=281735</t>
  </si>
  <si>
    <t>https://ebookcentral.proquest.com/lib/NKNU/detail.action?docID=281739</t>
  </si>
  <si>
    <t>https://ebookcentral.proquest.com/lib/NKNU/detail.action?docID=281747</t>
  </si>
  <si>
    <t>https://ebookcentral.proquest.com/lib/NKNU/detail.action?docID=281758</t>
  </si>
  <si>
    <t>https://ebookcentral.proquest.com/lib/NKNU/detail.action?docID=281759</t>
  </si>
  <si>
    <t>https://ebookcentral.proquest.com/lib/NKNU/detail.action?docID=281764</t>
  </si>
  <si>
    <t>https://ebookcentral.proquest.com/lib/NKNU/detail.action?docID=281985</t>
  </si>
  <si>
    <t>https://ebookcentral.proquest.com/lib/NKNU/detail.action?docID=281999</t>
  </si>
  <si>
    <t>https://ebookcentral.proquest.com/lib/NKNU/detail.action?docID=282011</t>
  </si>
  <si>
    <t>https://ebookcentral.proquest.com/lib/NKNU/detail.action?docID=282018</t>
  </si>
  <si>
    <t>https://ebookcentral.proquest.com/lib/NKNU/detail.action?docID=282022</t>
  </si>
  <si>
    <t>https://ebookcentral.proquest.com/lib/NKNU/detail.action?docID=282023</t>
  </si>
  <si>
    <t>https://ebookcentral.proquest.com/lib/NKNU/detail.action?docID=282030</t>
  </si>
  <si>
    <t>https://ebookcentral.proquest.com/lib/NKNU/detail.action?docID=282113</t>
  </si>
  <si>
    <t>https://ebookcentral.proquest.com/lib/NKNU/detail.action?docID=282205</t>
  </si>
  <si>
    <t>https://ebookcentral.proquest.com/lib/NKNU/detail.action?docID=282269</t>
  </si>
  <si>
    <t>https://ebookcentral.proquest.com/lib/NKNU/detail.action?docID=282270</t>
  </si>
  <si>
    <t>https://ebookcentral.proquest.com/lib/NKNU/detail.action?docID=282274</t>
  </si>
  <si>
    <t>https://ebookcentral.proquest.com/lib/NKNU/detail.action?docID=282644</t>
  </si>
  <si>
    <t>https://ebookcentral.proquest.com/lib/NKNU/detail.action?docID=282675</t>
  </si>
  <si>
    <t>https://ebookcentral.proquest.com/lib/NKNU/detail.action?docID=282676</t>
  </si>
  <si>
    <t>https://ebookcentral.proquest.com/lib/NKNU/detail.action?docID=282682</t>
  </si>
  <si>
    <t>https://ebookcentral.proquest.com/lib/NKNU/detail.action?docID=282684</t>
  </si>
  <si>
    <t>https://ebookcentral.proquest.com/lib/NKNU/detail.action?docID=282687</t>
  </si>
  <si>
    <t>https://ebookcentral.proquest.com/lib/NKNU/detail.action?docID=282688</t>
  </si>
  <si>
    <t>https://ebookcentral.proquest.com/lib/NKNU/detail.action?docID=282689</t>
  </si>
  <si>
    <t>https://ebookcentral.proquest.com/lib/NKNU/detail.action?docID=282690</t>
  </si>
  <si>
    <t>https://ebookcentral.proquest.com/lib/NKNU/detail.action?docID=282789</t>
  </si>
  <si>
    <t>https://ebookcentral.proquest.com/lib/NKNU/detail.action?docID=282795</t>
  </si>
  <si>
    <t>https://ebookcentral.proquest.com/lib/NKNU/detail.action?docID=282801</t>
  </si>
  <si>
    <t>https://ebookcentral.proquest.com/lib/NKNU/detail.action?docID=282802</t>
  </si>
  <si>
    <t>https://ebookcentral.proquest.com/lib/NKNU/detail.action?docID=282806</t>
  </si>
  <si>
    <t>https://ebookcentral.proquest.com/lib/NKNU/detail.action?docID=282808</t>
  </si>
  <si>
    <t>https://ebookcentral.proquest.com/lib/NKNU/detail.action?docID=282810</t>
  </si>
  <si>
    <t>https://ebookcentral.proquest.com/lib/NKNU/detail.action?docID=282817</t>
  </si>
  <si>
    <t>https://ebookcentral.proquest.com/lib/NKNU/detail.action?docID=282885</t>
  </si>
  <si>
    <t>https://ebookcentral.proquest.com/lib/NKNU/detail.action?docID=282887</t>
  </si>
  <si>
    <t>https://ebookcentral.proquest.com/lib/NKNU/detail.action?docID=282892</t>
  </si>
  <si>
    <t>https://ebookcentral.proquest.com/lib/NKNU/detail.action?docID=282893</t>
  </si>
  <si>
    <t>https://ebookcentral.proquest.com/lib/NKNU/detail.action?docID=282894</t>
  </si>
  <si>
    <t>https://ebookcentral.proquest.com/lib/NKNU/detail.action?docID=282897</t>
  </si>
  <si>
    <t>https://ebookcentral.proquest.com/lib/NKNU/detail.action?docID=282899</t>
  </si>
  <si>
    <t>https://ebookcentral.proquest.com/lib/NKNU/detail.action?docID=282900</t>
  </si>
  <si>
    <t>https://ebookcentral.proquest.com/lib/NKNU/detail.action?docID=282903</t>
  </si>
  <si>
    <t>https://ebookcentral.proquest.com/lib/NKNU/detail.action?docID=282904</t>
  </si>
  <si>
    <t>https://ebookcentral.proquest.com/lib/NKNU/detail.action?docID=282905</t>
  </si>
  <si>
    <t>https://ebookcentral.proquest.com/lib/NKNU/detail.action?docID=282908</t>
  </si>
  <si>
    <t>https://ebookcentral.proquest.com/lib/NKNU/detail.action?docID=282909</t>
  </si>
  <si>
    <t>https://ebookcentral.proquest.com/lib/NKNU/detail.action?docID=282911</t>
  </si>
  <si>
    <t>https://ebookcentral.proquest.com/lib/NKNU/detail.action?docID=282912</t>
  </si>
  <si>
    <t>https://ebookcentral.proquest.com/lib/NKNU/detail.action?docID=282913</t>
  </si>
  <si>
    <t>https://ebookcentral.proquest.com/lib/NKNU/detail.action?docID=282914</t>
  </si>
  <si>
    <t>https://ebookcentral.proquest.com/lib/NKNU/detail.action?docID=282915</t>
  </si>
  <si>
    <t>https://ebookcentral.proquest.com/lib/NKNU/detail.action?docID=282917</t>
  </si>
  <si>
    <t>https://ebookcentral.proquest.com/lib/NKNU/detail.action?docID=282919</t>
  </si>
  <si>
    <t>https://ebookcentral.proquest.com/lib/NKNU/detail.action?docID=282920</t>
  </si>
  <si>
    <t>https://ebookcentral.proquest.com/lib/NKNU/detail.action?docID=282921</t>
  </si>
  <si>
    <t>https://ebookcentral.proquest.com/lib/NKNU/detail.action?docID=282923</t>
  </si>
  <si>
    <t>https://ebookcentral.proquest.com/lib/NKNU/detail.action?docID=282924</t>
  </si>
  <si>
    <t>https://ebookcentral.proquest.com/lib/NKNU/detail.action?docID=282927</t>
  </si>
  <si>
    <t>https://ebookcentral.proquest.com/lib/NKNU/detail.action?docID=282928</t>
  </si>
  <si>
    <t>https://ebookcentral.proquest.com/lib/NKNU/detail.action?docID=282929</t>
  </si>
  <si>
    <t>https://ebookcentral.proquest.com/lib/NKNU/detail.action?docID=282970</t>
  </si>
  <si>
    <t>https://ebookcentral.proquest.com/lib/NKNU/detail.action?docID=282999</t>
  </si>
  <si>
    <t>https://ebookcentral.proquest.com/lib/NKNU/detail.action?docID=283033</t>
  </si>
  <si>
    <t>https://ebookcentral.proquest.com/lib/NKNU/detail.action?docID=283051</t>
  </si>
  <si>
    <t>https://ebookcentral.proquest.com/lib/NKNU/detail.action?docID=283056</t>
  </si>
  <si>
    <t>https://ebookcentral.proquest.com/lib/NKNU/detail.action?docID=283057</t>
  </si>
  <si>
    <t>https://ebookcentral.proquest.com/lib/NKNU/detail.action?docID=283058</t>
  </si>
  <si>
    <t>https://ebookcentral.proquest.com/lib/NKNU/detail.action?docID=283060</t>
  </si>
  <si>
    <t>https://ebookcentral.proquest.com/lib/NKNU/detail.action?docID=283064</t>
  </si>
  <si>
    <t>https://ebookcentral.proquest.com/lib/NKNU/detail.action?docID=283071</t>
  </si>
  <si>
    <t>https://ebookcentral.proquest.com/lib/NKNU/detail.action?docID=283072</t>
  </si>
  <si>
    <t>https://ebookcentral.proquest.com/lib/NKNU/detail.action?docID=283073</t>
  </si>
  <si>
    <t>https://ebookcentral.proquest.com/lib/NKNU/detail.action?docID=283075</t>
  </si>
  <si>
    <t>https://ebookcentral.proquest.com/lib/NKNU/detail.action?docID=283076</t>
  </si>
  <si>
    <t>https://ebookcentral.proquest.com/lib/NKNU/detail.action?docID=283079</t>
  </si>
  <si>
    <t>https://ebookcentral.proquest.com/lib/NKNU/detail.action?docID=283089</t>
  </si>
  <si>
    <t>https://ebookcentral.proquest.com/lib/NKNU/detail.action?docID=283190</t>
  </si>
  <si>
    <t>https://ebookcentral.proquest.com/lib/NKNU/detail.action?docID=283195</t>
  </si>
  <si>
    <t>https://ebookcentral.proquest.com/lib/NKNU/detail.action?docID=283202</t>
  </si>
  <si>
    <t>https://ebookcentral.proquest.com/lib/NKNU/detail.action?docID=283203</t>
  </si>
  <si>
    <t>https://ebookcentral.proquest.com/lib/NKNU/detail.action?docID=283206</t>
  </si>
  <si>
    <t>https://ebookcentral.proquest.com/lib/NKNU/detail.action?docID=283226</t>
  </si>
  <si>
    <t>https://ebookcentral.proquest.com/lib/NKNU/detail.action?docID=283247</t>
  </si>
  <si>
    <t>https://ebookcentral.proquest.com/lib/NKNU/detail.action?docID=283259</t>
  </si>
  <si>
    <t>https://ebookcentral.proquest.com/lib/NKNU/detail.action?docID=283260</t>
  </si>
  <si>
    <t>https://ebookcentral.proquest.com/lib/NKNU/detail.action?docID=283267</t>
  </si>
  <si>
    <t>https://ebookcentral.proquest.com/lib/NKNU/detail.action?docID=283271</t>
  </si>
  <si>
    <t>https://ebookcentral.proquest.com/lib/NKNU/detail.action?docID=283277</t>
  </si>
  <si>
    <t>https://ebookcentral.proquest.com/lib/NKNU/detail.action?docID=283280</t>
  </si>
  <si>
    <t>https://ebookcentral.proquest.com/lib/NKNU/detail.action?docID=283281</t>
  </si>
  <si>
    <t>https://ebookcentral.proquest.com/lib/NKNU/detail.action?docID=283282</t>
  </si>
  <si>
    <t>https://ebookcentral.proquest.com/lib/NKNU/detail.action?docID=283287</t>
  </si>
  <si>
    <t>https://ebookcentral.proquest.com/lib/NKNU/detail.action?docID=283293</t>
  </si>
  <si>
    <t>https://ebookcentral.proquest.com/lib/NKNU/detail.action?docID=283297</t>
  </si>
  <si>
    <t>https://ebookcentral.proquest.com/lib/NKNU/detail.action?docID=283299</t>
  </si>
  <si>
    <t>https://ebookcentral.proquest.com/lib/NKNU/detail.action?docID=283301</t>
  </si>
  <si>
    <t>https://ebookcentral.proquest.com/lib/NKNU/detail.action?docID=283307</t>
  </si>
  <si>
    <t>https://ebookcentral.proquest.com/lib/NKNU/detail.action?docID=283308</t>
  </si>
  <si>
    <t>https://ebookcentral.proquest.com/lib/NKNU/detail.action?docID=283401</t>
  </si>
  <si>
    <t>https://ebookcentral.proquest.com/lib/NKNU/detail.action?docID=283553</t>
  </si>
  <si>
    <t>https://ebookcentral.proquest.com/lib/NKNU/detail.action?docID=283561</t>
  </si>
  <si>
    <t>https://ebookcentral.proquest.com/lib/NKNU/detail.action?docID=283567</t>
  </si>
  <si>
    <t>https://ebookcentral.proquest.com/lib/NKNU/detail.action?docID=283574</t>
  </si>
  <si>
    <t>https://ebookcentral.proquest.com/lib/NKNU/detail.action?docID=283578</t>
  </si>
  <si>
    <t>https://ebookcentral.proquest.com/lib/NKNU/detail.action?docID=283586</t>
  </si>
  <si>
    <t>https://ebookcentral.proquest.com/lib/NKNU/detail.action?docID=283606</t>
  </si>
  <si>
    <t>https://ebookcentral.proquest.com/lib/NKNU/detail.action?docID=283610</t>
  </si>
  <si>
    <t>https://ebookcentral.proquest.com/lib/NKNU/detail.action?docID=283612</t>
  </si>
  <si>
    <t>https://ebookcentral.proquest.com/lib/NKNU/detail.action?docID=283617</t>
  </si>
  <si>
    <t>https://ebookcentral.proquest.com/lib/NKNU/detail.action?docID=283619</t>
  </si>
  <si>
    <t>https://ebookcentral.proquest.com/lib/NKNU/detail.action?docID=283622</t>
  </si>
  <si>
    <t>https://ebookcentral.proquest.com/lib/NKNU/detail.action?docID=283625</t>
  </si>
  <si>
    <t>https://ebookcentral.proquest.com/lib/NKNU/detail.action?docID=283669</t>
  </si>
  <si>
    <t>https://ebookcentral.proquest.com/lib/NKNU/detail.action?docID=283723</t>
  </si>
  <si>
    <t>https://ebookcentral.proquest.com/lib/NKNU/detail.action?docID=283985</t>
  </si>
  <si>
    <t>https://ebookcentral.proquest.com/lib/NKNU/detail.action?docID=284020</t>
  </si>
  <si>
    <t>https://ebookcentral.proquest.com/lib/NKNU/detail.action?docID=284040</t>
  </si>
  <si>
    <t>https://ebookcentral.proquest.com/lib/NKNU/detail.action?docID=284075</t>
  </si>
  <si>
    <t>https://ebookcentral.proquest.com/lib/NKNU/detail.action?docID=284095</t>
  </si>
  <si>
    <t>https://ebookcentral.proquest.com/lib/NKNU/detail.action?docID=284158</t>
  </si>
  <si>
    <t>https://ebookcentral.proquest.com/lib/NKNU/detail.action?docID=284163</t>
  </si>
  <si>
    <t>https://ebookcentral.proquest.com/lib/NKNU/detail.action?docID=284165</t>
  </si>
  <si>
    <t>https://ebookcentral.proquest.com/lib/NKNU/detail.action?docID=284183</t>
  </si>
  <si>
    <t>https://ebookcentral.proquest.com/lib/NKNU/detail.action?docID=284247</t>
  </si>
  <si>
    <t>https://ebookcentral.proquest.com/lib/NKNU/detail.action?docID=284253</t>
  </si>
  <si>
    <t>https://ebookcentral.proquest.com/lib/NKNU/detail.action?docID=284255</t>
  </si>
  <si>
    <t>https://ebookcentral.proquest.com/lib/NKNU/detail.action?docID=284264</t>
  </si>
  <si>
    <t>https://ebookcentral.proquest.com/lib/NKNU/detail.action?docID=284316</t>
  </si>
  <si>
    <t>https://ebookcentral.proquest.com/lib/NKNU/detail.action?docID=284433</t>
  </si>
  <si>
    <t>https://ebookcentral.proquest.com/lib/NKNU/detail.action?docID=284650</t>
  </si>
  <si>
    <t>https://ebookcentral.proquest.com/lib/NKNU/detail.action?docID=284656</t>
  </si>
  <si>
    <t>https://ebookcentral.proquest.com/lib/NKNU/detail.action?docID=284663</t>
  </si>
  <si>
    <t>https://ebookcentral.proquest.com/lib/NKNU/detail.action?docID=284738</t>
  </si>
  <si>
    <t>https://ebookcentral.proquest.com/lib/NKNU/detail.action?docID=284760</t>
  </si>
  <si>
    <t>https://ebookcentral.proquest.com/lib/NKNU/detail.action?docID=284762</t>
  </si>
  <si>
    <t>https://ebookcentral.proquest.com/lib/NKNU/detail.action?docID=284778</t>
  </si>
  <si>
    <t>https://ebookcentral.proquest.com/lib/NKNU/detail.action?docID=284833</t>
  </si>
  <si>
    <t>https://ebookcentral.proquest.com/lib/NKNU/detail.action?docID=284834</t>
  </si>
  <si>
    <t>https://ebookcentral.proquest.com/lib/NKNU/detail.action?docID=285197</t>
  </si>
  <si>
    <t>https://ebookcentral.proquest.com/lib/NKNU/detail.action?docID=285198</t>
  </si>
  <si>
    <t>https://ebookcentral.proquest.com/lib/NKNU/detail.action?docID=285199</t>
  </si>
  <si>
    <t>https://ebookcentral.proquest.com/lib/NKNU/detail.action?docID=285202</t>
  </si>
  <si>
    <t>https://ebookcentral.proquest.com/lib/NKNU/detail.action?docID=285208</t>
  </si>
  <si>
    <t>https://ebookcentral.proquest.com/lib/NKNU/detail.action?docID=285212</t>
  </si>
  <si>
    <t>https://ebookcentral.proquest.com/lib/NKNU/detail.action?docID=285223</t>
  </si>
  <si>
    <t>https://ebookcentral.proquest.com/lib/NKNU/detail.action?docID=285234</t>
  </si>
  <si>
    <t>https://ebookcentral.proquest.com/lib/NKNU/detail.action?docID=285329</t>
  </si>
  <si>
    <t>https://ebookcentral.proquest.com/lib/NKNU/detail.action?docID=285346</t>
  </si>
  <si>
    <t>https://ebookcentral.proquest.com/lib/NKNU/detail.action?docID=285509</t>
  </si>
  <si>
    <t>https://ebookcentral.proquest.com/lib/NKNU/detail.action?docID=285511</t>
  </si>
  <si>
    <t>https://ebookcentral.proquest.com/lib/NKNU/detail.action?docID=285529</t>
  </si>
  <si>
    <t>https://ebookcentral.proquest.com/lib/NKNU/detail.action?docID=285533</t>
  </si>
  <si>
    <t>https://ebookcentral.proquest.com/lib/NKNU/detail.action?docID=285541</t>
  </si>
  <si>
    <t>https://ebookcentral.proquest.com/lib/NKNU/detail.action?docID=285580</t>
  </si>
  <si>
    <t>https://ebookcentral.proquest.com/lib/NKNU/detail.action?docID=285595</t>
  </si>
  <si>
    <t>https://ebookcentral.proquest.com/lib/NKNU/detail.action?docID=285617</t>
  </si>
  <si>
    <t>https://ebookcentral.proquest.com/lib/NKNU/detail.action?docID=285651</t>
  </si>
  <si>
    <t>https://ebookcentral.proquest.com/lib/NKNU/detail.action?docID=285802</t>
  </si>
  <si>
    <t>https://ebookcentral.proquest.com/lib/NKNU/detail.action?docID=285823</t>
  </si>
  <si>
    <t>https://ebookcentral.proquest.com/lib/NKNU/detail.action?docID=285838</t>
  </si>
  <si>
    <t>https://ebookcentral.proquest.com/lib/NKNU/detail.action?docID=285840</t>
  </si>
  <si>
    <t>https://ebookcentral.proquest.com/lib/NKNU/detail.action?docID=285846</t>
  </si>
  <si>
    <t>https://ebookcentral.proquest.com/lib/NKNU/detail.action?docID=285930</t>
  </si>
  <si>
    <t>https://ebookcentral.proquest.com/lib/NKNU/detail.action?docID=285984</t>
  </si>
  <si>
    <t>https://ebookcentral.proquest.com/lib/NKNU/detail.action?docID=286434</t>
  </si>
  <si>
    <t>https://ebookcentral.proquest.com/lib/NKNU/detail.action?docID=286459</t>
  </si>
  <si>
    <t>https://ebookcentral.proquest.com/lib/NKNU/detail.action?docID=286473</t>
  </si>
  <si>
    <t>https://ebookcentral.proquest.com/lib/NKNU/detail.action?docID=286610</t>
  </si>
  <si>
    <t>https://ebookcentral.proquest.com/lib/NKNU/detail.action?docID=286646</t>
  </si>
  <si>
    <t>https://ebookcentral.proquest.com/lib/NKNU/detail.action?docID=286651</t>
  </si>
  <si>
    <t>https://ebookcentral.proquest.com/lib/NKNU/detail.action?docID=286661</t>
  </si>
  <si>
    <t>https://ebookcentral.proquest.com/lib/NKNU/detail.action?docID=286662</t>
  </si>
  <si>
    <t>https://ebookcentral.proquest.com/lib/NKNU/detail.action?docID=286674</t>
  </si>
  <si>
    <t>https://ebookcentral.proquest.com/lib/NKNU/detail.action?docID=286691</t>
  </si>
  <si>
    <t>https://ebookcentral.proquest.com/lib/NKNU/detail.action?docID=286715</t>
  </si>
  <si>
    <t>https://ebookcentral.proquest.com/lib/NKNU/detail.action?docID=286719</t>
  </si>
  <si>
    <t>https://ebookcentral.proquest.com/lib/NKNU/detail.action?docID=286726</t>
  </si>
  <si>
    <t>https://ebookcentral.proquest.com/lib/NKNU/detail.action?docID=286751</t>
  </si>
  <si>
    <t>https://ebookcentral.proquest.com/lib/NKNU/detail.action?docID=286758</t>
  </si>
  <si>
    <t>https://ebookcentral.proquest.com/lib/NKNU/detail.action?docID=286936</t>
  </si>
  <si>
    <t>https://ebookcentral.proquest.com/lib/NKNU/detail.action?docID=286937</t>
  </si>
  <si>
    <t>https://ebookcentral.proquest.com/lib/NKNU/detail.action?docID=286942</t>
  </si>
  <si>
    <t>https://ebookcentral.proquest.com/lib/NKNU/detail.action?docID=286947</t>
  </si>
  <si>
    <t>https://ebookcentral.proquest.com/lib/NKNU/detail.action?docID=286948</t>
  </si>
  <si>
    <t>https://ebookcentral.proquest.com/lib/NKNU/detail.action?docID=286950</t>
  </si>
  <si>
    <t>https://ebookcentral.proquest.com/lib/NKNU/detail.action?docID=286951</t>
  </si>
  <si>
    <t>https://ebookcentral.proquest.com/lib/NKNU/detail.action?docID=286954</t>
  </si>
  <si>
    <t>https://ebookcentral.proquest.com/lib/NKNU/detail.action?docID=286956</t>
  </si>
  <si>
    <t>https://ebookcentral.proquest.com/lib/NKNU/detail.action?docID=286960</t>
  </si>
  <si>
    <t>https://ebookcentral.proquest.com/lib/NKNU/detail.action?docID=286967</t>
  </si>
  <si>
    <t>https://ebookcentral.proquest.com/lib/NKNU/detail.action?docID=286970</t>
  </si>
  <si>
    <t>https://ebookcentral.proquest.com/lib/NKNU/detail.action?docID=286972</t>
  </si>
  <si>
    <t>https://ebookcentral.proquest.com/lib/NKNU/detail.action?docID=286978</t>
  </si>
  <si>
    <t>https://ebookcentral.proquest.com/lib/NKNU/detail.action?docID=286983</t>
  </si>
  <si>
    <t>https://ebookcentral.proquest.com/lib/NKNU/detail.action?docID=286986</t>
  </si>
  <si>
    <t>https://ebookcentral.proquest.com/lib/NKNU/detail.action?docID=286987</t>
  </si>
  <si>
    <t>https://ebookcentral.proquest.com/lib/NKNU/detail.action?docID=286991</t>
  </si>
  <si>
    <t>https://ebookcentral.proquest.com/lib/NKNU/detail.action?docID=286992</t>
  </si>
  <si>
    <t>https://ebookcentral.proquest.com/lib/NKNU/detail.action?docID=286993</t>
  </si>
  <si>
    <t>https://ebookcentral.proquest.com/lib/NKNU/detail.action?docID=287195</t>
  </si>
  <si>
    <t>https://ebookcentral.proquest.com/lib/NKNU/detail.action?docID=287785</t>
  </si>
  <si>
    <t>https://ebookcentral.proquest.com/lib/NKNU/detail.action?docID=287786</t>
  </si>
  <si>
    <t>https://ebookcentral.proquest.com/lib/NKNU/detail.action?docID=287798</t>
  </si>
  <si>
    <t>https://ebookcentral.proquest.com/lib/NKNU/detail.action?docID=287800</t>
  </si>
  <si>
    <t>https://ebookcentral.proquest.com/lib/NKNU/detail.action?docID=287801</t>
  </si>
  <si>
    <t>https://ebookcentral.proquest.com/lib/NKNU/detail.action?docID=287803</t>
  </si>
  <si>
    <t>https://ebookcentral.proquest.com/lib/NKNU/detail.action?docID=287810</t>
  </si>
  <si>
    <t>https://ebookcentral.proquest.com/lib/NKNU/detail.action?docID=287811</t>
  </si>
  <si>
    <t>https://ebookcentral.proquest.com/lib/NKNU/detail.action?docID=287819</t>
  </si>
  <si>
    <t>https://ebookcentral.proquest.com/lib/NKNU/detail.action?docID=287820</t>
  </si>
  <si>
    <t>https://ebookcentral.proquest.com/lib/NKNU/detail.action?docID=287822</t>
  </si>
  <si>
    <t>https://ebookcentral.proquest.com/lib/NKNU/detail.action?docID=287823</t>
  </si>
  <si>
    <t>https://ebookcentral.proquest.com/lib/NKNU/detail.action?docID=287852</t>
  </si>
  <si>
    <t>https://ebookcentral.proquest.com/lib/NKNU/detail.action?docID=287858</t>
  </si>
  <si>
    <t>https://ebookcentral.proquest.com/lib/NKNU/detail.action?docID=287863</t>
  </si>
  <si>
    <t>https://ebookcentral.proquest.com/lib/NKNU/detail.action?docID=287883</t>
  </si>
  <si>
    <t>https://ebookcentral.proquest.com/lib/NKNU/detail.action?docID=287935</t>
  </si>
  <si>
    <t>https://ebookcentral.proquest.com/lib/NKNU/detail.action?docID=287951</t>
  </si>
  <si>
    <t>https://ebookcentral.proquest.com/lib/NKNU/detail.action?docID=287956</t>
  </si>
  <si>
    <t>https://ebookcentral.proquest.com/lib/NKNU/detail.action?docID=287957</t>
  </si>
  <si>
    <t>https://ebookcentral.proquest.com/lib/NKNU/detail.action?docID=288447</t>
  </si>
  <si>
    <t>https://ebookcentral.proquest.com/lib/NKNU/detail.action?docID=288451</t>
  </si>
  <si>
    <t>https://ebookcentral.proquest.com/lib/NKNU/detail.action?docID=288452</t>
  </si>
  <si>
    <t>https://ebookcentral.proquest.com/lib/NKNU/detail.action?docID=288460</t>
  </si>
  <si>
    <t>https://ebookcentral.proquest.com/lib/NKNU/detail.action?docID=288461</t>
  </si>
  <si>
    <t>https://ebookcentral.proquest.com/lib/NKNU/detail.action?docID=288464</t>
  </si>
  <si>
    <t>https://ebookcentral.proquest.com/lib/NKNU/detail.action?docID=288472</t>
  </si>
  <si>
    <t>https://ebookcentral.proquest.com/lib/NKNU/detail.action?docID=288473</t>
  </si>
  <si>
    <t>https://ebookcentral.proquest.com/lib/NKNU/detail.action?docID=288474</t>
  </si>
  <si>
    <t>https://ebookcentral.proquest.com/lib/NKNU/detail.action?docID=288487</t>
  </si>
  <si>
    <t>https://ebookcentral.proquest.com/lib/NKNU/detail.action?docID=288491</t>
  </si>
  <si>
    <t>https://ebookcentral.proquest.com/lib/NKNU/detail.action?docID=288492</t>
  </si>
  <si>
    <t>https://ebookcentral.proquest.com/lib/NKNU/detail.action?docID=288506</t>
  </si>
  <si>
    <t>https://ebookcentral.proquest.com/lib/NKNU/detail.action?docID=288510</t>
  </si>
  <si>
    <t>https://ebookcentral.proquest.com/lib/NKNU/detail.action?docID=288514</t>
  </si>
  <si>
    <t>https://ebookcentral.proquest.com/lib/NKNU/detail.action?docID=288515</t>
  </si>
  <si>
    <t>https://ebookcentral.proquest.com/lib/NKNU/detail.action?docID=288516</t>
  </si>
  <si>
    <t>https://ebookcentral.proquest.com/lib/NKNU/detail.action?docID=288517</t>
  </si>
  <si>
    <t>https://ebookcentral.proquest.com/lib/NKNU/detail.action?docID=288520</t>
  </si>
  <si>
    <t>https://ebookcentral.proquest.com/lib/NKNU/detail.action?docID=288524</t>
  </si>
  <si>
    <t>https://ebookcentral.proquest.com/lib/NKNU/detail.action?docID=288607</t>
  </si>
  <si>
    <t>https://ebookcentral.proquest.com/lib/NKNU/detail.action?docID=288609</t>
  </si>
  <si>
    <t>https://ebookcentral.proquest.com/lib/NKNU/detail.action?docID=288610</t>
  </si>
  <si>
    <t>https://ebookcentral.proquest.com/lib/NKNU/detail.action?docID=288612</t>
  </si>
  <si>
    <t>https://ebookcentral.proquest.com/lib/NKNU/detail.action?docID=288622</t>
  </si>
  <si>
    <t>https://ebookcentral.proquest.com/lib/NKNU/detail.action?docID=288628</t>
  </si>
  <si>
    <t>https://ebookcentral.proquest.com/lib/NKNU/detail.action?docID=288635</t>
  </si>
  <si>
    <t>https://ebookcentral.proquest.com/lib/NKNU/detail.action?docID=288637</t>
  </si>
  <si>
    <t>https://ebookcentral.proquest.com/lib/NKNU/detail.action?docID=288642</t>
  </si>
  <si>
    <t>https://ebookcentral.proquest.com/lib/NKNU/detail.action?docID=288646</t>
  </si>
  <si>
    <t>https://ebookcentral.proquest.com/lib/NKNU/detail.action?docID=288650</t>
  </si>
  <si>
    <t>https://ebookcentral.proquest.com/lib/NKNU/detail.action?docID=288651</t>
  </si>
  <si>
    <t>https://ebookcentral.proquest.com/lib/NKNU/detail.action?docID=288664</t>
  </si>
  <si>
    <t>https://ebookcentral.proquest.com/lib/NKNU/detail.action?docID=288665</t>
  </si>
  <si>
    <t>https://ebookcentral.proquest.com/lib/NKNU/detail.action?docID=288666</t>
  </si>
  <si>
    <t>https://ebookcentral.proquest.com/lib/NKNU/detail.action?docID=288667</t>
  </si>
  <si>
    <t>https://ebookcentral.proquest.com/lib/NKNU/detail.action?docID=288668</t>
  </si>
  <si>
    <t>https://ebookcentral.proquest.com/lib/NKNU/detail.action?docID=288669</t>
  </si>
  <si>
    <t>https://ebookcentral.proquest.com/lib/NKNU/detail.action?docID=288670</t>
  </si>
  <si>
    <t>https://ebookcentral.proquest.com/lib/NKNU/detail.action?docID=288671</t>
  </si>
  <si>
    <t>https://ebookcentral.proquest.com/lib/NKNU/detail.action?docID=288672</t>
  </si>
  <si>
    <t>https://ebookcentral.proquest.com/lib/NKNU/detail.action?docID=288673</t>
  </si>
  <si>
    <t>https://ebookcentral.proquest.com/lib/NKNU/detail.action?docID=288679</t>
  </si>
  <si>
    <t>https://ebookcentral.proquest.com/lib/NKNU/detail.action?docID=288705</t>
  </si>
  <si>
    <t>https://ebookcentral.proquest.com/lib/NKNU/detail.action?docID=288764</t>
  </si>
  <si>
    <t>https://ebookcentral.proquest.com/lib/NKNU/detail.action?docID=288772</t>
  </si>
  <si>
    <t>https://ebookcentral.proquest.com/lib/NKNU/detail.action?docID=288786</t>
  </si>
  <si>
    <t>https://ebookcentral.proquest.com/lib/NKNU/detail.action?docID=288789</t>
  </si>
  <si>
    <t>https://ebookcentral.proquest.com/lib/NKNU/detail.action?docID=288791</t>
  </si>
  <si>
    <t>https://ebookcentral.proquest.com/lib/NKNU/detail.action?docID=288835</t>
  </si>
  <si>
    <t>https://ebookcentral.proquest.com/lib/NKNU/detail.action?docID=288892</t>
  </si>
  <si>
    <t>https://ebookcentral.proquest.com/lib/NKNU/detail.action?docID=288899</t>
  </si>
  <si>
    <t>https://ebookcentral.proquest.com/lib/NKNU/detail.action?docID=288900</t>
  </si>
  <si>
    <t>https://ebookcentral.proquest.com/lib/NKNU/detail.action?docID=288907</t>
  </si>
  <si>
    <t>https://ebookcentral.proquest.com/lib/NKNU/detail.action?docID=288914</t>
  </si>
  <si>
    <t>https://ebookcentral.proquest.com/lib/NKNU/detail.action?docID=288916</t>
  </si>
  <si>
    <t>https://ebookcentral.proquest.com/lib/NKNU/detail.action?docID=288946</t>
  </si>
  <si>
    <t>https://ebookcentral.proquest.com/lib/NKNU/detail.action?docID=288947</t>
  </si>
  <si>
    <t>https://ebookcentral.proquest.com/lib/NKNU/detail.action?docID=288951</t>
  </si>
  <si>
    <t>https://ebookcentral.proquest.com/lib/NKNU/detail.action?docID=289169</t>
  </si>
  <si>
    <t>https://ebookcentral.proquest.com/lib/NKNU/detail.action?docID=289173</t>
  </si>
  <si>
    <t>https://ebookcentral.proquest.com/lib/NKNU/detail.action?docID=289175</t>
  </si>
  <si>
    <t>https://ebookcentral.proquest.com/lib/NKNU/detail.action?docID=289322</t>
  </si>
  <si>
    <t>https://ebookcentral.proquest.com/lib/NKNU/detail.action?docID=289340</t>
  </si>
  <si>
    <t>https://ebookcentral.proquest.com/lib/NKNU/detail.action?docID=289346</t>
  </si>
  <si>
    <t>https://ebookcentral.proquest.com/lib/NKNU/detail.action?docID=289394</t>
  </si>
  <si>
    <t>https://ebookcentral.proquest.com/lib/NKNU/detail.action?docID=289430</t>
  </si>
  <si>
    <t>https://ebookcentral.proquest.com/lib/NKNU/detail.action?docID=289434</t>
  </si>
  <si>
    <t>https://ebookcentral.proquest.com/lib/NKNU/detail.action?docID=289437</t>
  </si>
  <si>
    <t>https://ebookcentral.proquest.com/lib/NKNU/detail.action?docID=289447</t>
  </si>
  <si>
    <t>https://ebookcentral.proquest.com/lib/NKNU/detail.action?docID=289454</t>
  </si>
  <si>
    <t>https://ebookcentral.proquest.com/lib/NKNU/detail.action?docID=289456</t>
  </si>
  <si>
    <t>https://ebookcentral.proquest.com/lib/NKNU/detail.action?docID=289457</t>
  </si>
  <si>
    <t>https://ebookcentral.proquest.com/lib/NKNU/detail.action?docID=289463</t>
  </si>
  <si>
    <t>https://ebookcentral.proquest.com/lib/NKNU/detail.action?docID=289647</t>
  </si>
  <si>
    <t>https://ebookcentral.proquest.com/lib/NKNU/detail.action?docID=289648</t>
  </si>
  <si>
    <t>https://ebookcentral.proquest.com/lib/NKNU/detail.action?docID=289651</t>
  </si>
  <si>
    <t>https://ebookcentral.proquest.com/lib/NKNU/detail.action?docID=289652</t>
  </si>
  <si>
    <t>https://ebookcentral.proquest.com/lib/NKNU/detail.action?docID=289653</t>
  </si>
  <si>
    <t>https://ebookcentral.proquest.com/lib/NKNU/detail.action?docID=289654</t>
  </si>
  <si>
    <t>https://ebookcentral.proquest.com/lib/NKNU/detail.action?docID=289655</t>
  </si>
  <si>
    <t>https://ebookcentral.proquest.com/lib/NKNU/detail.action?docID=289662</t>
  </si>
  <si>
    <t>https://ebookcentral.proquest.com/lib/NKNU/detail.action?docID=289664</t>
  </si>
  <si>
    <t>https://ebookcentral.proquest.com/lib/NKNU/detail.action?docID=289665</t>
  </si>
  <si>
    <t>https://ebookcentral.proquest.com/lib/NKNU/detail.action?docID=289671</t>
  </si>
  <si>
    <t>https://ebookcentral.proquest.com/lib/NKNU/detail.action?docID=289677</t>
  </si>
  <si>
    <t>https://ebookcentral.proquest.com/lib/NKNU/detail.action?docID=289678</t>
  </si>
  <si>
    <t>https://ebookcentral.proquest.com/lib/NKNU/detail.action?docID=289685</t>
  </si>
  <si>
    <t>https://ebookcentral.proquest.com/lib/NKNU/detail.action?docID=289692</t>
  </si>
  <si>
    <t>https://ebookcentral.proquest.com/lib/NKNU/detail.action?docID=289694</t>
  </si>
  <si>
    <t>https://ebookcentral.proquest.com/lib/NKNU/detail.action?docID=289697</t>
  </si>
  <si>
    <t>https://ebookcentral.proquest.com/lib/NKNU/detail.action?docID=289702</t>
  </si>
  <si>
    <t>https://ebookcentral.proquest.com/lib/NKNU/detail.action?docID=289703</t>
  </si>
  <si>
    <t>https://ebookcentral.proquest.com/lib/NKNU/detail.action?docID=289798</t>
  </si>
  <si>
    <t>https://ebookcentral.proquest.com/lib/NKNU/detail.action?docID=289815</t>
  </si>
  <si>
    <t>https://ebookcentral.proquest.com/lib/NKNU/detail.action?docID=289823</t>
  </si>
  <si>
    <t>https://ebookcentral.proquest.com/lib/NKNU/detail.action?docID=289830</t>
  </si>
  <si>
    <t>https://ebookcentral.proquest.com/lib/NKNU/detail.action?docID=289834</t>
  </si>
  <si>
    <t>https://ebookcentral.proquest.com/lib/NKNU/detail.action?docID=289858</t>
  </si>
  <si>
    <t>https://ebookcentral.proquest.com/lib/NKNU/detail.action?docID=289864</t>
  </si>
  <si>
    <t>https://ebookcentral.proquest.com/lib/NKNU/detail.action?docID=289869</t>
  </si>
  <si>
    <t>https://ebookcentral.proquest.com/lib/NKNU/detail.action?docID=289880</t>
  </si>
  <si>
    <t>https://ebookcentral.proquest.com/lib/NKNU/detail.action?docID=289901</t>
  </si>
  <si>
    <t>https://ebookcentral.proquest.com/lib/NKNU/detail.action?docID=289902</t>
  </si>
  <si>
    <t>https://ebookcentral.proquest.com/lib/NKNU/detail.action?docID=289909</t>
  </si>
  <si>
    <t>https://ebookcentral.proquest.com/lib/NKNU/detail.action?docID=289911</t>
  </si>
  <si>
    <t>https://ebookcentral.proquest.com/lib/NKNU/detail.action?docID=289912</t>
  </si>
  <si>
    <t>https://ebookcentral.proquest.com/lib/NKNU/detail.action?docID=289913</t>
  </si>
  <si>
    <t>https://ebookcentral.proquest.com/lib/NKNU/detail.action?docID=289914</t>
  </si>
  <si>
    <t>https://ebookcentral.proquest.com/lib/NKNU/detail.action?docID=289918</t>
  </si>
  <si>
    <t>https://ebookcentral.proquest.com/lib/NKNU/detail.action?docID=290038</t>
  </si>
  <si>
    <t>https://ebookcentral.proquest.com/lib/NKNU/detail.action?docID=290093</t>
  </si>
  <si>
    <t>https://ebookcentral.proquest.com/lib/NKNU/detail.action?docID=290212</t>
  </si>
  <si>
    <t>https://ebookcentral.proquest.com/lib/NKNU/detail.action?docID=290352</t>
  </si>
  <si>
    <t>https://ebookcentral.proquest.com/lib/NKNU/detail.action?docID=290353</t>
  </si>
  <si>
    <t>https://ebookcentral.proquest.com/lib/NKNU/detail.action?docID=290355</t>
  </si>
  <si>
    <t>https://ebookcentral.proquest.com/lib/NKNU/detail.action?docID=290360</t>
  </si>
  <si>
    <t>https://ebookcentral.proquest.com/lib/NKNU/detail.action?docID=290363</t>
  </si>
  <si>
    <t>https://ebookcentral.proquest.com/lib/NKNU/detail.action?docID=290390</t>
  </si>
  <si>
    <t>https://ebookcentral.proquest.com/lib/NKNU/detail.action?docID=290398</t>
  </si>
  <si>
    <t>https://ebookcentral.proquest.com/lib/NKNU/detail.action?docID=290399</t>
  </si>
  <si>
    <t>https://ebookcentral.proquest.com/lib/NKNU/detail.action?docID=290401</t>
  </si>
  <si>
    <t>https://ebookcentral.proquest.com/lib/NKNU/detail.action?docID=290406</t>
  </si>
  <si>
    <t>https://ebookcentral.proquest.com/lib/NKNU/detail.action?docID=290414</t>
  </si>
  <si>
    <t>https://ebookcentral.proquest.com/lib/NKNU/detail.action?docID=290427</t>
  </si>
  <si>
    <t>https://ebookcentral.proquest.com/lib/NKNU/detail.action?docID=290559</t>
  </si>
  <si>
    <t>https://ebookcentral.proquest.com/lib/NKNU/detail.action?docID=290568</t>
  </si>
  <si>
    <t>https://ebookcentral.proquest.com/lib/NKNU/detail.action?docID=290573</t>
  </si>
  <si>
    <t>https://ebookcentral.proquest.com/lib/NKNU/detail.action?docID=290597</t>
  </si>
  <si>
    <t>https://ebookcentral.proquest.com/lib/NKNU/detail.action?docID=290621</t>
  </si>
  <si>
    <t>https://ebookcentral.proquest.com/lib/NKNU/detail.action?docID=290639</t>
  </si>
  <si>
    <t>https://ebookcentral.proquest.com/lib/NKNU/detail.action?docID=290643</t>
  </si>
  <si>
    <t>https://ebookcentral.proquest.com/lib/NKNU/detail.action?docID=290649</t>
  </si>
  <si>
    <t>https://ebookcentral.proquest.com/lib/NKNU/detail.action?docID=290659</t>
  </si>
  <si>
    <t>https://ebookcentral.proquest.com/lib/NKNU/detail.action?docID=290664</t>
  </si>
  <si>
    <t>https://ebookcentral.proquest.com/lib/NKNU/detail.action?docID=290665</t>
  </si>
  <si>
    <t>https://ebookcentral.proquest.com/lib/NKNU/detail.action?docID=290667</t>
  </si>
  <si>
    <t>https://ebookcentral.proquest.com/lib/NKNU/detail.action?docID=290674</t>
  </si>
  <si>
    <t>https://ebookcentral.proquest.com/lib/NKNU/detail.action?docID=290681</t>
  </si>
  <si>
    <t>https://ebookcentral.proquest.com/lib/NKNU/detail.action?docID=290683</t>
  </si>
  <si>
    <t>https://ebookcentral.proquest.com/lib/NKNU/detail.action?docID=290688</t>
  </si>
  <si>
    <t>https://ebookcentral.proquest.com/lib/NKNU/detail.action?docID=290694</t>
  </si>
  <si>
    <t>https://ebookcentral.proquest.com/lib/NKNU/detail.action?docID=290696</t>
  </si>
  <si>
    <t>https://ebookcentral.proquest.com/lib/NKNU/detail.action?docID=290719</t>
  </si>
  <si>
    <t>https://ebookcentral.proquest.com/lib/NKNU/detail.action?docID=290727</t>
  </si>
  <si>
    <t>https://ebookcentral.proquest.com/lib/NKNU/detail.action?docID=290729</t>
  </si>
  <si>
    <t>https://ebookcentral.proquest.com/lib/NKNU/detail.action?docID=290746</t>
  </si>
  <si>
    <t>https://ebookcentral.proquest.com/lib/NKNU/detail.action?docID=290797</t>
  </si>
  <si>
    <t>https://ebookcentral.proquest.com/lib/NKNU/detail.action?docID=290838</t>
  </si>
  <si>
    <t>https://ebookcentral.proquest.com/lib/NKNU/detail.action?docID=290846</t>
  </si>
  <si>
    <t>https://ebookcentral.proquest.com/lib/NKNU/detail.action?docID=290866</t>
  </si>
  <si>
    <t>https://ebookcentral.proquest.com/lib/NKNU/detail.action?docID=290869</t>
  </si>
  <si>
    <t>https://ebookcentral.proquest.com/lib/NKNU/detail.action?docID=290873</t>
  </si>
  <si>
    <t>https://ebookcentral.proquest.com/lib/NKNU/detail.action?docID=290881</t>
  </si>
  <si>
    <t>https://ebookcentral.proquest.com/lib/NKNU/detail.action?docID=290889</t>
  </si>
  <si>
    <t>https://ebookcentral.proquest.com/lib/NKNU/detail.action?docID=290891</t>
  </si>
  <si>
    <t>https://ebookcentral.proquest.com/lib/NKNU/detail.action?docID=290893</t>
  </si>
  <si>
    <t>https://ebookcentral.proquest.com/lib/NKNU/detail.action?docID=290896</t>
  </si>
  <si>
    <t>https://ebookcentral.proquest.com/lib/NKNU/detail.action?docID=290897</t>
  </si>
  <si>
    <t>https://ebookcentral.proquest.com/lib/NKNU/detail.action?docID=290901</t>
  </si>
  <si>
    <t>https://ebookcentral.proquest.com/lib/NKNU/detail.action?docID=290905</t>
  </si>
  <si>
    <t>https://ebookcentral.proquest.com/lib/NKNU/detail.action?docID=290906</t>
  </si>
  <si>
    <t>https://ebookcentral.proquest.com/lib/NKNU/detail.action?docID=290907</t>
  </si>
  <si>
    <t>https://ebookcentral.proquest.com/lib/NKNU/detail.action?docID=290912</t>
  </si>
  <si>
    <t>https://ebookcentral.proquest.com/lib/NKNU/detail.action?docID=290920</t>
  </si>
  <si>
    <t>https://ebookcentral.proquest.com/lib/NKNU/detail.action?docID=290930</t>
  </si>
  <si>
    <t>https://ebookcentral.proquest.com/lib/NKNU/detail.action?docID=290934</t>
  </si>
  <si>
    <t>https://ebookcentral.proquest.com/lib/NKNU/detail.action?docID=290938</t>
  </si>
  <si>
    <t>https://ebookcentral.proquest.com/lib/NKNU/detail.action?docID=290943</t>
  </si>
  <si>
    <t>https://ebookcentral.proquest.com/lib/NKNU/detail.action?docID=290944</t>
  </si>
  <si>
    <t>https://ebookcentral.proquest.com/lib/NKNU/detail.action?docID=290948</t>
  </si>
  <si>
    <t>https://ebookcentral.proquest.com/lib/NKNU/detail.action?docID=290953</t>
  </si>
  <si>
    <t>https://ebookcentral.proquest.com/lib/NKNU/detail.action?docID=291051</t>
  </si>
  <si>
    <t>https://ebookcentral.proquest.com/lib/NKNU/detail.action?docID=291057</t>
  </si>
  <si>
    <t>https://ebookcentral.proquest.com/lib/NKNU/detail.action?docID=291063</t>
  </si>
  <si>
    <t>https://ebookcentral.proquest.com/lib/NKNU/detail.action?docID=291080</t>
  </si>
  <si>
    <t>https://ebookcentral.proquest.com/lib/NKNU/detail.action?docID=291084</t>
  </si>
  <si>
    <t>https://ebookcentral.proquest.com/lib/NKNU/detail.action?docID=291086</t>
  </si>
  <si>
    <t>https://ebookcentral.proquest.com/lib/NKNU/detail.action?docID=291121</t>
  </si>
  <si>
    <t>https://ebookcentral.proquest.com/lib/NKNU/detail.action?docID=291123</t>
  </si>
  <si>
    <t>https://ebookcentral.proquest.com/lib/NKNU/detail.action?docID=291129</t>
  </si>
  <si>
    <t>https://ebookcentral.proquest.com/lib/NKNU/detail.action?docID=291134</t>
  </si>
  <si>
    <t>https://ebookcentral.proquest.com/lib/NKNU/detail.action?docID=291138</t>
  </si>
  <si>
    <t>https://ebookcentral.proquest.com/lib/NKNU/detail.action?docID=291175</t>
  </si>
  <si>
    <t>https://ebookcentral.proquest.com/lib/NKNU/detail.action?docID=291321</t>
  </si>
  <si>
    <t>https://ebookcentral.proquest.com/lib/NKNU/detail.action?docID=291325</t>
  </si>
  <si>
    <t>https://ebookcentral.proquest.com/lib/NKNU/detail.action?docID=291326</t>
  </si>
  <si>
    <t>https://ebookcentral.proquest.com/lib/NKNU/detail.action?docID=291340</t>
  </si>
  <si>
    <t>https://ebookcentral.proquest.com/lib/NKNU/detail.action?docID=291346</t>
  </si>
  <si>
    <t>https://ebookcentral.proquest.com/lib/NKNU/detail.action?docID=291374</t>
  </si>
  <si>
    <t>https://ebookcentral.proquest.com/lib/NKNU/detail.action?docID=291386</t>
  </si>
  <si>
    <t>https://ebookcentral.proquest.com/lib/NKNU/detail.action?docID=291389</t>
  </si>
  <si>
    <t>https://ebookcentral.proquest.com/lib/NKNU/detail.action?docID=291393</t>
  </si>
  <si>
    <t>https://ebookcentral.proquest.com/lib/NKNU/detail.action?docID=291399</t>
  </si>
  <si>
    <t>https://ebookcentral.proquest.com/lib/NKNU/detail.action?docID=291502</t>
  </si>
  <si>
    <t>https://ebookcentral.proquest.com/lib/NKNU/detail.action?docID=291504</t>
  </si>
  <si>
    <t>https://ebookcentral.proquest.com/lib/NKNU/detail.action?docID=291505</t>
  </si>
  <si>
    <t>https://ebookcentral.proquest.com/lib/NKNU/detail.action?docID=291551</t>
  </si>
  <si>
    <t>https://ebookcentral.proquest.com/lib/NKNU/detail.action?docID=291553</t>
  </si>
  <si>
    <t>https://ebookcentral.proquest.com/lib/NKNU/detail.action?docID=291554</t>
  </si>
  <si>
    <t>https://ebookcentral.proquest.com/lib/NKNU/detail.action?docID=291555</t>
  </si>
  <si>
    <t>https://ebookcentral.proquest.com/lib/NKNU/detail.action?docID=291556</t>
  </si>
  <si>
    <t>https://ebookcentral.proquest.com/lib/NKNU/detail.action?docID=291557</t>
  </si>
  <si>
    <t>https://ebookcentral.proquest.com/lib/NKNU/detail.action?docID=291558</t>
  </si>
  <si>
    <t>https://ebookcentral.proquest.com/lib/NKNU/detail.action?docID=291560</t>
  </si>
  <si>
    <t>https://ebookcentral.proquest.com/lib/NKNU/detail.action?docID=291561</t>
  </si>
  <si>
    <t>https://ebookcentral.proquest.com/lib/NKNU/detail.action?docID=291562</t>
  </si>
  <si>
    <t>https://ebookcentral.proquest.com/lib/NKNU/detail.action?docID=291563</t>
  </si>
  <si>
    <t>https://ebookcentral.proquest.com/lib/NKNU/detail.action?docID=291564</t>
  </si>
  <si>
    <t>https://ebookcentral.proquest.com/lib/NKNU/detail.action?docID=291565</t>
  </si>
  <si>
    <t>https://ebookcentral.proquest.com/lib/NKNU/detail.action?docID=291566</t>
  </si>
  <si>
    <t>https://ebookcentral.proquest.com/lib/NKNU/detail.action?docID=291567</t>
  </si>
  <si>
    <t>https://ebookcentral.proquest.com/lib/NKNU/detail.action?docID=291569</t>
  </si>
  <si>
    <t>https://ebookcentral.proquest.com/lib/NKNU/detail.action?docID=291570</t>
  </si>
  <si>
    <t>https://ebookcentral.proquest.com/lib/NKNU/detail.action?docID=291571</t>
  </si>
  <si>
    <t>https://ebookcentral.proquest.com/lib/NKNU/detail.action?docID=291572</t>
  </si>
  <si>
    <t>https://ebookcentral.proquest.com/lib/NKNU/detail.action?docID=291573</t>
  </si>
  <si>
    <t>https://ebookcentral.proquest.com/lib/NKNU/detail.action?docID=291574</t>
  </si>
  <si>
    <t>https://ebookcentral.proquest.com/lib/NKNU/detail.action?docID=291575</t>
  </si>
  <si>
    <t>https://ebookcentral.proquest.com/lib/NKNU/detail.action?docID=291577</t>
  </si>
  <si>
    <t>https://ebookcentral.proquest.com/lib/NKNU/detail.action?docID=291578</t>
  </si>
  <si>
    <t>https://ebookcentral.proquest.com/lib/NKNU/detail.action?docID=291579</t>
  </si>
  <si>
    <t>https://ebookcentral.proquest.com/lib/NKNU/detail.action?docID=291580</t>
  </si>
  <si>
    <t>https://ebookcentral.proquest.com/lib/NKNU/detail.action?docID=291581</t>
  </si>
  <si>
    <t>https://ebookcentral.proquest.com/lib/NKNU/detail.action?docID=291583</t>
  </si>
  <si>
    <t>https://ebookcentral.proquest.com/lib/NKNU/detail.action?docID=291585</t>
  </si>
  <si>
    <t>https://ebookcentral.proquest.com/lib/NKNU/detail.action?docID=291586</t>
  </si>
  <si>
    <t>https://ebookcentral.proquest.com/lib/NKNU/detail.action?docID=291589</t>
  </si>
  <si>
    <t>https://ebookcentral.proquest.com/lib/NKNU/detail.action?docID=291590</t>
  </si>
  <si>
    <t>https://ebookcentral.proquest.com/lib/NKNU/detail.action?docID=291591</t>
  </si>
  <si>
    <t>https://ebookcentral.proquest.com/lib/NKNU/detail.action?docID=291592</t>
  </si>
  <si>
    <t>https://ebookcentral.proquest.com/lib/NKNU/detail.action?docID=291597</t>
  </si>
  <si>
    <t>https://ebookcentral.proquest.com/lib/NKNU/detail.action?docID=291598</t>
  </si>
  <si>
    <t>https://ebookcentral.proquest.com/lib/NKNU/detail.action?docID=291599</t>
  </si>
  <si>
    <t>https://ebookcentral.proquest.com/lib/NKNU/detail.action?docID=291600</t>
  </si>
  <si>
    <t>https://ebookcentral.proquest.com/lib/NKNU/detail.action?docID=291602</t>
  </si>
  <si>
    <t>https://ebookcentral.proquest.com/lib/NKNU/detail.action?docID=291603</t>
  </si>
  <si>
    <t>https://ebookcentral.proquest.com/lib/NKNU/detail.action?docID=291674</t>
  </si>
  <si>
    <t>https://ebookcentral.proquest.com/lib/NKNU/detail.action?docID=291679</t>
  </si>
  <si>
    <t>https://ebookcentral.proquest.com/lib/NKNU/detail.action?docID=291683</t>
  </si>
  <si>
    <t>https://ebookcentral.proquest.com/lib/NKNU/detail.action?docID=291699</t>
  </si>
  <si>
    <t>https://ebookcentral.proquest.com/lib/NKNU/detail.action?docID=291702</t>
  </si>
  <si>
    <t>https://ebookcentral.proquest.com/lib/NKNU/detail.action?docID=292062</t>
  </si>
  <si>
    <t>https://ebookcentral.proquest.com/lib/NKNU/detail.action?docID=292074</t>
  </si>
  <si>
    <t>https://ebookcentral.proquest.com/lib/NKNU/detail.action?docID=292079</t>
  </si>
  <si>
    <t>https://ebookcentral.proquest.com/lib/NKNU/detail.action?docID=292096</t>
  </si>
  <si>
    <t>https://ebookcentral.proquest.com/lib/NKNU/detail.action?docID=292100</t>
  </si>
  <si>
    <t>https://ebookcentral.proquest.com/lib/NKNU/detail.action?docID=292104</t>
  </si>
  <si>
    <t>https://ebookcentral.proquest.com/lib/NKNU/detail.action?docID=292110</t>
  </si>
  <si>
    <t>https://ebookcentral.proquest.com/lib/NKNU/detail.action?docID=292119</t>
  </si>
  <si>
    <t>https://ebookcentral.proquest.com/lib/NKNU/detail.action?docID=292124</t>
  </si>
  <si>
    <t>https://ebookcentral.proquest.com/lib/NKNU/detail.action?docID=292125</t>
  </si>
  <si>
    <t>https://ebookcentral.proquest.com/lib/NKNU/detail.action?docID=292132</t>
  </si>
  <si>
    <t>https://ebookcentral.proquest.com/lib/NKNU/detail.action?docID=292133</t>
  </si>
  <si>
    <t>https://ebookcentral.proquest.com/lib/NKNU/detail.action?docID=292134</t>
  </si>
  <si>
    <t>https://ebookcentral.proquest.com/lib/NKNU/detail.action?docID=292290</t>
  </si>
  <si>
    <t>https://ebookcentral.proquest.com/lib/NKNU/detail.action?docID=292305</t>
  </si>
  <si>
    <t>https://ebookcentral.proquest.com/lib/NKNU/detail.action?docID=292306</t>
  </si>
  <si>
    <t>https://ebookcentral.proquest.com/lib/NKNU/detail.action?docID=292308</t>
  </si>
  <si>
    <t>https://ebookcentral.proquest.com/lib/NKNU/detail.action?docID=292311</t>
  </si>
  <si>
    <t>https://ebookcentral.proquest.com/lib/NKNU/detail.action?docID=292321</t>
  </si>
  <si>
    <t>https://ebookcentral.proquest.com/lib/NKNU/detail.action?docID=292355</t>
  </si>
  <si>
    <t>https://ebookcentral.proquest.com/lib/NKNU/detail.action?docID=292360</t>
  </si>
  <si>
    <t>https://ebookcentral.proquest.com/lib/NKNU/detail.action?docID=292362</t>
  </si>
  <si>
    <t>https://ebookcentral.proquest.com/lib/NKNU/detail.action?docID=292364</t>
  </si>
  <si>
    <t>https://ebookcentral.proquest.com/lib/NKNU/detail.action?docID=292365</t>
  </si>
  <si>
    <t>https://ebookcentral.proquest.com/lib/NKNU/detail.action?docID=292367</t>
  </si>
  <si>
    <t>https://ebookcentral.proquest.com/lib/NKNU/detail.action?docID=292371</t>
  </si>
  <si>
    <t>https://ebookcentral.proquest.com/lib/NKNU/detail.action?docID=292391</t>
  </si>
  <si>
    <t>https://ebookcentral.proquest.com/lib/NKNU/detail.action?docID=292412</t>
  </si>
  <si>
    <t>https://ebookcentral.proquest.com/lib/NKNU/detail.action?docID=292421</t>
  </si>
  <si>
    <t>https://ebookcentral.proquest.com/lib/NKNU/detail.action?docID=292740</t>
  </si>
  <si>
    <t>https://ebookcentral.proquest.com/lib/NKNU/detail.action?docID=292741</t>
  </si>
  <si>
    <t>https://ebookcentral.proquest.com/lib/NKNU/detail.action?docID=292745</t>
  </si>
  <si>
    <t>https://ebookcentral.proquest.com/lib/NKNU/detail.action?docID=292747</t>
  </si>
  <si>
    <t>https://ebookcentral.proquest.com/lib/NKNU/detail.action?docID=292749</t>
  </si>
  <si>
    <t>https://ebookcentral.proquest.com/lib/NKNU/detail.action?docID=292750</t>
  </si>
  <si>
    <t>https://ebookcentral.proquest.com/lib/NKNU/detail.action?docID=292751</t>
  </si>
  <si>
    <t>https://ebookcentral.proquest.com/lib/NKNU/detail.action?docID=292752</t>
  </si>
  <si>
    <t>https://ebookcentral.proquest.com/lib/NKNU/detail.action?docID=292753</t>
  </si>
  <si>
    <t>https://ebookcentral.proquest.com/lib/NKNU/detail.action?docID=292755</t>
  </si>
  <si>
    <t>https://ebookcentral.proquest.com/lib/NKNU/detail.action?docID=292758</t>
  </si>
  <si>
    <t>https://ebookcentral.proquest.com/lib/NKNU/detail.action?docID=292759</t>
  </si>
  <si>
    <t>https://ebookcentral.proquest.com/lib/NKNU/detail.action?docID=292760</t>
  </si>
  <si>
    <t>https://ebookcentral.proquest.com/lib/NKNU/detail.action?docID=292761</t>
  </si>
  <si>
    <t>https://ebookcentral.proquest.com/lib/NKNU/detail.action?docID=292764</t>
  </si>
  <si>
    <t>https://ebookcentral.proquest.com/lib/NKNU/detail.action?docID=292773</t>
  </si>
  <si>
    <t>https://ebookcentral.proquest.com/lib/NKNU/detail.action?docID=292775</t>
  </si>
  <si>
    <t>https://ebookcentral.proquest.com/lib/NKNU/detail.action?docID=292777</t>
  </si>
  <si>
    <t>https://ebookcentral.proquest.com/lib/NKNU/detail.action?docID=292786</t>
  </si>
  <si>
    <t>https://ebookcentral.proquest.com/lib/NKNU/detail.action?docID=292788</t>
  </si>
  <si>
    <t>https://ebookcentral.proquest.com/lib/NKNU/detail.action?docID=292791</t>
  </si>
  <si>
    <t>https://ebookcentral.proquest.com/lib/NKNU/detail.action?docID=292794</t>
  </si>
  <si>
    <t>https://ebookcentral.proquest.com/lib/NKNU/detail.action?docID=292796</t>
  </si>
  <si>
    <t>https://ebookcentral.proquest.com/lib/NKNU/detail.action?docID=292798</t>
  </si>
  <si>
    <t>https://ebookcentral.proquest.com/lib/NKNU/detail.action?docID=292804</t>
  </si>
  <si>
    <t>https://ebookcentral.proquest.com/lib/NKNU/detail.action?docID=292805</t>
  </si>
  <si>
    <t>https://ebookcentral.proquest.com/lib/NKNU/detail.action?docID=292806</t>
  </si>
  <si>
    <t>https://ebookcentral.proquest.com/lib/NKNU/detail.action?docID=292813</t>
  </si>
  <si>
    <t>https://ebookcentral.proquest.com/lib/NKNU/detail.action?docID=292815</t>
  </si>
  <si>
    <t>https://ebookcentral.proquest.com/lib/NKNU/detail.action?docID=292816</t>
  </si>
  <si>
    <t>https://ebookcentral.proquest.com/lib/NKNU/detail.action?docID=292818</t>
  </si>
  <si>
    <t>https://ebookcentral.proquest.com/lib/NKNU/detail.action?docID=292821</t>
  </si>
  <si>
    <t>https://ebookcentral.proquest.com/lib/NKNU/detail.action?docID=292822</t>
  </si>
  <si>
    <t>https://ebookcentral.proquest.com/lib/NKNU/detail.action?docID=292832</t>
  </si>
  <si>
    <t>https://ebookcentral.proquest.com/lib/NKNU/detail.action?docID=292834</t>
  </si>
  <si>
    <t>https://ebookcentral.proquest.com/lib/NKNU/detail.action?docID=292838</t>
  </si>
  <si>
    <t>https://ebookcentral.proquest.com/lib/NKNU/detail.action?docID=292844</t>
  </si>
  <si>
    <t>https://ebookcentral.proquest.com/lib/NKNU/detail.action?docID=292845</t>
  </si>
  <si>
    <t>https://ebookcentral.proquest.com/lib/NKNU/detail.action?docID=292846</t>
  </si>
  <si>
    <t>https://ebookcentral.proquest.com/lib/NKNU/detail.action?docID=292850</t>
  </si>
  <si>
    <t>https://ebookcentral.proquest.com/lib/NKNU/detail.action?docID=292855</t>
  </si>
  <si>
    <t>https://ebookcentral.proquest.com/lib/NKNU/detail.action?docID=292856</t>
  </si>
  <si>
    <t>https://ebookcentral.proquest.com/lib/NKNU/detail.action?docID=292857</t>
  </si>
  <si>
    <t>https://ebookcentral.proquest.com/lib/NKNU/detail.action?docID=292862</t>
  </si>
  <si>
    <t>https://ebookcentral.proquest.com/lib/NKNU/detail.action?docID=292865</t>
  </si>
  <si>
    <t>https://ebookcentral.proquest.com/lib/NKNU/detail.action?docID=292868</t>
  </si>
  <si>
    <t>https://ebookcentral.proquest.com/lib/NKNU/detail.action?docID=292870</t>
  </si>
  <si>
    <t>https://ebookcentral.proquest.com/lib/NKNU/detail.action?docID=292871</t>
  </si>
  <si>
    <t>https://ebookcentral.proquest.com/lib/NKNU/detail.action?docID=292872</t>
  </si>
  <si>
    <t>https://ebookcentral.proquest.com/lib/NKNU/detail.action?docID=292873</t>
  </si>
  <si>
    <t>https://ebookcentral.proquest.com/lib/NKNU/detail.action?docID=292874</t>
  </si>
  <si>
    <t>https://ebookcentral.proquest.com/lib/NKNU/detail.action?docID=292879</t>
  </si>
  <si>
    <t>https://ebookcentral.proquest.com/lib/NKNU/detail.action?docID=292880</t>
  </si>
  <si>
    <t>https://ebookcentral.proquest.com/lib/NKNU/detail.action?docID=292886</t>
  </si>
  <si>
    <t>https://ebookcentral.proquest.com/lib/NKNU/detail.action?docID=292890</t>
  </si>
  <si>
    <t>https://ebookcentral.proquest.com/lib/NKNU/detail.action?docID=292891</t>
  </si>
  <si>
    <t>https://ebookcentral.proquest.com/lib/NKNU/detail.action?docID=292892</t>
  </si>
  <si>
    <t>https://ebookcentral.proquest.com/lib/NKNU/detail.action?docID=292894</t>
  </si>
  <si>
    <t>https://ebookcentral.proquest.com/lib/NKNU/detail.action?docID=292903</t>
  </si>
  <si>
    <t>https://ebookcentral.proquest.com/lib/NKNU/detail.action?docID=292904</t>
  </si>
  <si>
    <t>https://ebookcentral.proquest.com/lib/NKNU/detail.action?docID=292906</t>
  </si>
  <si>
    <t>https://ebookcentral.proquest.com/lib/NKNU/detail.action?docID=292912</t>
  </si>
  <si>
    <t>https://ebookcentral.proquest.com/lib/NKNU/detail.action?docID=292913</t>
  </si>
  <si>
    <t>https://ebookcentral.proquest.com/lib/NKNU/detail.action?docID=292914</t>
  </si>
  <si>
    <t>https://ebookcentral.proquest.com/lib/NKNU/detail.action?docID=292915</t>
  </si>
  <si>
    <t>https://ebookcentral.proquest.com/lib/NKNU/detail.action?docID=292924</t>
  </si>
  <si>
    <t>https://ebookcentral.proquest.com/lib/NKNU/detail.action?docID=292925</t>
  </si>
  <si>
    <t>https://ebookcentral.proquest.com/lib/NKNU/detail.action?docID=292926</t>
  </si>
  <si>
    <t>https://ebookcentral.proquest.com/lib/NKNU/detail.action?docID=292930</t>
  </si>
  <si>
    <t>https://ebookcentral.proquest.com/lib/NKNU/detail.action?docID=292931</t>
  </si>
  <si>
    <t>https://ebookcentral.proquest.com/lib/NKNU/detail.action?docID=292934</t>
  </si>
  <si>
    <t>https://ebookcentral.proquest.com/lib/NKNU/detail.action?docID=292935</t>
  </si>
  <si>
    <t>https://ebookcentral.proquest.com/lib/NKNU/detail.action?docID=292938</t>
  </si>
  <si>
    <t>https://ebookcentral.proquest.com/lib/NKNU/detail.action?docID=292939</t>
  </si>
  <si>
    <t>https://ebookcentral.proquest.com/lib/NKNU/detail.action?docID=292940</t>
  </si>
  <si>
    <t>https://ebookcentral.proquest.com/lib/NKNU/detail.action?docID=292942</t>
  </si>
  <si>
    <t>https://ebookcentral.proquest.com/lib/NKNU/detail.action?docID=292945</t>
  </si>
  <si>
    <t>https://ebookcentral.proquest.com/lib/NKNU/detail.action?docID=292946</t>
  </si>
  <si>
    <t>https://ebookcentral.proquest.com/lib/NKNU/detail.action?docID=292947</t>
  </si>
  <si>
    <t>https://ebookcentral.proquest.com/lib/NKNU/detail.action?docID=292949</t>
  </si>
  <si>
    <t>https://ebookcentral.proquest.com/lib/NKNU/detail.action?docID=292955</t>
  </si>
  <si>
    <t>https://ebookcentral.proquest.com/lib/NKNU/detail.action?docID=292956</t>
  </si>
  <si>
    <t>https://ebookcentral.proquest.com/lib/NKNU/detail.action?docID=292957</t>
  </si>
  <si>
    <t>https://ebookcentral.proquest.com/lib/NKNU/detail.action?docID=292963</t>
  </si>
  <si>
    <t>https://ebookcentral.proquest.com/lib/NKNU/detail.action?docID=292969</t>
  </si>
  <si>
    <t>https://ebookcentral.proquest.com/lib/NKNU/detail.action?docID=292970</t>
  </si>
  <si>
    <t>https://ebookcentral.proquest.com/lib/NKNU/detail.action?docID=292973</t>
  </si>
  <si>
    <t>https://ebookcentral.proquest.com/lib/NKNU/detail.action?docID=292974</t>
  </si>
  <si>
    <t>https://ebookcentral.proquest.com/lib/NKNU/detail.action?docID=292975</t>
  </si>
  <si>
    <t>https://ebookcentral.proquest.com/lib/NKNU/detail.action?docID=292977</t>
  </si>
  <si>
    <t>https://ebookcentral.proquest.com/lib/NKNU/detail.action?docID=292979</t>
  </si>
  <si>
    <t>https://ebookcentral.proquest.com/lib/NKNU/detail.action?docID=292980</t>
  </si>
  <si>
    <t>https://ebookcentral.proquest.com/lib/NKNU/detail.action?docID=292982</t>
  </si>
  <si>
    <t>https://ebookcentral.proquest.com/lib/NKNU/detail.action?docID=292984</t>
  </si>
  <si>
    <t>https://ebookcentral.proquest.com/lib/NKNU/detail.action?docID=292987</t>
  </si>
  <si>
    <t>https://ebookcentral.proquest.com/lib/NKNU/detail.action?docID=292994</t>
  </si>
  <si>
    <t>https://ebookcentral.proquest.com/lib/NKNU/detail.action?docID=292996</t>
  </si>
  <si>
    <t>https://ebookcentral.proquest.com/lib/NKNU/detail.action?docID=292999</t>
  </si>
  <si>
    <t>https://ebookcentral.proquest.com/lib/NKNU/detail.action?docID=293002</t>
  </si>
  <si>
    <t>https://ebookcentral.proquest.com/lib/NKNU/detail.action?docID=293004</t>
  </si>
  <si>
    <t>https://ebookcentral.proquest.com/lib/NKNU/detail.action?docID=293006</t>
  </si>
  <si>
    <t>https://ebookcentral.proquest.com/lib/NKNU/detail.action?docID=293010</t>
  </si>
  <si>
    <t>https://ebookcentral.proquest.com/lib/NKNU/detail.action?docID=293011</t>
  </si>
  <si>
    <t>https://ebookcentral.proquest.com/lib/NKNU/detail.action?docID=293012</t>
  </si>
  <si>
    <t>https://ebookcentral.proquest.com/lib/NKNU/detail.action?docID=293013</t>
  </si>
  <si>
    <t>https://ebookcentral.proquest.com/lib/NKNU/detail.action?docID=293014</t>
  </si>
  <si>
    <t>https://ebookcentral.proquest.com/lib/NKNU/detail.action?docID=293015</t>
  </si>
  <si>
    <t>https://ebookcentral.proquest.com/lib/NKNU/detail.action?docID=293016</t>
  </si>
  <si>
    <t>https://ebookcentral.proquest.com/lib/NKNU/detail.action?docID=293018</t>
  </si>
  <si>
    <t>https://ebookcentral.proquest.com/lib/NKNU/detail.action?docID=293019</t>
  </si>
  <si>
    <t>https://ebookcentral.proquest.com/lib/NKNU/detail.action?docID=293022</t>
  </si>
  <si>
    <t>https://ebookcentral.proquest.com/lib/NKNU/detail.action?docID=293023</t>
  </si>
  <si>
    <t>https://ebookcentral.proquest.com/lib/NKNU/detail.action?docID=293027</t>
  </si>
  <si>
    <t>https://ebookcentral.proquest.com/lib/NKNU/detail.action?docID=293031</t>
  </si>
  <si>
    <t>https://ebookcentral.proquest.com/lib/NKNU/detail.action?docID=293035</t>
  </si>
  <si>
    <t>https://ebookcentral.proquest.com/lib/NKNU/detail.action?docID=293037</t>
  </si>
  <si>
    <t>https://ebookcentral.proquest.com/lib/NKNU/detail.action?docID=293040</t>
  </si>
  <si>
    <t>https://ebookcentral.proquest.com/lib/NKNU/detail.action?docID=293042</t>
  </si>
  <si>
    <t>https://ebookcentral.proquest.com/lib/NKNU/detail.action?docID=293044</t>
  </si>
  <si>
    <t>https://ebookcentral.proquest.com/lib/NKNU/detail.action?docID=293046</t>
  </si>
  <si>
    <t>https://ebookcentral.proquest.com/lib/NKNU/detail.action?docID=293047</t>
  </si>
  <si>
    <t>https://ebookcentral.proquest.com/lib/NKNU/detail.action?docID=293048</t>
  </si>
  <si>
    <t>https://ebookcentral.proquest.com/lib/NKNU/detail.action?docID=293049</t>
  </si>
  <si>
    <t>https://ebookcentral.proquest.com/lib/NKNU/detail.action?docID=293051</t>
  </si>
  <si>
    <t>https://ebookcentral.proquest.com/lib/NKNU/detail.action?docID=293058</t>
  </si>
  <si>
    <t>https://ebookcentral.proquest.com/lib/NKNU/detail.action?docID=293060</t>
  </si>
  <si>
    <t>https://ebookcentral.proquest.com/lib/NKNU/detail.action?docID=293063</t>
  </si>
  <si>
    <t>https://ebookcentral.proquest.com/lib/NKNU/detail.action?docID=293064</t>
  </si>
  <si>
    <t>https://ebookcentral.proquest.com/lib/NKNU/detail.action?docID=293065</t>
  </si>
  <si>
    <t>https://ebookcentral.proquest.com/lib/NKNU/detail.action?docID=293066</t>
  </si>
  <si>
    <t>https://ebookcentral.proquest.com/lib/NKNU/detail.action?docID=293068</t>
  </si>
  <si>
    <t>https://ebookcentral.proquest.com/lib/NKNU/detail.action?docID=293070</t>
  </si>
  <si>
    <t>https://ebookcentral.proquest.com/lib/NKNU/detail.action?docID=293071</t>
  </si>
  <si>
    <t>https://ebookcentral.proquest.com/lib/NKNU/detail.action?docID=293072</t>
  </si>
  <si>
    <t>https://ebookcentral.proquest.com/lib/NKNU/detail.action?docID=293074</t>
  </si>
  <si>
    <t>https://ebookcentral.proquest.com/lib/NKNU/detail.action?docID=293075</t>
  </si>
  <si>
    <t>https://ebookcentral.proquest.com/lib/NKNU/detail.action?docID=293076</t>
  </si>
  <si>
    <t>https://ebookcentral.proquest.com/lib/NKNU/detail.action?docID=293077</t>
  </si>
  <si>
    <t>https://ebookcentral.proquest.com/lib/NKNU/detail.action?docID=293081</t>
  </si>
  <si>
    <t>https://ebookcentral.proquest.com/lib/NKNU/detail.action?docID=293084</t>
  </si>
  <si>
    <t>https://ebookcentral.proquest.com/lib/NKNU/detail.action?docID=293086</t>
  </si>
  <si>
    <t>https://ebookcentral.proquest.com/lib/NKNU/detail.action?docID=293087</t>
  </si>
  <si>
    <t>https://ebookcentral.proquest.com/lib/NKNU/detail.action?docID=293088</t>
  </si>
  <si>
    <t>https://ebookcentral.proquest.com/lib/NKNU/detail.action?docID=293100</t>
  </si>
  <si>
    <t>https://ebookcentral.proquest.com/lib/NKNU/detail.action?docID=293103</t>
  </si>
  <si>
    <t>https://ebookcentral.proquest.com/lib/NKNU/detail.action?docID=293104</t>
  </si>
  <si>
    <t>https://ebookcentral.proquest.com/lib/NKNU/detail.action?docID=293108</t>
  </si>
  <si>
    <t>https://ebookcentral.proquest.com/lib/NKNU/detail.action?docID=293137</t>
  </si>
  <si>
    <t>https://ebookcentral.proquest.com/lib/NKNU/detail.action?docID=293216</t>
  </si>
  <si>
    <t>https://ebookcentral.proquest.com/lib/NKNU/detail.action?docID=293217</t>
  </si>
  <si>
    <t>https://ebookcentral.proquest.com/lib/NKNU/detail.action?docID=293218</t>
  </si>
  <si>
    <t>https://ebookcentral.proquest.com/lib/NKNU/detail.action?docID=293219</t>
  </si>
  <si>
    <t>https://ebookcentral.proquest.com/lib/NKNU/detail.action?docID=293220</t>
  </si>
  <si>
    <t>https://ebookcentral.proquest.com/lib/NKNU/detail.action?docID=293222</t>
  </si>
  <si>
    <t>https://ebookcentral.proquest.com/lib/NKNU/detail.action?docID=293334</t>
  </si>
  <si>
    <t>https://ebookcentral.proquest.com/lib/NKNU/detail.action?docID=293335</t>
  </si>
  <si>
    <t>https://ebookcentral.proquest.com/lib/NKNU/detail.action?docID=293340</t>
  </si>
  <si>
    <t>https://ebookcentral.proquest.com/lib/NKNU/detail.action?docID=293344</t>
  </si>
  <si>
    <t>https://ebookcentral.proquest.com/lib/NKNU/detail.action?docID=293345</t>
  </si>
  <si>
    <t>https://ebookcentral.proquest.com/lib/NKNU/detail.action?docID=293352</t>
  </si>
  <si>
    <t>https://ebookcentral.proquest.com/lib/NKNU/detail.action?docID=293353</t>
  </si>
  <si>
    <t>https://ebookcentral.proquest.com/lib/NKNU/detail.action?docID=293355</t>
  </si>
  <si>
    <t>https://ebookcentral.proquest.com/lib/NKNU/detail.action?docID=293356</t>
  </si>
  <si>
    <t>https://ebookcentral.proquest.com/lib/NKNU/detail.action?docID=293358</t>
  </si>
  <si>
    <t>https://ebookcentral.proquest.com/lib/NKNU/detail.action?docID=293360</t>
  </si>
  <si>
    <t>https://ebookcentral.proquest.com/lib/NKNU/detail.action?docID=293362</t>
  </si>
  <si>
    <t>https://ebookcentral.proquest.com/lib/NKNU/detail.action?docID=293364</t>
  </si>
  <si>
    <t>https://ebookcentral.proquest.com/lib/NKNU/detail.action?docID=293366</t>
  </si>
  <si>
    <t>https://ebookcentral.proquest.com/lib/NKNU/detail.action?docID=293379</t>
  </si>
  <si>
    <t>https://ebookcentral.proquest.com/lib/NKNU/detail.action?docID=293382</t>
  </si>
  <si>
    <t>https://ebookcentral.proquest.com/lib/NKNU/detail.action?docID=293389</t>
  </si>
  <si>
    <t>https://ebookcentral.proquest.com/lib/NKNU/detail.action?docID=293408</t>
  </si>
  <si>
    <t>https://ebookcentral.proquest.com/lib/NKNU/detail.action?docID=293413</t>
  </si>
  <si>
    <t>https://ebookcentral.proquest.com/lib/NKNU/detail.action?docID=293419</t>
  </si>
  <si>
    <t>https://ebookcentral.proquest.com/lib/NKNU/detail.action?docID=293421</t>
  </si>
  <si>
    <t>https://ebookcentral.proquest.com/lib/NKNU/detail.action?docID=293423</t>
  </si>
  <si>
    <t>https://ebookcentral.proquest.com/lib/NKNU/detail.action?docID=293427</t>
  </si>
  <si>
    <t>https://ebookcentral.proquest.com/lib/NKNU/detail.action?docID=293431</t>
  </si>
  <si>
    <t>https://ebookcentral.proquest.com/lib/NKNU/detail.action?docID=293434</t>
  </si>
  <si>
    <t>https://ebookcentral.proquest.com/lib/NKNU/detail.action?docID=293435</t>
  </si>
  <si>
    <t>https://ebookcentral.proquest.com/lib/NKNU/detail.action?docID=293436</t>
  </si>
  <si>
    <t>https://ebookcentral.proquest.com/lib/NKNU/detail.action?docID=293446</t>
  </si>
  <si>
    <t>https://ebookcentral.proquest.com/lib/NKNU/detail.action?docID=293452</t>
  </si>
  <si>
    <t>https://ebookcentral.proquest.com/lib/NKNU/detail.action?docID=293453</t>
  </si>
  <si>
    <t>https://ebookcentral.proquest.com/lib/NKNU/detail.action?docID=293455</t>
  </si>
  <si>
    <t>https://ebookcentral.proquest.com/lib/NKNU/detail.action?docID=293460</t>
  </si>
  <si>
    <t>https://ebookcentral.proquest.com/lib/NKNU/detail.action?docID=293461</t>
  </si>
  <si>
    <t>https://ebookcentral.proquest.com/lib/NKNU/detail.action?docID=293462</t>
  </si>
  <si>
    <t>https://ebookcentral.proquest.com/lib/NKNU/detail.action?docID=293466</t>
  </si>
  <si>
    <t>https://ebookcentral.proquest.com/lib/NKNU/detail.action?docID=293472</t>
  </si>
  <si>
    <t>https://ebookcentral.proquest.com/lib/NKNU/detail.action?docID=293474</t>
  </si>
  <si>
    <t>https://ebookcentral.proquest.com/lib/NKNU/detail.action?docID=293476</t>
  </si>
  <si>
    <t>https://ebookcentral.proquest.com/lib/NKNU/detail.action?docID=293477</t>
  </si>
  <si>
    <t>https://ebookcentral.proquest.com/lib/NKNU/detail.action?docID=293480</t>
  </si>
  <si>
    <t>https://ebookcentral.proquest.com/lib/NKNU/detail.action?docID=293481</t>
  </si>
  <si>
    <t>https://ebookcentral.proquest.com/lib/NKNU/detail.action?docID=293482</t>
  </si>
  <si>
    <t>https://ebookcentral.proquest.com/lib/NKNU/detail.action?docID=293491</t>
  </si>
  <si>
    <t>https://ebookcentral.proquest.com/lib/NKNU/detail.action?docID=293493</t>
  </si>
  <si>
    <t>https://ebookcentral.proquest.com/lib/NKNU/detail.action?docID=293494</t>
  </si>
  <si>
    <t>https://ebookcentral.proquest.com/lib/NKNU/detail.action?docID=293517</t>
  </si>
  <si>
    <t>https://ebookcentral.proquest.com/lib/NKNU/detail.action?docID=293518</t>
  </si>
  <si>
    <t>https://ebookcentral.proquest.com/lib/NKNU/detail.action?docID=293519</t>
  </si>
  <si>
    <t>https://ebookcentral.proquest.com/lib/NKNU/detail.action?docID=293646</t>
  </si>
  <si>
    <t>https://ebookcentral.proquest.com/lib/NKNU/detail.action?docID=293661</t>
  </si>
  <si>
    <t>https://ebookcentral.proquest.com/lib/NKNU/detail.action?docID=293710</t>
  </si>
  <si>
    <t>https://ebookcentral.proquest.com/lib/NKNU/detail.action?docID=293713</t>
  </si>
  <si>
    <t>https://ebookcentral.proquest.com/lib/NKNU/detail.action?docID=293717</t>
  </si>
  <si>
    <t>https://ebookcentral.proquest.com/lib/NKNU/detail.action?docID=293718</t>
  </si>
  <si>
    <t>https://ebookcentral.proquest.com/lib/NKNU/detail.action?docID=293719</t>
  </si>
  <si>
    <t>https://ebookcentral.proquest.com/lib/NKNU/detail.action?docID=293720</t>
  </si>
  <si>
    <t>https://ebookcentral.proquest.com/lib/NKNU/detail.action?docID=293722</t>
  </si>
  <si>
    <t>https://ebookcentral.proquest.com/lib/NKNU/detail.action?docID=293723</t>
  </si>
  <si>
    <t>https://ebookcentral.proquest.com/lib/NKNU/detail.action?docID=293728</t>
  </si>
  <si>
    <t>https://ebookcentral.proquest.com/lib/NKNU/detail.action?docID=293729</t>
  </si>
  <si>
    <t>https://ebookcentral.proquest.com/lib/NKNU/detail.action?docID=293733</t>
  </si>
  <si>
    <t>https://ebookcentral.proquest.com/lib/NKNU/detail.action?docID=293740</t>
  </si>
  <si>
    <t>https://ebookcentral.proquest.com/lib/NKNU/detail.action?docID=293742</t>
  </si>
  <si>
    <t>https://ebookcentral.proquest.com/lib/NKNU/detail.action?docID=293744</t>
  </si>
  <si>
    <t>https://ebookcentral.proquest.com/lib/NKNU/detail.action?docID=293745</t>
  </si>
  <si>
    <t>https://ebookcentral.proquest.com/lib/NKNU/detail.action?docID=293748</t>
  </si>
  <si>
    <t>https://ebookcentral.proquest.com/lib/NKNU/detail.action?docID=293753</t>
  </si>
  <si>
    <t>https://ebookcentral.proquest.com/lib/NKNU/detail.action?docID=293754</t>
  </si>
  <si>
    <t>https://ebookcentral.proquest.com/lib/NKNU/detail.action?docID=293756</t>
  </si>
  <si>
    <t>https://ebookcentral.proquest.com/lib/NKNU/detail.action?docID=293758</t>
  </si>
  <si>
    <t>https://ebookcentral.proquest.com/lib/NKNU/detail.action?docID=293760</t>
  </si>
  <si>
    <t>https://ebookcentral.proquest.com/lib/NKNU/detail.action?docID=293763</t>
  </si>
  <si>
    <t>https://ebookcentral.proquest.com/lib/NKNU/detail.action?docID=293769</t>
  </si>
  <si>
    <t>https://ebookcentral.proquest.com/lib/NKNU/detail.action?docID=293771</t>
  </si>
  <si>
    <t>https://ebookcentral.proquest.com/lib/NKNU/detail.action?docID=293774</t>
  </si>
  <si>
    <t>https://ebookcentral.proquest.com/lib/NKNU/detail.action?docID=293776</t>
  </si>
  <si>
    <t>https://ebookcentral.proquest.com/lib/NKNU/detail.action?docID=293777</t>
  </si>
  <si>
    <t>https://ebookcentral.proquest.com/lib/NKNU/detail.action?docID=293778</t>
  </si>
  <si>
    <t>https://ebookcentral.proquest.com/lib/NKNU/detail.action?docID=293785</t>
  </si>
  <si>
    <t>https://ebookcentral.proquest.com/lib/NKNU/detail.action?docID=293786</t>
  </si>
  <si>
    <t>https://ebookcentral.proquest.com/lib/NKNU/detail.action?docID=293788</t>
  </si>
  <si>
    <t>https://ebookcentral.proquest.com/lib/NKNU/detail.action?docID=293793</t>
  </si>
  <si>
    <t>https://ebookcentral.proquest.com/lib/NKNU/detail.action?docID=293794</t>
  </si>
  <si>
    <t>https://ebookcentral.proquest.com/lib/NKNU/detail.action?docID=293795</t>
  </si>
  <si>
    <t>https://ebookcentral.proquest.com/lib/NKNU/detail.action?docID=293799</t>
  </si>
  <si>
    <t>https://ebookcentral.proquest.com/lib/NKNU/detail.action?docID=293802</t>
  </si>
  <si>
    <t>https://ebookcentral.proquest.com/lib/NKNU/detail.action?docID=293803</t>
  </si>
  <si>
    <t>https://ebookcentral.proquest.com/lib/NKNU/detail.action?docID=293810</t>
  </si>
  <si>
    <t>https://ebookcentral.proquest.com/lib/NKNU/detail.action?docID=293813</t>
  </si>
  <si>
    <t>https://ebookcentral.proquest.com/lib/NKNU/detail.action?docID=293814</t>
  </si>
  <si>
    <t>https://ebookcentral.proquest.com/lib/NKNU/detail.action?docID=293818</t>
  </si>
  <si>
    <t>https://ebookcentral.proquest.com/lib/NKNU/detail.action?docID=293819</t>
  </si>
  <si>
    <t>https://ebookcentral.proquest.com/lib/NKNU/detail.action?docID=293824</t>
  </si>
  <si>
    <t>https://ebookcentral.proquest.com/lib/NKNU/detail.action?docID=293828</t>
  </si>
  <si>
    <t>https://ebookcentral.proquest.com/lib/NKNU/detail.action?docID=293833</t>
  </si>
  <si>
    <t>https://ebookcentral.proquest.com/lib/NKNU/detail.action?docID=293835</t>
  </si>
  <si>
    <t>https://ebookcentral.proquest.com/lib/NKNU/detail.action?docID=293855</t>
  </si>
  <si>
    <t>https://ebookcentral.proquest.com/lib/NKNU/detail.action?docID=293858</t>
  </si>
  <si>
    <t>https://ebookcentral.proquest.com/lib/NKNU/detail.action?docID=293873</t>
  </si>
  <si>
    <t>https://ebookcentral.proquest.com/lib/NKNU/detail.action?docID=293875</t>
  </si>
  <si>
    <t>https://ebookcentral.proquest.com/lib/NKNU/detail.action?docID=293931</t>
  </si>
  <si>
    <t>https://ebookcentral.proquest.com/lib/NKNU/detail.action?docID=293932</t>
  </si>
  <si>
    <t>https://ebookcentral.proquest.com/lib/NKNU/detail.action?docID=293998</t>
  </si>
  <si>
    <t>https://ebookcentral.proquest.com/lib/NKNU/detail.action?docID=294012</t>
  </si>
  <si>
    <t>https://ebookcentral.proquest.com/lib/NKNU/detail.action?docID=294023</t>
  </si>
  <si>
    <t>https://ebookcentral.proquest.com/lib/NKNU/detail.action?docID=294037</t>
  </si>
  <si>
    <t>https://ebookcentral.proquest.com/lib/NKNU/detail.action?docID=294043</t>
  </si>
  <si>
    <t>https://ebookcentral.proquest.com/lib/NKNU/detail.action?docID=294063</t>
  </si>
  <si>
    <t>https://ebookcentral.proquest.com/lib/NKNU/detail.action?docID=294066</t>
  </si>
  <si>
    <t>https://ebookcentral.proquest.com/lib/NKNU/detail.action?docID=294083</t>
  </si>
  <si>
    <t>https://ebookcentral.proquest.com/lib/NKNU/detail.action?docID=294162</t>
  </si>
  <si>
    <t>https://ebookcentral.proquest.com/lib/NKNU/detail.action?docID=294179</t>
  </si>
  <si>
    <t>https://ebookcentral.proquest.com/lib/NKNU/detail.action?docID=294240</t>
  </si>
  <si>
    <t>https://ebookcentral.proquest.com/lib/NKNU/detail.action?docID=294241</t>
  </si>
  <si>
    <t>https://ebookcentral.proquest.com/lib/NKNU/detail.action?docID=294242</t>
  </si>
  <si>
    <t>https://ebookcentral.proquest.com/lib/NKNU/detail.action?docID=294243</t>
  </si>
  <si>
    <t>https://ebookcentral.proquest.com/lib/NKNU/detail.action?docID=294251</t>
  </si>
  <si>
    <t>https://ebookcentral.proquest.com/lib/NKNU/detail.action?docID=294252</t>
  </si>
  <si>
    <t>https://ebookcentral.proquest.com/lib/NKNU/detail.action?docID=294254</t>
  </si>
  <si>
    <t>https://ebookcentral.proquest.com/lib/NKNU/detail.action?docID=294257</t>
  </si>
  <si>
    <t>https://ebookcentral.proquest.com/lib/NKNU/detail.action?docID=294282</t>
  </si>
  <si>
    <t>https://ebookcentral.proquest.com/lib/NKNU/detail.action?docID=294284</t>
  </si>
  <si>
    <t>https://ebookcentral.proquest.com/lib/NKNU/detail.action?docID=294332</t>
  </si>
  <si>
    <t>https://ebookcentral.proquest.com/lib/NKNU/detail.action?docID=294348</t>
  </si>
  <si>
    <t>https://ebookcentral.proquest.com/lib/NKNU/detail.action?docID=294350</t>
  </si>
  <si>
    <t>https://ebookcentral.proquest.com/lib/NKNU/detail.action?docID=294362</t>
  </si>
  <si>
    <t>https://ebookcentral.proquest.com/lib/NKNU/detail.action?docID=294366</t>
  </si>
  <si>
    <t>https://ebookcentral.proquest.com/lib/NKNU/detail.action?docID=294385</t>
  </si>
  <si>
    <t>https://ebookcentral.proquest.com/lib/NKNU/detail.action?docID=294408</t>
  </si>
  <si>
    <t>https://ebookcentral.proquest.com/lib/NKNU/detail.action?docID=294546</t>
  </si>
  <si>
    <t>https://ebookcentral.proquest.com/lib/NKNU/detail.action?docID=294561</t>
  </si>
  <si>
    <t>https://ebookcentral.proquest.com/lib/NKNU/detail.action?docID=294568</t>
  </si>
  <si>
    <t>https://ebookcentral.proquest.com/lib/NKNU/detail.action?docID=294584</t>
  </si>
  <si>
    <t>https://ebookcentral.proquest.com/lib/NKNU/detail.action?docID=294598</t>
  </si>
  <si>
    <t>https://ebookcentral.proquest.com/lib/NKNU/detail.action?docID=294616</t>
  </si>
  <si>
    <t>https://ebookcentral.proquest.com/lib/NKNU/detail.action?docID=294627</t>
  </si>
  <si>
    <t>https://ebookcentral.proquest.com/lib/NKNU/detail.action?docID=294642</t>
  </si>
  <si>
    <t>https://ebookcentral.proquest.com/lib/NKNU/detail.action?docID=294656</t>
  </si>
  <si>
    <t>https://ebookcentral.proquest.com/lib/NKNU/detail.action?docID=294663</t>
  </si>
  <si>
    <t>https://ebookcentral.proquest.com/lib/NKNU/detail.action?docID=294664</t>
  </si>
  <si>
    <t>https://ebookcentral.proquest.com/lib/NKNU/detail.action?docID=294670</t>
  </si>
  <si>
    <t>https://ebookcentral.proquest.com/lib/NKNU/detail.action?docID=294677</t>
  </si>
  <si>
    <t>https://ebookcentral.proquest.com/lib/NKNU/detail.action?docID=294731</t>
  </si>
  <si>
    <t>https://ebookcentral.proquest.com/lib/NKNU/detail.action?docID=294732</t>
  </si>
  <si>
    <t>https://ebookcentral.proquest.com/lib/NKNU/detail.action?docID=294733</t>
  </si>
  <si>
    <t>https://ebookcentral.proquest.com/lib/NKNU/detail.action?docID=294741</t>
  </si>
  <si>
    <t>https://ebookcentral.proquest.com/lib/NKNU/detail.action?docID=294746</t>
  </si>
  <si>
    <t>https://ebookcentral.proquest.com/lib/NKNU/detail.action?docID=294751</t>
  </si>
  <si>
    <t>https://ebookcentral.proquest.com/lib/NKNU/detail.action?docID=294754</t>
  </si>
  <si>
    <t>https://ebookcentral.proquest.com/lib/NKNU/detail.action?docID=294759</t>
  </si>
  <si>
    <t>https://ebookcentral.proquest.com/lib/NKNU/detail.action?docID=294764</t>
  </si>
  <si>
    <t>https://ebookcentral.proquest.com/lib/NKNU/detail.action?docID=294956</t>
  </si>
  <si>
    <t>https://ebookcentral.proquest.com/lib/NKNU/detail.action?docID=294966</t>
  </si>
  <si>
    <t>https://ebookcentral.proquest.com/lib/NKNU/detail.action?docID=294974</t>
  </si>
  <si>
    <t>https://ebookcentral.proquest.com/lib/NKNU/detail.action?docID=294976</t>
  </si>
  <si>
    <t>https://ebookcentral.proquest.com/lib/NKNU/detail.action?docID=294990</t>
  </si>
  <si>
    <t>https://ebookcentral.proquest.com/lib/NKNU/detail.action?docID=294994</t>
  </si>
  <si>
    <t>https://ebookcentral.proquest.com/lib/NKNU/detail.action?docID=294997</t>
  </si>
  <si>
    <t>https://ebookcentral.proquest.com/lib/NKNU/detail.action?docID=295001</t>
  </si>
  <si>
    <t>https://ebookcentral.proquest.com/lib/NKNU/detail.action?docID=295004</t>
  </si>
  <si>
    <t>https://ebookcentral.proquest.com/lib/NKNU/detail.action?docID=295005</t>
  </si>
  <si>
    <t>https://ebookcentral.proquest.com/lib/NKNU/detail.action?docID=295007</t>
  </si>
  <si>
    <t>https://ebookcentral.proquest.com/lib/NKNU/detail.action?docID=295008</t>
  </si>
  <si>
    <t>https://ebookcentral.proquest.com/lib/NKNU/detail.action?docID=295009</t>
  </si>
  <si>
    <t>https://ebookcentral.proquest.com/lib/NKNU/detail.action?docID=295010</t>
  </si>
  <si>
    <t>https://ebookcentral.proquest.com/lib/NKNU/detail.action?docID=295011</t>
  </si>
  <si>
    <t>https://ebookcentral.proquest.com/lib/NKNU/detail.action?docID=295019</t>
  </si>
  <si>
    <t>https://ebookcentral.proquest.com/lib/NKNU/detail.action?docID=295045</t>
  </si>
  <si>
    <t>https://ebookcentral.proquest.com/lib/NKNU/detail.action?docID=295047</t>
  </si>
  <si>
    <t>https://ebookcentral.proquest.com/lib/NKNU/detail.action?docID=295051</t>
  </si>
  <si>
    <t>https://ebookcentral.proquest.com/lib/NKNU/detail.action?docID=295054</t>
  </si>
  <si>
    <t>https://ebookcentral.proquest.com/lib/NKNU/detail.action?docID=295075</t>
  </si>
  <si>
    <t>https://ebookcentral.proquest.com/lib/NKNU/detail.action?docID=295079</t>
  </si>
  <si>
    <t>https://ebookcentral.proquest.com/lib/NKNU/detail.action?docID=295119</t>
  </si>
  <si>
    <t>https://ebookcentral.proquest.com/lib/NKNU/detail.action?docID=295120</t>
  </si>
  <si>
    <t>https://ebookcentral.proquest.com/lib/NKNU/detail.action?docID=295121</t>
  </si>
  <si>
    <t>https://ebookcentral.proquest.com/lib/NKNU/detail.action?docID=295123</t>
  </si>
  <si>
    <t>https://ebookcentral.proquest.com/lib/NKNU/detail.action?docID=295135</t>
  </si>
  <si>
    <t>https://ebookcentral.proquest.com/lib/NKNU/detail.action?docID=295150</t>
  </si>
  <si>
    <t>https://ebookcentral.proquest.com/lib/NKNU/detail.action?docID=295158</t>
  </si>
  <si>
    <t>https://ebookcentral.proquest.com/lib/NKNU/detail.action?docID=295198</t>
  </si>
  <si>
    <t>https://ebookcentral.proquest.com/lib/NKNU/detail.action?docID=295206</t>
  </si>
  <si>
    <t>https://ebookcentral.proquest.com/lib/NKNU/detail.action?docID=295370</t>
  </si>
  <si>
    <t>https://ebookcentral.proquest.com/lib/NKNU/detail.action?docID=295425</t>
  </si>
  <si>
    <t>https://ebookcentral.proquest.com/lib/NKNU/detail.action?docID=295429</t>
  </si>
  <si>
    <t>https://ebookcentral.proquest.com/lib/NKNU/detail.action?docID=295433</t>
  </si>
  <si>
    <t>https://ebookcentral.proquest.com/lib/NKNU/detail.action?docID=295434</t>
  </si>
  <si>
    <t>https://ebookcentral.proquest.com/lib/NKNU/detail.action?docID=295438</t>
  </si>
  <si>
    <t>https://ebookcentral.proquest.com/lib/NKNU/detail.action?docID=295442</t>
  </si>
  <si>
    <t>https://ebookcentral.proquest.com/lib/NKNU/detail.action?docID=295444</t>
  </si>
  <si>
    <t>https://ebookcentral.proquest.com/lib/NKNU/detail.action?docID=295445</t>
  </si>
  <si>
    <t>https://ebookcentral.proquest.com/lib/NKNU/detail.action?docID=295448</t>
  </si>
  <si>
    <t>https://ebookcentral.proquest.com/lib/NKNU/detail.action?docID=295449</t>
  </si>
  <si>
    <t>https://ebookcentral.proquest.com/lib/NKNU/detail.action?docID=295450</t>
  </si>
  <si>
    <t>https://ebookcentral.proquest.com/lib/NKNU/detail.action?docID=295451</t>
  </si>
  <si>
    <t>https://ebookcentral.proquest.com/lib/NKNU/detail.action?docID=295455</t>
  </si>
  <si>
    <t>https://ebookcentral.proquest.com/lib/NKNU/detail.action?docID=295456</t>
  </si>
  <si>
    <t>https://ebookcentral.proquest.com/lib/NKNU/detail.action?docID=295458</t>
  </si>
  <si>
    <t>https://ebookcentral.proquest.com/lib/NKNU/detail.action?docID=295460</t>
  </si>
  <si>
    <t>https://ebookcentral.proquest.com/lib/NKNU/detail.action?docID=295461</t>
  </si>
  <si>
    <t>https://ebookcentral.proquest.com/lib/NKNU/detail.action?docID=295463</t>
  </si>
  <si>
    <t>https://ebookcentral.proquest.com/lib/NKNU/detail.action?docID=295469</t>
  </si>
  <si>
    <t>https://ebookcentral.proquest.com/lib/NKNU/detail.action?docID=295470</t>
  </si>
  <si>
    <t>https://ebookcentral.proquest.com/lib/NKNU/detail.action?docID=295471</t>
  </si>
  <si>
    <t>https://ebookcentral.proquest.com/lib/NKNU/detail.action?docID=295472</t>
  </si>
  <si>
    <t>https://ebookcentral.proquest.com/lib/NKNU/detail.action?docID=295473</t>
  </si>
  <si>
    <t>https://ebookcentral.proquest.com/lib/NKNU/detail.action?docID=295475</t>
  </si>
  <si>
    <t>https://ebookcentral.proquest.com/lib/NKNU/detail.action?docID=295478</t>
  </si>
  <si>
    <t>https://ebookcentral.proquest.com/lib/NKNU/detail.action?docID=295479</t>
  </si>
  <si>
    <t>https://ebookcentral.proquest.com/lib/NKNU/detail.action?docID=295482</t>
  </si>
  <si>
    <t>https://ebookcentral.proquest.com/lib/NKNU/detail.action?docID=295484</t>
  </si>
  <si>
    <t>https://ebookcentral.proquest.com/lib/NKNU/detail.action?docID=295487</t>
  </si>
  <si>
    <t>https://ebookcentral.proquest.com/lib/NKNU/detail.action?docID=295489</t>
  </si>
  <si>
    <t>https://ebookcentral.proquest.com/lib/NKNU/detail.action?docID=295490</t>
  </si>
  <si>
    <t>https://ebookcentral.proquest.com/lib/NKNU/detail.action?docID=295494</t>
  </si>
  <si>
    <t>https://ebookcentral.proquest.com/lib/NKNU/detail.action?docID=295497</t>
  </si>
  <si>
    <t>https://ebookcentral.proquest.com/lib/NKNU/detail.action?docID=295498</t>
  </si>
  <si>
    <t>https://ebookcentral.proquest.com/lib/NKNU/detail.action?docID=295499</t>
  </si>
  <si>
    <t>https://ebookcentral.proquest.com/lib/NKNU/detail.action?docID=295501</t>
  </si>
  <si>
    <t>https://ebookcentral.proquest.com/lib/NKNU/detail.action?docID=295505</t>
  </si>
  <si>
    <t>https://ebookcentral.proquest.com/lib/NKNU/detail.action?docID=295506</t>
  </si>
  <si>
    <t>https://ebookcentral.proquest.com/lib/NKNU/detail.action?docID=295507</t>
  </si>
  <si>
    <t>https://ebookcentral.proquest.com/lib/NKNU/detail.action?docID=295508</t>
  </si>
  <si>
    <t>https://ebookcentral.proquest.com/lib/NKNU/detail.action?docID=295514</t>
  </si>
  <si>
    <t>https://ebookcentral.proquest.com/lib/NKNU/detail.action?docID=295528</t>
  </si>
  <si>
    <t>https://ebookcentral.proquest.com/lib/NKNU/detail.action?docID=295532</t>
  </si>
  <si>
    <t>https://ebookcentral.proquest.com/lib/NKNU/detail.action?docID=295534</t>
  </si>
  <si>
    <t>https://ebookcentral.proquest.com/lib/NKNU/detail.action?docID=295538</t>
  </si>
  <si>
    <t>https://ebookcentral.proquest.com/lib/NKNU/detail.action?docID=295691</t>
  </si>
  <si>
    <t>https://ebookcentral.proquest.com/lib/NKNU/detail.action?docID=295694</t>
  </si>
  <si>
    <t>https://ebookcentral.proquest.com/lib/NKNU/detail.action?docID=295697</t>
  </si>
  <si>
    <t>https://ebookcentral.proquest.com/lib/NKNU/detail.action?docID=295712</t>
  </si>
  <si>
    <t>https://ebookcentral.proquest.com/lib/NKNU/detail.action?docID=295719</t>
  </si>
  <si>
    <t>https://ebookcentral.proquest.com/lib/NKNU/detail.action?docID=295725</t>
  </si>
  <si>
    <t>https://ebookcentral.proquest.com/lib/NKNU/detail.action?docID=295726</t>
  </si>
  <si>
    <t>https://ebookcentral.proquest.com/lib/NKNU/detail.action?docID=295727</t>
  </si>
  <si>
    <t>https://ebookcentral.proquest.com/lib/NKNU/detail.action?docID=295728</t>
  </si>
  <si>
    <t>https://ebookcentral.proquest.com/lib/NKNU/detail.action?docID=295735</t>
  </si>
  <si>
    <t>https://ebookcentral.proquest.com/lib/NKNU/detail.action?docID=295737</t>
  </si>
  <si>
    <t>https://ebookcentral.proquest.com/lib/NKNU/detail.action?docID=295745</t>
  </si>
  <si>
    <t>https://ebookcentral.proquest.com/lib/NKNU/detail.action?docID=295752</t>
  </si>
  <si>
    <t>https://ebookcentral.proquest.com/lib/NKNU/detail.action?docID=295753</t>
  </si>
  <si>
    <t>https://ebookcentral.proquest.com/lib/NKNU/detail.action?docID=295762</t>
  </si>
  <si>
    <t>https://ebookcentral.proquest.com/lib/NKNU/detail.action?docID=295767</t>
  </si>
  <si>
    <t>https://ebookcentral.proquest.com/lib/NKNU/detail.action?docID=296019</t>
  </si>
  <si>
    <t>https://ebookcentral.proquest.com/lib/NKNU/detail.action?docID=296034</t>
  </si>
  <si>
    <t>https://ebookcentral.proquest.com/lib/NKNU/detail.action?docID=296040</t>
  </si>
  <si>
    <t>https://ebookcentral.proquest.com/lib/NKNU/detail.action?docID=296045</t>
  </si>
  <si>
    <t>https://ebookcentral.proquest.com/lib/NKNU/detail.action?docID=296049</t>
  </si>
  <si>
    <t>https://ebookcentral.proquest.com/lib/NKNU/detail.action?docID=296050</t>
  </si>
  <si>
    <t>https://ebookcentral.proquest.com/lib/NKNU/detail.action?docID=296058</t>
  </si>
  <si>
    <t>https://ebookcentral.proquest.com/lib/NKNU/detail.action?docID=296063</t>
  </si>
  <si>
    <t>https://ebookcentral.proquest.com/lib/NKNU/detail.action?docID=296064</t>
  </si>
  <si>
    <t>https://ebookcentral.proquest.com/lib/NKNU/detail.action?docID=296086</t>
  </si>
  <si>
    <t>https://ebookcentral.proquest.com/lib/NKNU/detail.action?docID=296087</t>
  </si>
  <si>
    <t>https://ebookcentral.proquest.com/lib/NKNU/detail.action?docID=296123</t>
  </si>
  <si>
    <t>https://ebookcentral.proquest.com/lib/NKNU/detail.action?docID=296139</t>
  </si>
  <si>
    <t>https://ebookcentral.proquest.com/lib/NKNU/detail.action?docID=296152</t>
  </si>
  <si>
    <t>https://ebookcentral.proquest.com/lib/NKNU/detail.action?docID=296157</t>
  </si>
  <si>
    <t>https://ebookcentral.proquest.com/lib/NKNU/detail.action?docID=296183</t>
  </si>
  <si>
    <t>https://ebookcentral.proquest.com/lib/NKNU/detail.action?docID=296213</t>
  </si>
  <si>
    <t>https://ebookcentral.proquest.com/lib/NKNU/detail.action?docID=296265</t>
  </si>
  <si>
    <t>https://ebookcentral.proquest.com/lib/NKNU/detail.action?docID=296273</t>
  </si>
  <si>
    <t>https://ebookcentral.proquest.com/lib/NKNU/detail.action?docID=296277</t>
  </si>
  <si>
    <t>https://ebookcentral.proquest.com/lib/NKNU/detail.action?docID=296280</t>
  </si>
  <si>
    <t>https://ebookcentral.proquest.com/lib/NKNU/detail.action?docID=296357</t>
  </si>
  <si>
    <t>https://ebookcentral.proquest.com/lib/NKNU/detail.action?docID=296358</t>
  </si>
  <si>
    <t>https://ebookcentral.proquest.com/lib/NKNU/detail.action?docID=296362</t>
  </si>
  <si>
    <t>https://ebookcentral.proquest.com/lib/NKNU/detail.action?docID=296364</t>
  </si>
  <si>
    <t>https://ebookcentral.proquest.com/lib/NKNU/detail.action?docID=296370</t>
  </si>
  <si>
    <t>https://ebookcentral.proquest.com/lib/NKNU/detail.action?docID=296394</t>
  </si>
  <si>
    <t>https://ebookcentral.proquest.com/lib/NKNU/detail.action?docID=296399</t>
  </si>
  <si>
    <t>https://ebookcentral.proquest.com/lib/NKNU/detail.action?docID=296424</t>
  </si>
  <si>
    <t>https://ebookcentral.proquest.com/lib/NKNU/detail.action?docID=296437</t>
  </si>
  <si>
    <t>https://ebookcentral.proquest.com/lib/NKNU/detail.action?docID=296438</t>
  </si>
  <si>
    <t>https://ebookcentral.proquest.com/lib/NKNU/detail.action?docID=296450</t>
  </si>
  <si>
    <t>https://ebookcentral.proquest.com/lib/NKNU/detail.action?docID=296460</t>
  </si>
  <si>
    <t>https://ebookcentral.proquest.com/lib/NKNU/detail.action?docID=296461</t>
  </si>
  <si>
    <t>https://ebookcentral.proquest.com/lib/NKNU/detail.action?docID=296463</t>
  </si>
  <si>
    <t>https://ebookcentral.proquest.com/lib/NKNU/detail.action?docID=296483</t>
  </si>
  <si>
    <t>https://ebookcentral.proquest.com/lib/NKNU/detail.action?docID=296513</t>
  </si>
  <si>
    <t>https://ebookcentral.proquest.com/lib/NKNU/detail.action?docID=296520</t>
  </si>
  <si>
    <t>https://ebookcentral.proquest.com/lib/NKNU/detail.action?docID=296522</t>
  </si>
  <si>
    <t>https://ebookcentral.proquest.com/lib/NKNU/detail.action?docID=296540</t>
  </si>
  <si>
    <t>https://ebookcentral.proquest.com/lib/NKNU/detail.action?docID=296543</t>
  </si>
  <si>
    <t>https://ebookcentral.proquest.com/lib/NKNU/detail.action?docID=296545</t>
  </si>
  <si>
    <t>https://ebookcentral.proquest.com/lib/NKNU/detail.action?docID=296557</t>
  </si>
  <si>
    <t>https://ebookcentral.proquest.com/lib/NKNU/detail.action?docID=296558</t>
  </si>
  <si>
    <t>https://ebookcentral.proquest.com/lib/NKNU/detail.action?docID=296559</t>
  </si>
  <si>
    <t>https://ebookcentral.proquest.com/lib/NKNU/detail.action?docID=296562</t>
  </si>
  <si>
    <t>https://ebookcentral.proquest.com/lib/NKNU/detail.action?docID=296688</t>
  </si>
  <si>
    <t>https://ebookcentral.proquest.com/lib/NKNU/detail.action?docID=296690</t>
  </si>
  <si>
    <t>https://ebookcentral.proquest.com/lib/NKNU/detail.action?docID=296694</t>
  </si>
  <si>
    <t>https://ebookcentral.proquest.com/lib/NKNU/detail.action?docID=296803</t>
  </si>
  <si>
    <t>https://ebookcentral.proquest.com/lib/NKNU/detail.action?docID=296811</t>
  </si>
  <si>
    <t>https://ebookcentral.proquest.com/lib/NKNU/detail.action?docID=296814</t>
  </si>
  <si>
    <t>https://ebookcentral.proquest.com/lib/NKNU/detail.action?docID=297114</t>
  </si>
  <si>
    <t>https://ebookcentral.proquest.com/lib/NKNU/detail.action?docID=297179</t>
  </si>
  <si>
    <t>https://ebookcentral.proquest.com/lib/NKNU/detail.action?docID=297446</t>
  </si>
  <si>
    <t>https://ebookcentral.proquest.com/lib/NKNU/detail.action?docID=297525</t>
  </si>
  <si>
    <t>https://ebookcentral.proquest.com/lib/NKNU/detail.action?docID=297527</t>
  </si>
  <si>
    <t>https://ebookcentral.proquest.com/lib/NKNU/detail.action?docID=297534</t>
  </si>
  <si>
    <t>https://ebookcentral.proquest.com/lib/NKNU/detail.action?docID=297537</t>
  </si>
  <si>
    <t>https://ebookcentral.proquest.com/lib/NKNU/detail.action?docID=297538</t>
  </si>
  <si>
    <t>https://ebookcentral.proquest.com/lib/NKNU/detail.action?docID=297539</t>
  </si>
  <si>
    <t>https://ebookcentral.proquest.com/lib/NKNU/detail.action?docID=297541</t>
  </si>
  <si>
    <t>https://ebookcentral.proquest.com/lib/NKNU/detail.action?docID=297544</t>
  </si>
  <si>
    <t>https://ebookcentral.proquest.com/lib/NKNU/detail.action?docID=297741</t>
  </si>
  <si>
    <t>https://ebookcentral.proquest.com/lib/NKNU/detail.action?docID=297745</t>
  </si>
  <si>
    <t>https://ebookcentral.proquest.com/lib/NKNU/detail.action?docID=297749</t>
  </si>
  <si>
    <t>https://ebookcentral.proquest.com/lib/NKNU/detail.action?docID=297754</t>
  </si>
  <si>
    <t>https://ebookcentral.proquest.com/lib/NKNU/detail.action?docID=297998</t>
  </si>
  <si>
    <t>https://ebookcentral.proquest.com/lib/NKNU/detail.action?docID=298001</t>
  </si>
  <si>
    <t>https://ebookcentral.proquest.com/lib/NKNU/detail.action?docID=298005</t>
  </si>
  <si>
    <t>https://ebookcentral.proquest.com/lib/NKNU/detail.action?docID=298046</t>
  </si>
  <si>
    <t>https://ebookcentral.proquest.com/lib/NKNU/detail.action?docID=298310</t>
  </si>
  <si>
    <t>https://ebookcentral.proquest.com/lib/NKNU/detail.action?docID=298345</t>
  </si>
  <si>
    <t>https://ebookcentral.proquest.com/lib/NKNU/detail.action?docID=298365</t>
  </si>
  <si>
    <t>https://ebookcentral.proquest.com/lib/NKNU/detail.action?docID=298388</t>
  </si>
  <si>
    <t>https://ebookcentral.proquest.com/lib/NKNU/detail.action?docID=298392</t>
  </si>
  <si>
    <t>https://ebookcentral.proquest.com/lib/NKNU/detail.action?docID=298453</t>
  </si>
  <si>
    <t>https://ebookcentral.proquest.com/lib/NKNU/detail.action?docID=298454</t>
  </si>
  <si>
    <t>https://ebookcentral.proquest.com/lib/NKNU/detail.action?docID=298455</t>
  </si>
  <si>
    <t>https://ebookcentral.proquest.com/lib/NKNU/detail.action?docID=298459</t>
  </si>
  <si>
    <t>https://ebookcentral.proquest.com/lib/NKNU/detail.action?docID=298464</t>
  </si>
  <si>
    <t>https://ebookcentral.proquest.com/lib/NKNU/detail.action?docID=298466</t>
  </si>
  <si>
    <t>https://ebookcentral.proquest.com/lib/NKNU/detail.action?docID=298472</t>
  </si>
  <si>
    <t>https://ebookcentral.proquest.com/lib/NKNU/detail.action?docID=298478</t>
  </si>
  <si>
    <t>https://ebookcentral.proquest.com/lib/NKNU/detail.action?docID=298803</t>
  </si>
  <si>
    <t>https://ebookcentral.proquest.com/lib/NKNU/detail.action?docID=298806</t>
  </si>
  <si>
    <t>https://ebookcentral.proquest.com/lib/NKNU/detail.action?docID=298836</t>
  </si>
  <si>
    <t>https://ebookcentral.proquest.com/lib/NKNU/detail.action?docID=298837</t>
  </si>
  <si>
    <t>https://ebookcentral.proquest.com/lib/NKNU/detail.action?docID=298838</t>
  </si>
  <si>
    <t>https://ebookcentral.proquest.com/lib/NKNU/detail.action?docID=298840</t>
  </si>
  <si>
    <t>https://ebookcentral.proquest.com/lib/NKNU/detail.action?docID=298841</t>
  </si>
  <si>
    <t>https://ebookcentral.proquest.com/lib/NKNU/detail.action?docID=298844</t>
  </si>
  <si>
    <t>https://ebookcentral.proquest.com/lib/NKNU/detail.action?docID=298848</t>
  </si>
  <si>
    <t>https://ebookcentral.proquest.com/lib/NKNU/detail.action?docID=298849</t>
  </si>
  <si>
    <t>https://ebookcentral.proquest.com/lib/NKNU/detail.action?docID=298853</t>
  </si>
  <si>
    <t>https://ebookcentral.proquest.com/lib/NKNU/detail.action?docID=298854</t>
  </si>
  <si>
    <t>https://ebookcentral.proquest.com/lib/NKNU/detail.action?docID=298855</t>
  </si>
  <si>
    <t>https://ebookcentral.proquest.com/lib/NKNU/detail.action?docID=298856</t>
  </si>
  <si>
    <t>https://ebookcentral.proquest.com/lib/NKNU/detail.action?docID=298859</t>
  </si>
  <si>
    <t>https://ebookcentral.proquest.com/lib/NKNU/detail.action?docID=298862</t>
  </si>
  <si>
    <t>https://ebookcentral.proquest.com/lib/NKNU/detail.action?docID=298863</t>
  </si>
  <si>
    <t>https://ebookcentral.proquest.com/lib/NKNU/detail.action?docID=298868</t>
  </si>
  <si>
    <t>https://ebookcentral.proquest.com/lib/NKNU/detail.action?docID=298877</t>
  </si>
  <si>
    <t>https://ebookcentral.proquest.com/lib/NKNU/detail.action?docID=298880</t>
  </si>
  <si>
    <t>https://ebookcentral.proquest.com/lib/NKNU/detail.action?docID=298884</t>
  </si>
  <si>
    <t>https://ebookcentral.proquest.com/lib/NKNU/detail.action?docID=298886</t>
  </si>
  <si>
    <t>https://ebookcentral.proquest.com/lib/NKNU/detail.action?docID=298897</t>
  </si>
  <si>
    <t>https://ebookcentral.proquest.com/lib/NKNU/detail.action?docID=298899</t>
  </si>
  <si>
    <t>https://ebookcentral.proquest.com/lib/NKNU/detail.action?docID=298903</t>
  </si>
  <si>
    <t>https://ebookcentral.proquest.com/lib/NKNU/detail.action?docID=298974</t>
  </si>
  <si>
    <t>https://ebookcentral.proquest.com/lib/NKNU/detail.action?docID=298975</t>
  </si>
  <si>
    <t>https://ebookcentral.proquest.com/lib/NKNU/detail.action?docID=299010</t>
  </si>
  <si>
    <t>https://ebookcentral.proquest.com/lib/NKNU/detail.action?docID=299114</t>
  </si>
  <si>
    <t>https://ebookcentral.proquest.com/lib/NKNU/detail.action?docID=299215</t>
  </si>
  <si>
    <t>https://ebookcentral.proquest.com/lib/NKNU/detail.action?docID=299239</t>
  </si>
  <si>
    <t>https://ebookcentral.proquest.com/lib/NKNU/detail.action?docID=299243</t>
  </si>
  <si>
    <t>https://ebookcentral.proquest.com/lib/NKNU/detail.action?docID=299251</t>
  </si>
  <si>
    <t>https://ebookcentral.proquest.com/lib/NKNU/detail.action?docID=299252</t>
  </si>
  <si>
    <t>https://ebookcentral.proquest.com/lib/NKNU/detail.action?docID=299258</t>
  </si>
  <si>
    <t>https://ebookcentral.proquest.com/lib/NKNU/detail.action?docID=299270</t>
  </si>
  <si>
    <t>https://ebookcentral.proquest.com/lib/NKNU/detail.action?docID=299279</t>
  </si>
  <si>
    <t>https://ebookcentral.proquest.com/lib/NKNU/detail.action?docID=299282</t>
  </si>
  <si>
    <t>https://ebookcentral.proquest.com/lib/NKNU/detail.action?docID=299284</t>
  </si>
  <si>
    <t>https://ebookcentral.proquest.com/lib/NKNU/detail.action?docID=299300</t>
  </si>
  <si>
    <t>https://ebookcentral.proquest.com/lib/NKNU/detail.action?docID=299350</t>
  </si>
  <si>
    <t>https://ebookcentral.proquest.com/lib/NKNU/detail.action?docID=299404</t>
  </si>
  <si>
    <t>https://ebookcentral.proquest.com/lib/NKNU/detail.action?docID=299462</t>
  </si>
  <si>
    <t>https://ebookcentral.proquest.com/lib/NKNU/detail.action?docID=299464</t>
  </si>
  <si>
    <t>https://ebookcentral.proquest.com/lib/NKNU/detail.action?docID=299520</t>
  </si>
  <si>
    <t>https://ebookcentral.proquest.com/lib/NKNU/detail.action?docID=299532</t>
  </si>
  <si>
    <t>https://ebookcentral.proquest.com/lib/NKNU/detail.action?docID=299548</t>
  </si>
  <si>
    <t>https://ebookcentral.proquest.com/lib/NKNU/detail.action?docID=299549</t>
  </si>
  <si>
    <t>https://ebookcentral.proquest.com/lib/NKNU/detail.action?docID=299550</t>
  </si>
  <si>
    <t>https://ebookcentral.proquest.com/lib/NKNU/detail.action?docID=299551</t>
  </si>
  <si>
    <t>https://ebookcentral.proquest.com/lib/NKNU/detail.action?docID=299553</t>
  </si>
  <si>
    <t>https://ebookcentral.proquest.com/lib/NKNU/detail.action?docID=299554</t>
  </si>
  <si>
    <t>https://ebookcentral.proquest.com/lib/NKNU/detail.action?docID=299579</t>
  </si>
  <si>
    <t>https://ebookcentral.proquest.com/lib/NKNU/detail.action?docID=299593</t>
  </si>
  <si>
    <t>https://ebookcentral.proquest.com/lib/NKNU/detail.action?docID=299594</t>
  </si>
  <si>
    <t>https://ebookcentral.proquest.com/lib/NKNU/detail.action?docID=299609</t>
  </si>
  <si>
    <t>https://ebookcentral.proquest.com/lib/NKNU/detail.action?docID=299616</t>
  </si>
  <si>
    <t>https://ebookcentral.proquest.com/lib/NKNU/detail.action?docID=299621</t>
  </si>
  <si>
    <t>https://ebookcentral.proquest.com/lib/NKNU/detail.action?docID=299637</t>
  </si>
  <si>
    <t>https://ebookcentral.proquest.com/lib/NKNU/detail.action?docID=299655</t>
  </si>
  <si>
    <t>https://ebookcentral.proquest.com/lib/NKNU/detail.action?docID=299660</t>
  </si>
  <si>
    <t>https://ebookcentral.proquest.com/lib/NKNU/detail.action?docID=299690</t>
  </si>
  <si>
    <t>https://ebookcentral.proquest.com/lib/NKNU/detail.action?docID=299691</t>
  </si>
  <si>
    <t>https://ebookcentral.proquest.com/lib/NKNU/detail.action?docID=299696</t>
  </si>
  <si>
    <t>https://ebookcentral.proquest.com/lib/NKNU/detail.action?docID=300514</t>
  </si>
  <si>
    <t>https://ebookcentral.proquest.com/lib/NKNU/detail.action?docID=300531</t>
  </si>
  <si>
    <t>https://ebookcentral.proquest.com/lib/NKNU/detail.action?docID=300596</t>
  </si>
  <si>
    <t>https://ebookcentral.proquest.com/lib/NKNU/detail.action?docID=300607</t>
  </si>
  <si>
    <t>https://ebookcentral.proquest.com/lib/NKNU/detail.action?docID=300613</t>
  </si>
  <si>
    <t>https://ebookcentral.proquest.com/lib/NKNU/detail.action?docID=300617</t>
  </si>
  <si>
    <t>https://ebookcentral.proquest.com/lib/NKNU/detail.action?docID=300620</t>
  </si>
  <si>
    <t>https://ebookcentral.proquest.com/lib/NKNU/detail.action?docID=300705</t>
  </si>
  <si>
    <t>https://ebookcentral.proquest.com/lib/NKNU/detail.action?docID=300707</t>
  </si>
  <si>
    <t>https://ebookcentral.proquest.com/lib/NKNU/detail.action?docID=300746</t>
  </si>
  <si>
    <t>https://ebookcentral.proquest.com/lib/NKNU/detail.action?docID=300972</t>
  </si>
  <si>
    <t>https://ebookcentral.proquest.com/lib/NKNU/detail.action?docID=300988</t>
  </si>
  <si>
    <t>https://ebookcentral.proquest.com/lib/NKNU/detail.action?docID=300990</t>
  </si>
  <si>
    <t>https://ebookcentral.proquest.com/lib/NKNU/detail.action?docID=301635</t>
  </si>
  <si>
    <t>https://ebookcentral.proquest.com/lib/NKNU/detail.action?docID=301654</t>
  </si>
  <si>
    <t>https://ebookcentral.proquest.com/lib/NKNU/detail.action?docID=301658</t>
  </si>
  <si>
    <t>https://ebookcentral.proquest.com/lib/NKNU/detail.action?docID=301661</t>
  </si>
  <si>
    <t>https://ebookcentral.proquest.com/lib/NKNU/detail.action?docID=301682</t>
  </si>
  <si>
    <t>https://ebookcentral.proquest.com/lib/NKNU/detail.action?docID=302296</t>
  </si>
  <si>
    <t>https://ebookcentral.proquest.com/lib/NKNU/detail.action?docID=302320</t>
  </si>
  <si>
    <t>https://ebookcentral.proquest.com/lib/NKNU/detail.action?docID=302321</t>
  </si>
  <si>
    <t>https://ebookcentral.proquest.com/lib/NKNU/detail.action?docID=302322</t>
  </si>
  <si>
    <t>https://ebookcentral.proquest.com/lib/NKNU/detail.action?docID=302324</t>
  </si>
  <si>
    <t>https://ebookcentral.proquest.com/lib/NKNU/detail.action?docID=302325</t>
  </si>
  <si>
    <t>https://ebookcentral.proquest.com/lib/NKNU/detail.action?docID=302328</t>
  </si>
  <si>
    <t>https://ebookcentral.proquest.com/lib/NKNU/detail.action?docID=302331</t>
  </si>
  <si>
    <t>https://ebookcentral.proquest.com/lib/NKNU/detail.action?docID=302332</t>
  </si>
  <si>
    <t>https://ebookcentral.proquest.com/lib/NKNU/detail.action?docID=302333</t>
  </si>
  <si>
    <t>https://ebookcentral.proquest.com/lib/NKNU/detail.action?docID=302335</t>
  </si>
  <si>
    <t>https://ebookcentral.proquest.com/lib/NKNU/detail.action?docID=302337</t>
  </si>
  <si>
    <t>https://ebookcentral.proquest.com/lib/NKNU/detail.action?docID=302402</t>
  </si>
  <si>
    <t>https://ebookcentral.proquest.com/lib/NKNU/detail.action?docID=302412</t>
  </si>
  <si>
    <t>https://ebookcentral.proquest.com/lib/NKNU/detail.action?docID=302441</t>
  </si>
  <si>
    <t>https://ebookcentral.proquest.com/lib/NKNU/detail.action?docID=302474</t>
  </si>
  <si>
    <t>https://ebookcentral.proquest.com/lib/NKNU/detail.action?docID=302476</t>
  </si>
  <si>
    <t>https://ebookcentral.proquest.com/lib/NKNU/detail.action?docID=305515</t>
  </si>
  <si>
    <t>https://ebookcentral.proquest.com/lib/NKNU/detail.action?docID=305547</t>
  </si>
  <si>
    <t>https://ebookcentral.proquest.com/lib/NKNU/detail.action?docID=305552</t>
  </si>
  <si>
    <t>https://ebookcentral.proquest.com/lib/NKNU/detail.action?docID=305648</t>
  </si>
  <si>
    <t>https://ebookcentral.proquest.com/lib/NKNU/detail.action?docID=305657</t>
  </si>
  <si>
    <t>https://ebookcentral.proquest.com/lib/NKNU/detail.action?docID=305725</t>
  </si>
  <si>
    <t>https://ebookcentral.proquest.com/lib/NKNU/detail.action?docID=305735</t>
  </si>
  <si>
    <t>https://ebookcentral.proquest.com/lib/NKNU/detail.action?docID=305741</t>
  </si>
  <si>
    <t>https://ebookcentral.proquest.com/lib/NKNU/detail.action?docID=305743</t>
  </si>
  <si>
    <t>https://ebookcentral.proquest.com/lib/NKNU/detail.action?docID=305745</t>
  </si>
  <si>
    <t>https://ebookcentral.proquest.com/lib/NKNU/detail.action?docID=305747</t>
  </si>
  <si>
    <t>https://ebookcentral.proquest.com/lib/NKNU/detail.action?docID=305974</t>
  </si>
  <si>
    <t>https://ebookcentral.proquest.com/lib/NKNU/detail.action?docID=305986</t>
  </si>
  <si>
    <t>https://ebookcentral.proquest.com/lib/NKNU/detail.action?docID=306088</t>
  </si>
  <si>
    <t>https://ebookcentral.proquest.com/lib/NKNU/detail.action?docID=306089</t>
  </si>
  <si>
    <t>https://ebookcentral.proquest.com/lib/NKNU/detail.action?docID=306090</t>
  </si>
  <si>
    <t>https://ebookcentral.proquest.com/lib/NKNU/detail.action?docID=306139</t>
  </si>
  <si>
    <t>https://ebookcentral.proquest.com/lib/NKNU/detail.action?docID=306141</t>
  </si>
  <si>
    <t>https://ebookcentral.proquest.com/lib/NKNU/detail.action?docID=306181</t>
  </si>
  <si>
    <t>https://ebookcentral.proquest.com/lib/NKNU/detail.action?docID=306206</t>
  </si>
  <si>
    <t>https://ebookcentral.proquest.com/lib/NKNU/detail.action?docID=306208</t>
  </si>
  <si>
    <t>https://ebookcentral.proquest.com/lib/NKNU/detail.action?docID=306220</t>
  </si>
  <si>
    <t>https://ebookcentral.proquest.com/lib/NKNU/detail.action?docID=306223</t>
  </si>
  <si>
    <t>https://ebookcentral.proquest.com/lib/NKNU/detail.action?docID=306224</t>
  </si>
  <si>
    <t>https://ebookcentral.proquest.com/lib/NKNU/detail.action?docID=306231</t>
  </si>
  <si>
    <t>https://ebookcentral.proquest.com/lib/NKNU/detail.action?docID=306391</t>
  </si>
  <si>
    <t>https://ebookcentral.proquest.com/lib/NKNU/detail.action?docID=306459</t>
  </si>
  <si>
    <t>https://ebookcentral.proquest.com/lib/NKNU/detail.action?docID=306537</t>
  </si>
  <si>
    <t>https://ebookcentral.proquest.com/lib/NKNU/detail.action?docID=306608</t>
  </si>
  <si>
    <t>https://ebookcentral.proquest.com/lib/NKNU/detail.action?docID=306609</t>
  </si>
  <si>
    <t>https://ebookcentral.proquest.com/lib/NKNU/detail.action?docID=306610</t>
  </si>
  <si>
    <t>https://ebookcentral.proquest.com/lib/NKNU/detail.action?docID=306611</t>
  </si>
  <si>
    <t>https://ebookcentral.proquest.com/lib/NKNU/detail.action?docID=306612</t>
  </si>
  <si>
    <t>https://ebookcentral.proquest.com/lib/NKNU/detail.action?docID=306613</t>
  </si>
  <si>
    <t>https://ebookcentral.proquest.com/lib/NKNU/detail.action?docID=306673</t>
  </si>
  <si>
    <t>https://ebookcentral.proquest.com/lib/NKNU/detail.action?docID=306674</t>
  </si>
  <si>
    <t>https://ebookcentral.proquest.com/lib/NKNU/detail.action?docID=306676</t>
  </si>
  <si>
    <t>https://ebookcentral.proquest.com/lib/NKNU/detail.action?docID=306701</t>
  </si>
  <si>
    <t>https://ebookcentral.proquest.com/lib/NKNU/detail.action?docID=306714</t>
  </si>
  <si>
    <t>https://ebookcentral.proquest.com/lib/NKNU/detail.action?docID=306728</t>
  </si>
  <si>
    <t>https://ebookcentral.proquest.com/lib/NKNU/detail.action?docID=306746</t>
  </si>
  <si>
    <t>https://ebookcentral.proquest.com/lib/NKNU/detail.action?docID=306748</t>
  </si>
  <si>
    <t>https://ebookcentral.proquest.com/lib/NKNU/detail.action?docID=306751</t>
  </si>
  <si>
    <t>https://ebookcentral.proquest.com/lib/NKNU/detail.action?docID=306752</t>
  </si>
  <si>
    <t>https://ebookcentral.proquest.com/lib/NKNU/detail.action?docID=306767</t>
  </si>
  <si>
    <t>https://ebookcentral.proquest.com/lib/NKNU/detail.action?docID=306775</t>
  </si>
  <si>
    <t>https://ebookcentral.proquest.com/lib/NKNU/detail.action?docID=306779</t>
  </si>
  <si>
    <t>https://ebookcentral.proquest.com/lib/NKNU/detail.action?docID=306781</t>
  </si>
  <si>
    <t>https://ebookcentral.proquest.com/lib/NKNU/detail.action?docID=306784</t>
  </si>
  <si>
    <t>https://ebookcentral.proquest.com/lib/NKNU/detail.action?docID=306785</t>
  </si>
  <si>
    <t>https://ebookcentral.proquest.com/lib/NKNU/detail.action?docID=306788</t>
  </si>
  <si>
    <t>https://ebookcentral.proquest.com/lib/NKNU/detail.action?docID=306793</t>
  </si>
  <si>
    <t>https://ebookcentral.proquest.com/lib/NKNU/detail.action?docID=306795</t>
  </si>
  <si>
    <t>https://ebookcentral.proquest.com/lib/NKNU/detail.action?docID=306805</t>
  </si>
  <si>
    <t>https://ebookcentral.proquest.com/lib/NKNU/detail.action?docID=307027</t>
  </si>
  <si>
    <t>https://ebookcentral.proquest.com/lib/NKNU/detail.action?docID=307035</t>
  </si>
  <si>
    <t>https://ebookcentral.proquest.com/lib/NKNU/detail.action?docID=307041</t>
  </si>
  <si>
    <t>https://ebookcentral.proquest.com/lib/NKNU/detail.action?docID=307046</t>
  </si>
  <si>
    <t>https://ebookcentral.proquest.com/lib/NKNU/detail.action?docID=307051</t>
  </si>
  <si>
    <t>https://ebookcentral.proquest.com/lib/NKNU/detail.action?docID=307067</t>
  </si>
  <si>
    <t>https://ebookcentral.proquest.com/lib/NKNU/detail.action?docID=307073</t>
  </si>
  <si>
    <t>https://ebookcentral.proquest.com/lib/NKNU/detail.action?docID=307074</t>
  </si>
  <si>
    <t>https://ebookcentral.proquest.com/lib/NKNU/detail.action?docID=307080</t>
  </si>
  <si>
    <t>https://ebookcentral.proquest.com/lib/NKNU/detail.action?docID=307083</t>
  </si>
  <si>
    <t>https://ebookcentral.proquest.com/lib/NKNU/detail.action?docID=307117</t>
  </si>
  <si>
    <t>https://ebookcentral.proquest.com/lib/NKNU/detail.action?docID=307139</t>
  </si>
  <si>
    <t>https://ebookcentral.proquest.com/lib/NKNU/detail.action?docID=307169</t>
  </si>
  <si>
    <t>https://ebookcentral.proquest.com/lib/NKNU/detail.action?docID=307178</t>
  </si>
  <si>
    <t>https://ebookcentral.proquest.com/lib/NKNU/detail.action?docID=307179</t>
  </si>
  <si>
    <t>https://ebookcentral.proquest.com/lib/NKNU/detail.action?docID=307208</t>
  </si>
  <si>
    <t>https://ebookcentral.proquest.com/lib/NKNU/detail.action?docID=307223</t>
  </si>
  <si>
    <t>https://ebookcentral.proquest.com/lib/NKNU/detail.action?docID=307300</t>
  </si>
  <si>
    <t>https://ebookcentral.proquest.com/lib/NKNU/detail.action?docID=307301</t>
  </si>
  <si>
    <t>https://ebookcentral.proquest.com/lib/NKNU/detail.action?docID=307302</t>
  </si>
  <si>
    <t>https://ebookcentral.proquest.com/lib/NKNU/detail.action?docID=307303</t>
  </si>
  <si>
    <t>https://ebookcentral.proquest.com/lib/NKNU/detail.action?docID=307304</t>
  </si>
  <si>
    <t>https://ebookcentral.proquest.com/lib/NKNU/detail.action?docID=307305</t>
  </si>
  <si>
    <t>https://ebookcentral.proquest.com/lib/NKNU/detail.action?docID=307306</t>
  </si>
  <si>
    <t>https://ebookcentral.proquest.com/lib/NKNU/detail.action?docID=307307</t>
  </si>
  <si>
    <t>https://ebookcentral.proquest.com/lib/NKNU/detail.action?docID=307308</t>
  </si>
  <si>
    <t>https://ebookcentral.proquest.com/lib/NKNU/detail.action?docID=307310</t>
  </si>
  <si>
    <t>https://ebookcentral.proquest.com/lib/NKNU/detail.action?docID=307311</t>
  </si>
  <si>
    <t>https://ebookcentral.proquest.com/lib/NKNU/detail.action?docID=307391</t>
  </si>
  <si>
    <t>https://ebookcentral.proquest.com/lib/NKNU/detail.action?docID=307392</t>
  </si>
  <si>
    <t>https://ebookcentral.proquest.com/lib/NKNU/detail.action?docID=307401</t>
  </si>
  <si>
    <t>https://ebookcentral.proquest.com/lib/NKNU/detail.action?docID=307402</t>
  </si>
  <si>
    <t>https://ebookcentral.proquest.com/lib/NKNU/detail.action?docID=307413</t>
  </si>
  <si>
    <t>https://ebookcentral.proquest.com/lib/NKNU/detail.action?docID=307425</t>
  </si>
  <si>
    <t>https://ebookcentral.proquest.com/lib/NKNU/detail.action?docID=307431</t>
  </si>
  <si>
    <t>https://ebookcentral.proquest.com/lib/NKNU/detail.action?docID=307434</t>
  </si>
  <si>
    <t>https://ebookcentral.proquest.com/lib/NKNU/detail.action?docID=307445</t>
  </si>
  <si>
    <t>https://ebookcentral.proquest.com/lib/NKNU/detail.action?docID=307564</t>
  </si>
  <si>
    <t>https://ebookcentral.proquest.com/lib/NKNU/detail.action?docID=307580</t>
  </si>
  <si>
    <t>https://ebookcentral.proquest.com/lib/NKNU/detail.action?docID=307587</t>
  </si>
  <si>
    <t>https://ebookcentral.proquest.com/lib/NKNU/detail.action?docID=307590</t>
  </si>
  <si>
    <t>https://ebookcentral.proquest.com/lib/NKNU/detail.action?docID=307595</t>
  </si>
  <si>
    <t>https://ebookcentral.proquest.com/lib/NKNU/detail.action?docID=307624</t>
  </si>
  <si>
    <t>https://ebookcentral.proquest.com/lib/NKNU/detail.action?docID=307628</t>
  </si>
  <si>
    <t>https://ebookcentral.proquest.com/lib/NKNU/detail.action?docID=307641</t>
  </si>
  <si>
    <t>https://ebookcentral.proquest.com/lib/NKNU/detail.action?docID=307649</t>
  </si>
  <si>
    <t>https://ebookcentral.proquest.com/lib/NKNU/detail.action?docID=307662</t>
  </si>
  <si>
    <t>https://ebookcentral.proquest.com/lib/NKNU/detail.action?docID=307663</t>
  </si>
  <si>
    <t>https://ebookcentral.proquest.com/lib/NKNU/detail.action?docID=307699</t>
  </si>
  <si>
    <t>https://ebookcentral.proquest.com/lib/NKNU/detail.action?docID=307722</t>
  </si>
  <si>
    <t>https://ebookcentral.proquest.com/lib/NKNU/detail.action?docID=307725</t>
  </si>
  <si>
    <t>https://ebookcentral.proquest.com/lib/NKNU/detail.action?docID=307732</t>
  </si>
  <si>
    <t>https://ebookcentral.proquest.com/lib/NKNU/detail.action?docID=307737</t>
  </si>
  <si>
    <t>https://ebookcentral.proquest.com/lib/NKNU/detail.action?docID=307744</t>
  </si>
  <si>
    <t>https://ebookcentral.proquest.com/lib/NKNU/detail.action?docID=307752</t>
  </si>
  <si>
    <t>https://ebookcentral.proquest.com/lib/NKNU/detail.action?docID=307754</t>
  </si>
  <si>
    <t>https://ebookcentral.proquest.com/lib/NKNU/detail.action?docID=307768</t>
  </si>
  <si>
    <t>https://ebookcentral.proquest.com/lib/NKNU/detail.action?docID=307791</t>
  </si>
  <si>
    <t>https://ebookcentral.proquest.com/lib/NKNU/detail.action?docID=307827</t>
  </si>
  <si>
    <t>https://ebookcentral.proquest.com/lib/NKNU/detail.action?docID=307940</t>
  </si>
  <si>
    <t>https://ebookcentral.proquest.com/lib/NKNU/detail.action?docID=307943</t>
  </si>
  <si>
    <t>https://ebookcentral.proquest.com/lib/NKNU/detail.action?docID=307960</t>
  </si>
  <si>
    <t>https://ebookcentral.proquest.com/lib/NKNU/detail.action?docID=307966</t>
  </si>
  <si>
    <t>https://ebookcentral.proquest.com/lib/NKNU/detail.action?docID=307967</t>
  </si>
  <si>
    <t>https://ebookcentral.proquest.com/lib/NKNU/detail.action?docID=308015</t>
  </si>
  <si>
    <t>https://ebookcentral.proquest.com/lib/NKNU/detail.action?docID=308087</t>
  </si>
  <si>
    <t>https://ebookcentral.proquest.com/lib/NKNU/detail.action?docID=308089</t>
  </si>
  <si>
    <t>https://ebookcentral.proquest.com/lib/NKNU/detail.action?docID=308091</t>
  </si>
  <si>
    <t>https://ebookcentral.proquest.com/lib/NKNU/detail.action?docID=308135</t>
  </si>
  <si>
    <t>https://ebookcentral.proquest.com/lib/NKNU/detail.action?docID=308148</t>
  </si>
  <si>
    <t>https://ebookcentral.proquest.com/lib/NKNU/detail.action?docID=308163</t>
  </si>
  <si>
    <t>https://ebookcentral.proquest.com/lib/NKNU/detail.action?docID=308169</t>
  </si>
  <si>
    <t>https://ebookcentral.proquest.com/lib/NKNU/detail.action?docID=308182</t>
  </si>
  <si>
    <t>https://ebookcentral.proquest.com/lib/NKNU/detail.action?docID=308183</t>
  </si>
  <si>
    <t>https://ebookcentral.proquest.com/lib/NKNU/detail.action?docID=308195</t>
  </si>
  <si>
    <t>https://ebookcentral.proquest.com/lib/NKNU/detail.action?docID=308199</t>
  </si>
  <si>
    <t>https://ebookcentral.proquest.com/lib/NKNU/detail.action?docID=308236</t>
  </si>
  <si>
    <t>https://ebookcentral.proquest.com/lib/NKNU/detail.action?docID=308275</t>
  </si>
  <si>
    <t>https://ebookcentral.proquest.com/lib/NKNU/detail.action?docID=308287</t>
  </si>
  <si>
    <t>https://ebookcentral.proquest.com/lib/NKNU/detail.action?docID=308289</t>
  </si>
  <si>
    <t>https://ebookcentral.proquest.com/lib/NKNU/detail.action?docID=308306</t>
  </si>
  <si>
    <t>https://ebookcentral.proquest.com/lib/NKNU/detail.action?docID=308317</t>
  </si>
  <si>
    <t>https://ebookcentral.proquest.com/lib/NKNU/detail.action?docID=308320</t>
  </si>
  <si>
    <t>https://ebookcentral.proquest.com/lib/NKNU/detail.action?docID=308321</t>
  </si>
  <si>
    <t>https://ebookcentral.proquest.com/lib/NKNU/detail.action?docID=308329</t>
  </si>
  <si>
    <t>https://ebookcentral.proquest.com/lib/NKNU/detail.action?docID=308342</t>
  </si>
  <si>
    <t>https://ebookcentral.proquest.com/lib/NKNU/detail.action?docID=308359</t>
  </si>
  <si>
    <t>https://ebookcentral.proquest.com/lib/NKNU/detail.action?docID=308376</t>
  </si>
  <si>
    <t>https://ebookcentral.proquest.com/lib/NKNU/detail.action?docID=308415</t>
  </si>
  <si>
    <t>https://ebookcentral.proquest.com/lib/NKNU/detail.action?docID=308501</t>
  </si>
  <si>
    <t>https://ebookcentral.proquest.com/lib/NKNU/detail.action?docID=308505</t>
  </si>
  <si>
    <t>https://ebookcentral.proquest.com/lib/NKNU/detail.action?docID=308506</t>
  </si>
  <si>
    <t>https://ebookcentral.proquest.com/lib/NKNU/detail.action?docID=308510</t>
  </si>
  <si>
    <t>https://ebookcentral.proquest.com/lib/NKNU/detail.action?docID=308513</t>
  </si>
  <si>
    <t>https://ebookcentral.proquest.com/lib/NKNU/detail.action?docID=308515</t>
  </si>
  <si>
    <t>https://ebookcentral.proquest.com/lib/NKNU/detail.action?docID=308517</t>
  </si>
  <si>
    <t>https://ebookcentral.proquest.com/lib/NKNU/detail.action?docID=308520</t>
  </si>
  <si>
    <t>https://ebookcentral.proquest.com/lib/NKNU/detail.action?docID=308521</t>
  </si>
  <si>
    <t>https://ebookcentral.proquest.com/lib/NKNU/detail.action?docID=308522</t>
  </si>
  <si>
    <t>https://ebookcentral.proquest.com/lib/NKNU/detail.action?docID=308523</t>
  </si>
  <si>
    <t>https://ebookcentral.proquest.com/lib/NKNU/detail.action?docID=308525</t>
  </si>
  <si>
    <t>https://ebookcentral.proquest.com/lib/NKNU/detail.action?docID=308526</t>
  </si>
  <si>
    <t>https://ebookcentral.proquest.com/lib/NKNU/detail.action?docID=308530</t>
  </si>
  <si>
    <t>https://ebookcentral.proquest.com/lib/NKNU/detail.action?docID=308531</t>
  </si>
  <si>
    <t>https://ebookcentral.proquest.com/lib/NKNU/detail.action?docID=308532</t>
  </si>
  <si>
    <t>https://ebookcentral.proquest.com/lib/NKNU/detail.action?docID=308533</t>
  </si>
  <si>
    <t>https://ebookcentral.proquest.com/lib/NKNU/detail.action?docID=308534</t>
  </si>
  <si>
    <t>https://ebookcentral.proquest.com/lib/NKNU/detail.action?docID=308539</t>
  </si>
  <si>
    <t>https://ebookcentral.proquest.com/lib/NKNU/detail.action?docID=308546</t>
  </si>
  <si>
    <t>https://ebookcentral.proquest.com/lib/NKNU/detail.action?docID=308547</t>
  </si>
  <si>
    <t>https://ebookcentral.proquest.com/lib/NKNU/detail.action?docID=308550</t>
  </si>
  <si>
    <t>https://ebookcentral.proquest.com/lib/NKNU/detail.action?docID=308551</t>
  </si>
  <si>
    <t>https://ebookcentral.proquest.com/lib/NKNU/detail.action?docID=308556</t>
  </si>
  <si>
    <t>https://ebookcentral.proquest.com/lib/NKNU/detail.action?docID=308557</t>
  </si>
  <si>
    <t>https://ebookcentral.proquest.com/lib/NKNU/detail.action?docID=308558</t>
  </si>
  <si>
    <t>https://ebookcentral.proquest.com/lib/NKNU/detail.action?docID=308562</t>
  </si>
  <si>
    <t>https://ebookcentral.proquest.com/lib/NKNU/detail.action?docID=308566</t>
  </si>
  <si>
    <t>https://ebookcentral.proquest.com/lib/NKNU/detail.action?docID=308568</t>
  </si>
  <si>
    <t>https://ebookcentral.proquest.com/lib/NKNU/detail.action?docID=308576</t>
  </si>
  <si>
    <t>https://ebookcentral.proquest.com/lib/NKNU/detail.action?docID=308577</t>
  </si>
  <si>
    <t>https://ebookcentral.proquest.com/lib/NKNU/detail.action?docID=308578</t>
  </si>
  <si>
    <t>https://ebookcentral.proquest.com/lib/NKNU/detail.action?docID=308584</t>
  </si>
  <si>
    <t>https://ebookcentral.proquest.com/lib/NKNU/detail.action?docID=308585</t>
  </si>
  <si>
    <t>https://ebookcentral.proquest.com/lib/NKNU/detail.action?docID=308589</t>
  </si>
  <si>
    <t>https://ebookcentral.proquest.com/lib/NKNU/detail.action?docID=308599</t>
  </si>
  <si>
    <t>https://ebookcentral.proquest.com/lib/NKNU/detail.action?docID=308603</t>
  </si>
  <si>
    <t>https://ebookcentral.proquest.com/lib/NKNU/detail.action?docID=308609</t>
  </si>
  <si>
    <t>https://ebookcentral.proquest.com/lib/NKNU/detail.action?docID=308611</t>
  </si>
  <si>
    <t>https://ebookcentral.proquest.com/lib/NKNU/detail.action?docID=308617</t>
  </si>
  <si>
    <t>https://ebookcentral.proquest.com/lib/NKNU/detail.action?docID=308619</t>
  </si>
  <si>
    <t>https://ebookcentral.proquest.com/lib/NKNU/detail.action?docID=308631</t>
  </si>
  <si>
    <t>https://ebookcentral.proquest.com/lib/NKNU/detail.action?docID=308641</t>
  </si>
  <si>
    <t>https://ebookcentral.proquest.com/lib/NKNU/detail.action?docID=308642</t>
  </si>
  <si>
    <t>https://ebookcentral.proquest.com/lib/NKNU/detail.action?docID=308645</t>
  </si>
  <si>
    <t>https://ebookcentral.proquest.com/lib/NKNU/detail.action?docID=308646</t>
  </si>
  <si>
    <t>https://ebookcentral.proquest.com/lib/NKNU/detail.action?docID=308648</t>
  </si>
  <si>
    <t>https://ebookcentral.proquest.com/lib/NKNU/detail.action?docID=308655</t>
  </si>
  <si>
    <t>https://ebookcentral.proquest.com/lib/NKNU/detail.action?docID=308658</t>
  </si>
  <si>
    <t>https://ebookcentral.proquest.com/lib/NKNU/detail.action?docID=308660</t>
  </si>
  <si>
    <t>https://ebookcentral.proquest.com/lib/NKNU/detail.action?docID=308665</t>
  </si>
  <si>
    <t>https://ebookcentral.proquest.com/lib/NKNU/detail.action?docID=308666</t>
  </si>
  <si>
    <t>https://ebookcentral.proquest.com/lib/NKNU/detail.action?docID=308673</t>
  </si>
  <si>
    <t>https://ebookcentral.proquest.com/lib/NKNU/detail.action?docID=308674</t>
  </si>
  <si>
    <t>https://ebookcentral.proquest.com/lib/NKNU/detail.action?docID=308675</t>
  </si>
  <si>
    <t>https://ebookcentral.proquest.com/lib/NKNU/detail.action?docID=308676</t>
  </si>
  <si>
    <t>https://ebookcentral.proquest.com/lib/NKNU/detail.action?docID=308678</t>
  </si>
  <si>
    <t>https://ebookcentral.proquest.com/lib/NKNU/detail.action?docID=308679</t>
  </si>
  <si>
    <t>https://ebookcentral.proquest.com/lib/NKNU/detail.action?docID=308681</t>
  </si>
  <si>
    <t>https://ebookcentral.proquest.com/lib/NKNU/detail.action?docID=308685</t>
  </si>
  <si>
    <t>https://ebookcentral.proquest.com/lib/NKNU/detail.action?docID=308686</t>
  </si>
  <si>
    <t>https://ebookcentral.proquest.com/lib/NKNU/detail.action?docID=308687</t>
  </si>
  <si>
    <t>https://ebookcentral.proquest.com/lib/NKNU/detail.action?docID=308693</t>
  </si>
  <si>
    <t>https://ebookcentral.proquest.com/lib/NKNU/detail.action?docID=308695</t>
  </si>
  <si>
    <t>https://ebookcentral.proquest.com/lib/NKNU/detail.action?docID=308696</t>
  </si>
  <si>
    <t>https://ebookcentral.proquest.com/lib/NKNU/detail.action?docID=308697</t>
  </si>
  <si>
    <t>https://ebookcentral.proquest.com/lib/NKNU/detail.action?docID=308698</t>
  </si>
  <si>
    <t>https://ebookcentral.proquest.com/lib/NKNU/detail.action?docID=308699</t>
  </si>
  <si>
    <t>https://ebookcentral.proquest.com/lib/NKNU/detail.action?docID=308707</t>
  </si>
  <si>
    <t>https://ebookcentral.proquest.com/lib/NKNU/detail.action?docID=308708</t>
  </si>
  <si>
    <t>https://ebookcentral.proquest.com/lib/NKNU/detail.action?docID=308709</t>
  </si>
  <si>
    <t>https://ebookcentral.proquest.com/lib/NKNU/detail.action?docID=308710</t>
  </si>
  <si>
    <t>https://ebookcentral.proquest.com/lib/NKNU/detail.action?docID=308713</t>
  </si>
  <si>
    <t>https://ebookcentral.proquest.com/lib/NKNU/detail.action?docID=308718</t>
  </si>
  <si>
    <t>https://ebookcentral.proquest.com/lib/NKNU/detail.action?docID=308719</t>
  </si>
  <si>
    <t>https://ebookcentral.proquest.com/lib/NKNU/detail.action?docID=308721</t>
  </si>
  <si>
    <t>https://ebookcentral.proquest.com/lib/NKNU/detail.action?docID=308725</t>
  </si>
  <si>
    <t>https://ebookcentral.proquest.com/lib/NKNU/detail.action?docID=308726</t>
  </si>
  <si>
    <t>https://ebookcentral.proquest.com/lib/NKNU/detail.action?docID=308732</t>
  </si>
  <si>
    <t>https://ebookcentral.proquest.com/lib/NKNU/detail.action?docID=308739</t>
  </si>
  <si>
    <t>https://ebookcentral.proquest.com/lib/NKNU/detail.action?docID=308746</t>
  </si>
  <si>
    <t>https://ebookcentral.proquest.com/lib/NKNU/detail.action?docID=308747</t>
  </si>
  <si>
    <t>https://ebookcentral.proquest.com/lib/NKNU/detail.action?docID=308748</t>
  </si>
  <si>
    <t>https://ebookcentral.proquest.com/lib/NKNU/detail.action?docID=308750</t>
  </si>
  <si>
    <t>https://ebookcentral.proquest.com/lib/NKNU/detail.action?docID=308757</t>
  </si>
  <si>
    <t>https://ebookcentral.proquest.com/lib/NKNU/detail.action?docID=308761</t>
  </si>
  <si>
    <t>https://ebookcentral.proquest.com/lib/NKNU/detail.action?docID=308763</t>
  </si>
  <si>
    <t>https://ebookcentral.proquest.com/lib/NKNU/detail.action?docID=308766</t>
  </si>
  <si>
    <t>https://ebookcentral.proquest.com/lib/NKNU/detail.action?docID=308767</t>
  </si>
  <si>
    <t>https://ebookcentral.proquest.com/lib/NKNU/detail.action?docID=308768</t>
  </si>
  <si>
    <t>https://ebookcentral.proquest.com/lib/NKNU/detail.action?docID=308769</t>
  </si>
  <si>
    <t>https://ebookcentral.proquest.com/lib/NKNU/detail.action?docID=308773</t>
  </si>
  <si>
    <t>https://ebookcentral.proquest.com/lib/NKNU/detail.action?docID=308774</t>
  </si>
  <si>
    <t>https://ebookcentral.proquest.com/lib/NKNU/detail.action?docID=308786</t>
  </si>
  <si>
    <t>https://ebookcentral.proquest.com/lib/NKNU/detail.action?docID=308794</t>
  </si>
  <si>
    <t>https://ebookcentral.proquest.com/lib/NKNU/detail.action?docID=308796</t>
  </si>
  <si>
    <t>https://ebookcentral.proquest.com/lib/NKNU/detail.action?docID=308801</t>
  </si>
  <si>
    <t>https://ebookcentral.proquest.com/lib/NKNU/detail.action?docID=308807</t>
  </si>
  <si>
    <t>https://ebookcentral.proquest.com/lib/NKNU/detail.action?docID=308811</t>
  </si>
  <si>
    <t>https://ebookcentral.proquest.com/lib/NKNU/detail.action?docID=308821</t>
  </si>
  <si>
    <t>https://ebookcentral.proquest.com/lib/NKNU/detail.action?docID=308824</t>
  </si>
  <si>
    <t>https://ebookcentral.proquest.com/lib/NKNU/detail.action?docID=308825</t>
  </si>
  <si>
    <t>https://ebookcentral.proquest.com/lib/NKNU/detail.action?docID=308829</t>
  </si>
  <si>
    <t>https://ebookcentral.proquest.com/lib/NKNU/detail.action?docID=308831</t>
  </si>
  <si>
    <t>https://ebookcentral.proquest.com/lib/NKNU/detail.action?docID=308833</t>
  </si>
  <si>
    <t>https://ebookcentral.proquest.com/lib/NKNU/detail.action?docID=308834</t>
  </si>
  <si>
    <t>https://ebookcentral.proquest.com/lib/NKNU/detail.action?docID=308836</t>
  </si>
  <si>
    <t>https://ebookcentral.proquest.com/lib/NKNU/detail.action?docID=308837</t>
  </si>
  <si>
    <t>https://ebookcentral.proquest.com/lib/NKNU/detail.action?docID=308847</t>
  </si>
  <si>
    <t>https://ebookcentral.proquest.com/lib/NKNU/detail.action?docID=308848</t>
  </si>
  <si>
    <t>https://ebookcentral.proquest.com/lib/NKNU/detail.action?docID=308862</t>
  </si>
  <si>
    <t>https://ebookcentral.proquest.com/lib/NKNU/detail.action?docID=308924</t>
  </si>
  <si>
    <t>https://ebookcentral.proquest.com/lib/NKNU/detail.action?docID=308931</t>
  </si>
  <si>
    <t>https://ebookcentral.proquest.com/lib/NKNU/detail.action?docID=308932</t>
  </si>
  <si>
    <t>https://ebookcentral.proquest.com/lib/NKNU/detail.action?docID=308997</t>
  </si>
  <si>
    <t>https://ebookcentral.proquest.com/lib/NKNU/detail.action?docID=309007</t>
  </si>
  <si>
    <t>https://ebookcentral.proquest.com/lib/NKNU/detail.action?docID=309024</t>
  </si>
  <si>
    <t>https://ebookcentral.proquest.com/lib/NKNU/detail.action?docID=309060</t>
  </si>
  <si>
    <t>https://ebookcentral.proquest.com/lib/NKNU/detail.action?docID=309079</t>
  </si>
  <si>
    <t>https://ebookcentral.proquest.com/lib/NKNU/detail.action?docID=309088</t>
  </si>
  <si>
    <t>https://ebookcentral.proquest.com/lib/NKNU/detail.action?docID=309094</t>
  </si>
  <si>
    <t>https://ebookcentral.proquest.com/lib/NKNU/detail.action?docID=309875</t>
  </si>
  <si>
    <t>https://ebookcentral.proquest.com/lib/NKNU/detail.action?docID=310763</t>
  </si>
  <si>
    <t>https://ebookcentral.proquest.com/lib/NKNU/detail.action?docID=310767</t>
  </si>
  <si>
    <t>https://ebookcentral.proquest.com/lib/NKNU/detail.action?docID=311233</t>
  </si>
  <si>
    <t>https://ebookcentral.proquest.com/lib/NKNU/detail.action?docID=311253</t>
  </si>
  <si>
    <t>https://ebookcentral.proquest.com/lib/NKNU/detail.action?docID=311254</t>
  </si>
  <si>
    <t>https://ebookcentral.proquest.com/lib/NKNU/detail.action?docID=311255</t>
  </si>
  <si>
    <t>https://ebookcentral.proquest.com/lib/NKNU/detail.action?docID=311259</t>
  </si>
  <si>
    <t>https://ebookcentral.proquest.com/lib/NKNU/detail.action?docID=311322</t>
  </si>
  <si>
    <t>https://ebookcentral.proquest.com/lib/NKNU/detail.action?docID=311430</t>
  </si>
  <si>
    <t>https://ebookcentral.proquest.com/lib/NKNU/detail.action?docID=311431</t>
  </si>
  <si>
    <t>https://ebookcentral.proquest.com/lib/NKNU/detail.action?docID=311432</t>
  </si>
  <si>
    <t>https://ebookcentral.proquest.com/lib/NKNU/detail.action?docID=311442</t>
  </si>
  <si>
    <t>https://ebookcentral.proquest.com/lib/NKNU/detail.action?docID=312247</t>
  </si>
  <si>
    <t>https://ebookcentral.proquest.com/lib/NKNU/detail.action?docID=312250</t>
  </si>
  <si>
    <t>https://ebookcentral.proquest.com/lib/NKNU/detail.action?docID=312251</t>
  </si>
  <si>
    <t>https://ebookcentral.proquest.com/lib/NKNU/detail.action?docID=312253</t>
  </si>
  <si>
    <t>https://ebookcentral.proquest.com/lib/NKNU/detail.action?docID=312268</t>
  </si>
  <si>
    <t>https://ebookcentral.proquest.com/lib/NKNU/detail.action?docID=312277</t>
  </si>
  <si>
    <t>https://ebookcentral.proquest.com/lib/NKNU/detail.action?docID=312281</t>
  </si>
  <si>
    <t>https://ebookcentral.proquest.com/lib/NKNU/detail.action?docID=312282</t>
  </si>
  <si>
    <t>https://ebookcentral.proquest.com/lib/NKNU/detail.action?docID=312284</t>
  </si>
  <si>
    <t>https://ebookcentral.proquest.com/lib/NKNU/detail.action?docID=312287</t>
  </si>
  <si>
    <t>https://ebookcentral.proquest.com/lib/NKNU/detail.action?docID=312288</t>
  </si>
  <si>
    <t>https://ebookcentral.proquest.com/lib/NKNU/detail.action?docID=312292</t>
  </si>
  <si>
    <t>https://ebookcentral.proquest.com/lib/NKNU/detail.action?docID=312294</t>
  </si>
  <si>
    <t>https://ebookcentral.proquest.com/lib/NKNU/detail.action?docID=312303</t>
  </si>
  <si>
    <t>https://ebookcentral.proquest.com/lib/NKNU/detail.action?docID=312305</t>
  </si>
  <si>
    <t>https://ebookcentral.proquest.com/lib/NKNU/detail.action?docID=312312</t>
  </si>
  <si>
    <t>https://ebookcentral.proquest.com/lib/NKNU/detail.action?docID=312316</t>
  </si>
  <si>
    <t>https://ebookcentral.proquest.com/lib/NKNU/detail.action?docID=312318</t>
  </si>
  <si>
    <t>https://ebookcentral.proquest.com/lib/NKNU/detail.action?docID=312319</t>
  </si>
  <si>
    <t>https://ebookcentral.proquest.com/lib/NKNU/detail.action?docID=312321</t>
  </si>
  <si>
    <t>https://ebookcentral.proquest.com/lib/NKNU/detail.action?docID=312323</t>
  </si>
  <si>
    <t>https://ebookcentral.proquest.com/lib/NKNU/detail.action?docID=312328</t>
  </si>
  <si>
    <t>https://ebookcentral.proquest.com/lib/NKNU/detail.action?docID=312337</t>
  </si>
  <si>
    <t>https://ebookcentral.proquest.com/lib/NKNU/detail.action?docID=312338</t>
  </si>
  <si>
    <t>https://ebookcentral.proquest.com/lib/NKNU/detail.action?docID=312342</t>
  </si>
  <si>
    <t>https://ebookcentral.proquest.com/lib/NKNU/detail.action?docID=312343</t>
  </si>
  <si>
    <t>https://ebookcentral.proquest.com/lib/NKNU/detail.action?docID=312348</t>
  </si>
  <si>
    <t>https://ebookcentral.proquest.com/lib/NKNU/detail.action?docID=312349</t>
  </si>
  <si>
    <t>https://ebookcentral.proquest.com/lib/NKNU/detail.action?docID=312355</t>
  </si>
  <si>
    <t>https://ebookcentral.proquest.com/lib/NKNU/detail.action?docID=312360</t>
  </si>
  <si>
    <t>https://ebookcentral.proquest.com/lib/NKNU/detail.action?docID=312363</t>
  </si>
  <si>
    <t>https://ebookcentral.proquest.com/lib/NKNU/detail.action?docID=312368</t>
  </si>
  <si>
    <t>https://ebookcentral.proquest.com/lib/NKNU/detail.action?docID=312384</t>
  </si>
  <si>
    <t>https://ebookcentral.proquest.com/lib/NKNU/detail.action?docID=312388</t>
  </si>
  <si>
    <t>https://ebookcentral.proquest.com/lib/NKNU/detail.action?docID=312395</t>
  </si>
  <si>
    <t>https://ebookcentral.proquest.com/lib/NKNU/detail.action?docID=312397</t>
  </si>
  <si>
    <t>https://ebookcentral.proquest.com/lib/NKNU/detail.action?docID=312631</t>
  </si>
  <si>
    <t>https://ebookcentral.proquest.com/lib/NKNU/detail.action?docID=312698</t>
  </si>
  <si>
    <t>https://ebookcentral.proquest.com/lib/NKNU/detail.action?docID=312699</t>
  </si>
  <si>
    <t>https://ebookcentral.proquest.com/lib/NKNU/detail.action?docID=312701</t>
  </si>
  <si>
    <t>https://ebookcentral.proquest.com/lib/NKNU/detail.action?docID=312715</t>
  </si>
  <si>
    <t>https://ebookcentral.proquest.com/lib/NKNU/detail.action?docID=312774</t>
  </si>
  <si>
    <t>https://ebookcentral.proquest.com/lib/NKNU/detail.action?docID=312852</t>
  </si>
  <si>
    <t>https://ebookcentral.proquest.com/lib/NKNU/detail.action?docID=312875</t>
  </si>
  <si>
    <t>https://ebookcentral.proquest.com/lib/NKNU/detail.action?docID=312876</t>
  </si>
  <si>
    <t>https://ebookcentral.proquest.com/lib/NKNU/detail.action?docID=312877</t>
  </si>
  <si>
    <t>https://ebookcentral.proquest.com/lib/NKNU/detail.action?docID=312878</t>
  </si>
  <si>
    <t>https://ebookcentral.proquest.com/lib/NKNU/detail.action?docID=312897</t>
  </si>
  <si>
    <t>https://ebookcentral.proquest.com/lib/NKNU/detail.action?docID=312898</t>
  </si>
  <si>
    <t>https://ebookcentral.proquest.com/lib/NKNU/detail.action?docID=312900</t>
  </si>
  <si>
    <t>https://ebookcentral.proquest.com/lib/NKNU/detail.action?docID=312901</t>
  </si>
  <si>
    <t>https://ebookcentral.proquest.com/lib/NKNU/detail.action?docID=312903</t>
  </si>
  <si>
    <t>https://ebookcentral.proquest.com/lib/NKNU/detail.action?docID=312906</t>
  </si>
  <si>
    <t>https://ebookcentral.proquest.com/lib/NKNU/detail.action?docID=312908</t>
  </si>
  <si>
    <t>https://ebookcentral.proquest.com/lib/NKNU/detail.action?docID=312909</t>
  </si>
  <si>
    <t>https://ebookcentral.proquest.com/lib/NKNU/detail.action?docID=312959</t>
  </si>
  <si>
    <t>https://ebookcentral.proquest.com/lib/NKNU/detail.action?docID=312960</t>
  </si>
  <si>
    <t>https://ebookcentral.proquest.com/lib/NKNU/detail.action?docID=312961</t>
  </si>
  <si>
    <t>https://ebookcentral.proquest.com/lib/NKNU/detail.action?docID=313055</t>
  </si>
  <si>
    <t>https://ebookcentral.proquest.com/lib/NKNU/detail.action?docID=313057</t>
  </si>
  <si>
    <t>https://ebookcentral.proquest.com/lib/NKNU/detail.action?docID=313180</t>
  </si>
  <si>
    <t>https://ebookcentral.proquest.com/lib/NKNU/detail.action?docID=313181</t>
  </si>
  <si>
    <t>https://ebookcentral.proquest.com/lib/NKNU/detail.action?docID=313182</t>
  </si>
  <si>
    <t>https://ebookcentral.proquest.com/lib/NKNU/detail.action?docID=313183</t>
  </si>
  <si>
    <t>https://ebookcentral.proquest.com/lib/NKNU/detail.action?docID=313184</t>
  </si>
  <si>
    <t>https://ebookcentral.proquest.com/lib/NKNU/detail.action?docID=313187</t>
  </si>
  <si>
    <t>https://ebookcentral.proquest.com/lib/NKNU/detail.action?docID=313189</t>
  </si>
  <si>
    <t>https://ebookcentral.proquest.com/lib/NKNU/detail.action?docID=313190</t>
  </si>
  <si>
    <t>https://ebookcentral.proquest.com/lib/NKNU/detail.action?docID=313193</t>
  </si>
  <si>
    <t>https://ebookcentral.proquest.com/lib/NKNU/detail.action?docID=313244</t>
  </si>
  <si>
    <t>https://ebookcentral.proquest.com/lib/NKNU/detail.action?docID=313297</t>
  </si>
  <si>
    <t>https://ebookcentral.proquest.com/lib/NKNU/detail.action?docID=313299</t>
  </si>
  <si>
    <t>https://ebookcentral.proquest.com/lib/NKNU/detail.action?docID=313303</t>
  </si>
  <si>
    <t>https://ebookcentral.proquest.com/lib/NKNU/detail.action?docID=313307</t>
  </si>
  <si>
    <t>https://ebookcentral.proquest.com/lib/NKNU/detail.action?docID=313309</t>
  </si>
  <si>
    <t>https://ebookcentral.proquest.com/lib/NKNU/detail.action?docID=313310</t>
  </si>
  <si>
    <t>https://ebookcentral.proquest.com/lib/NKNU/detail.action?docID=313314</t>
  </si>
  <si>
    <t>https://ebookcentral.proquest.com/lib/NKNU/detail.action?docID=313317</t>
  </si>
  <si>
    <t>https://ebookcentral.proquest.com/lib/NKNU/detail.action?docID=313319</t>
  </si>
  <si>
    <t>https://ebookcentral.proquest.com/lib/NKNU/detail.action?docID=313329</t>
  </si>
  <si>
    <t>https://ebookcentral.proquest.com/lib/NKNU/detail.action?docID=313332</t>
  </si>
  <si>
    <t>https://ebookcentral.proquest.com/lib/NKNU/detail.action?docID=313333</t>
  </si>
  <si>
    <t>https://ebookcentral.proquest.com/lib/NKNU/detail.action?docID=313335</t>
  </si>
  <si>
    <t>https://ebookcentral.proquest.com/lib/NKNU/detail.action?docID=313336</t>
  </si>
  <si>
    <t>https://ebookcentral.proquest.com/lib/NKNU/detail.action?docID=313338</t>
  </si>
  <si>
    <t>https://ebookcentral.proquest.com/lib/NKNU/detail.action?docID=313589</t>
  </si>
  <si>
    <t>https://ebookcentral.proquest.com/lib/NKNU/detail.action?docID=313806</t>
  </si>
  <si>
    <t>https://ebookcentral.proquest.com/lib/NKNU/detail.action?docID=314051</t>
  </si>
  <si>
    <t>https://ebookcentral.proquest.com/lib/NKNU/detail.action?docID=314061</t>
  </si>
  <si>
    <t>https://ebookcentral.proquest.com/lib/NKNU/detail.action?docID=314078</t>
  </si>
  <si>
    <t>https://ebookcentral.proquest.com/lib/NKNU/detail.action?docID=314085</t>
  </si>
  <si>
    <t>https://ebookcentral.proquest.com/lib/NKNU/detail.action?docID=314086</t>
  </si>
  <si>
    <t>https://ebookcentral.proquest.com/lib/NKNU/detail.action?docID=314090</t>
  </si>
  <si>
    <t>https://ebookcentral.proquest.com/lib/NKNU/detail.action?docID=314094</t>
  </si>
  <si>
    <t>https://ebookcentral.proquest.com/lib/NKNU/detail.action?docID=314259</t>
  </si>
  <si>
    <t>https://ebookcentral.proquest.com/lib/NKNU/detail.action?docID=314281</t>
  </si>
  <si>
    <t>https://ebookcentral.proquest.com/lib/NKNU/detail.action?docID=314282</t>
  </si>
  <si>
    <t>https://ebookcentral.proquest.com/lib/NKNU/detail.action?docID=314283</t>
  </si>
  <si>
    <t>https://ebookcentral.proquest.com/lib/NKNU/detail.action?docID=314284</t>
  </si>
  <si>
    <t>https://ebookcentral.proquest.com/lib/NKNU/detail.action?docID=314287</t>
  </si>
  <si>
    <t>https://ebookcentral.proquest.com/lib/NKNU/detail.action?docID=314288</t>
  </si>
  <si>
    <t>https://ebookcentral.proquest.com/lib/NKNU/detail.action?docID=314291</t>
  </si>
  <si>
    <t>https://ebookcentral.proquest.com/lib/NKNU/detail.action?docID=315007</t>
  </si>
  <si>
    <t>https://ebookcentral.proquest.com/lib/NKNU/detail.action?docID=315009</t>
  </si>
  <si>
    <t>https://ebookcentral.proquest.com/lib/NKNU/detail.action?docID=315013</t>
  </si>
  <si>
    <t>https://ebookcentral.proquest.com/lib/NKNU/detail.action?docID=315014</t>
  </si>
  <si>
    <t>https://ebookcentral.proquest.com/lib/NKNU/detail.action?docID=315091</t>
  </si>
  <si>
    <t>https://ebookcentral.proquest.com/lib/NKNU/detail.action?docID=315094</t>
  </si>
  <si>
    <t>https://ebookcentral.proquest.com/lib/NKNU/detail.action?docID=315095</t>
  </si>
  <si>
    <t>https://ebookcentral.proquest.com/lib/NKNU/detail.action?docID=315096</t>
  </si>
  <si>
    <t>https://ebookcentral.proquest.com/lib/NKNU/detail.action?docID=315153</t>
  </si>
  <si>
    <t>https://ebookcentral.proquest.com/lib/NKNU/detail.action?docID=315769</t>
  </si>
  <si>
    <t>https://ebookcentral.proquest.com/lib/NKNU/detail.action?docID=316101</t>
  </si>
  <si>
    <t>https://ebookcentral.proquest.com/lib/NKNU/detail.action?docID=316244</t>
  </si>
  <si>
    <t>https://ebookcentral.proquest.com/lib/NKNU/detail.action?docID=316246</t>
  </si>
  <si>
    <t>https://ebookcentral.proquest.com/lib/NKNU/detail.action?docID=316247</t>
  </si>
  <si>
    <t>https://ebookcentral.proquest.com/lib/NKNU/detail.action?docID=316261</t>
  </si>
  <si>
    <t>https://ebookcentral.proquest.com/lib/NKNU/detail.action?docID=316262</t>
  </si>
  <si>
    <t>https://ebookcentral.proquest.com/lib/NKNU/detail.action?docID=316263</t>
  </si>
  <si>
    <t>https://ebookcentral.proquest.com/lib/NKNU/detail.action?docID=316269</t>
  </si>
  <si>
    <t>https://ebookcentral.proquest.com/lib/NKNU/detail.action?docID=316273</t>
  </si>
  <si>
    <t>https://ebookcentral.proquest.com/lib/NKNU/detail.action?docID=316294</t>
  </si>
  <si>
    <t>https://ebookcentral.proquest.com/lib/NKNU/detail.action?docID=316296</t>
  </si>
  <si>
    <t>https://ebookcentral.proquest.com/lib/NKNU/detail.action?docID=316300</t>
  </si>
  <si>
    <t>https://ebookcentral.proquest.com/lib/NKNU/detail.action?docID=316303</t>
  </si>
  <si>
    <t>https://ebookcentral.proquest.com/lib/NKNU/detail.action?docID=316307</t>
  </si>
  <si>
    <t>https://ebookcentral.proquest.com/lib/NKNU/detail.action?docID=316309</t>
  </si>
  <si>
    <t>https://ebookcentral.proquest.com/lib/NKNU/detail.action?docID=316314</t>
  </si>
  <si>
    <t>https://ebookcentral.proquest.com/lib/NKNU/detail.action?docID=316319</t>
  </si>
  <si>
    <t>https://ebookcentral.proquest.com/lib/NKNU/detail.action?docID=316323</t>
  </si>
  <si>
    <t>https://ebookcentral.proquest.com/lib/NKNU/detail.action?docID=316375</t>
  </si>
  <si>
    <t>https://ebookcentral.proquest.com/lib/NKNU/detail.action?docID=316384</t>
  </si>
  <si>
    <t>https://ebookcentral.proquest.com/lib/NKNU/detail.action?docID=316406</t>
  </si>
  <si>
    <t>https://ebookcentral.proquest.com/lib/NKNU/detail.action?docID=316426</t>
  </si>
  <si>
    <t>https://ebookcentral.proquest.com/lib/NKNU/detail.action?docID=316454</t>
  </si>
  <si>
    <t>https://ebookcentral.proquest.com/lib/NKNU/detail.action?docID=316460</t>
  </si>
  <si>
    <t>https://ebookcentral.proquest.com/lib/NKNU/detail.action?docID=316464</t>
  </si>
  <si>
    <t>https://ebookcentral.proquest.com/lib/NKNU/detail.action?docID=316716</t>
  </si>
  <si>
    <t>https://ebookcentral.proquest.com/lib/NKNU/detail.action?docID=316793</t>
  </si>
  <si>
    <t>https://ebookcentral.proquest.com/lib/NKNU/detail.action?docID=316796</t>
  </si>
  <si>
    <t>https://ebookcentral.proquest.com/lib/NKNU/detail.action?docID=316980</t>
  </si>
  <si>
    <t>https://ebookcentral.proquest.com/lib/NKNU/detail.action?docID=317074</t>
  </si>
  <si>
    <t>https://ebookcentral.proquest.com/lib/NKNU/detail.action?docID=317076</t>
  </si>
  <si>
    <t>https://ebookcentral.proquest.com/lib/NKNU/detail.action?docID=317467</t>
  </si>
  <si>
    <t>https://ebookcentral.proquest.com/lib/NKNU/detail.action?docID=317933</t>
  </si>
  <si>
    <t>https://ebookcentral.proquest.com/lib/NKNU/detail.action?docID=317934</t>
  </si>
  <si>
    <t>https://ebookcentral.proquest.com/lib/NKNU/detail.action?docID=318183</t>
  </si>
  <si>
    <t>https://ebookcentral.proquest.com/lib/NKNU/detail.action?docID=318275</t>
  </si>
  <si>
    <t>https://ebookcentral.proquest.com/lib/NKNU/detail.action?docID=318330</t>
  </si>
  <si>
    <t>https://ebookcentral.proquest.com/lib/NKNU/detail.action?docID=318572</t>
  </si>
  <si>
    <t>https://ebookcentral.proquest.com/lib/NKNU/detail.action?docID=318589</t>
  </si>
  <si>
    <t>https://ebookcentral.proquest.com/lib/NKNU/detail.action?docID=318591</t>
  </si>
  <si>
    <t>https://ebookcentral.proquest.com/lib/NKNU/detail.action?docID=318592</t>
  </si>
  <si>
    <t>https://ebookcentral.proquest.com/lib/NKNU/detail.action?docID=318593</t>
  </si>
  <si>
    <t>https://ebookcentral.proquest.com/lib/NKNU/detail.action?docID=318662</t>
  </si>
  <si>
    <t>https://ebookcentral.proquest.com/lib/NKNU/detail.action?docID=318689</t>
  </si>
  <si>
    <t>https://ebookcentral.proquest.com/lib/NKNU/detail.action?docID=318705</t>
  </si>
  <si>
    <t>https://ebookcentral.proquest.com/lib/NKNU/detail.action?docID=318709</t>
  </si>
  <si>
    <t>https://ebookcentral.proquest.com/lib/NKNU/detail.action?docID=318739</t>
  </si>
  <si>
    <t>https://ebookcentral.proquest.com/lib/NKNU/detail.action?docID=319110</t>
  </si>
  <si>
    <t>https://ebookcentral.proquest.com/lib/NKNU/detail.action?docID=319175</t>
  </si>
  <si>
    <t>https://ebookcentral.proquest.com/lib/NKNU/detail.action?docID=319199</t>
  </si>
  <si>
    <t>https://ebookcentral.proquest.com/lib/NKNU/detail.action?docID=319234</t>
  </si>
  <si>
    <t>https://ebookcentral.proquest.com/lib/NKNU/detail.action?docID=319247</t>
  </si>
  <si>
    <t>https://ebookcentral.proquest.com/lib/NKNU/detail.action?docID=319252</t>
  </si>
  <si>
    <t>https://ebookcentral.proquest.com/lib/NKNU/detail.action?docID=319365</t>
  </si>
  <si>
    <t>https://ebookcentral.proquest.com/lib/NKNU/detail.action?docID=319368</t>
  </si>
  <si>
    <t>https://ebookcentral.proquest.com/lib/NKNU/detail.action?docID=319369</t>
  </si>
  <si>
    <t>https://ebookcentral.proquest.com/lib/NKNU/detail.action?docID=319371</t>
  </si>
  <si>
    <t>https://ebookcentral.proquest.com/lib/NKNU/detail.action?docID=319374</t>
  </si>
  <si>
    <t>https://ebookcentral.proquest.com/lib/NKNU/detail.action?docID=319375</t>
  </si>
  <si>
    <t>https://ebookcentral.proquest.com/lib/NKNU/detail.action?docID=319660</t>
  </si>
  <si>
    <t>https://ebookcentral.proquest.com/lib/NKNU/detail.action?docID=319662</t>
  </si>
  <si>
    <t>https://ebookcentral.proquest.com/lib/NKNU/detail.action?docID=319665</t>
  </si>
  <si>
    <t>https://ebookcentral.proquest.com/lib/NKNU/detail.action?docID=319666</t>
  </si>
  <si>
    <t>https://ebookcentral.proquest.com/lib/NKNU/detail.action?docID=319671</t>
  </si>
  <si>
    <t>https://ebookcentral.proquest.com/lib/NKNU/detail.action?docID=319675</t>
  </si>
  <si>
    <t>https://ebookcentral.proquest.com/lib/NKNU/detail.action?docID=319677</t>
  </si>
  <si>
    <t>https://ebookcentral.proquest.com/lib/NKNU/detail.action?docID=319679</t>
  </si>
  <si>
    <t>https://ebookcentral.proquest.com/lib/NKNU/detail.action?docID=319680</t>
  </si>
  <si>
    <t>https://ebookcentral.proquest.com/lib/NKNU/detail.action?docID=319681</t>
  </si>
  <si>
    <t>https://ebookcentral.proquest.com/lib/NKNU/detail.action?docID=319682</t>
  </si>
  <si>
    <t>https://ebookcentral.proquest.com/lib/NKNU/detail.action?docID=319685</t>
  </si>
  <si>
    <t>https://ebookcentral.proquest.com/lib/NKNU/detail.action?docID=319686</t>
  </si>
  <si>
    <t>https://ebookcentral.proquest.com/lib/NKNU/detail.action?docID=320187</t>
  </si>
  <si>
    <t>https://ebookcentral.proquest.com/lib/NKNU/detail.action?docID=320199</t>
  </si>
  <si>
    <t>https://ebookcentral.proquest.com/lib/NKNU/detail.action?docID=320200</t>
  </si>
  <si>
    <t>https://ebookcentral.proquest.com/lib/NKNU/detail.action?docID=320205</t>
  </si>
  <si>
    <t>https://ebookcentral.proquest.com/lib/NKNU/detail.action?docID=320206</t>
  </si>
  <si>
    <t>https://ebookcentral.proquest.com/lib/NKNU/detail.action?docID=320207</t>
  </si>
  <si>
    <t>https://ebookcentral.proquest.com/lib/NKNU/detail.action?docID=320208</t>
  </si>
  <si>
    <t>https://ebookcentral.proquest.com/lib/NKNU/detail.action?docID=320212</t>
  </si>
  <si>
    <t>https://ebookcentral.proquest.com/lib/NKNU/detail.action?docID=320218</t>
  </si>
  <si>
    <t>https://ebookcentral.proquest.com/lib/NKNU/detail.action?docID=320219</t>
  </si>
  <si>
    <t>https://ebookcentral.proquest.com/lib/NKNU/detail.action?docID=320222</t>
  </si>
  <si>
    <t>https://ebookcentral.proquest.com/lib/NKNU/detail.action?docID=320231</t>
  </si>
  <si>
    <t>https://ebookcentral.proquest.com/lib/NKNU/detail.action?docID=320234</t>
  </si>
  <si>
    <t>https://ebookcentral.proquest.com/lib/NKNU/detail.action?docID=320252</t>
  </si>
  <si>
    <t>https://ebookcentral.proquest.com/lib/NKNU/detail.action?docID=320268</t>
  </si>
  <si>
    <t>https://ebookcentral.proquest.com/lib/NKNU/detail.action?docID=320286</t>
  </si>
  <si>
    <t>https://ebookcentral.proquest.com/lib/NKNU/detail.action?docID=320287</t>
  </si>
  <si>
    <t>https://ebookcentral.proquest.com/lib/NKNU/detail.action?docID=320289</t>
  </si>
  <si>
    <t>https://ebookcentral.proquest.com/lib/NKNU/detail.action?docID=320439</t>
  </si>
  <si>
    <t>https://ebookcentral.proquest.com/lib/NKNU/detail.action?docID=320440</t>
  </si>
  <si>
    <t>https://ebookcentral.proquest.com/lib/NKNU/detail.action?docID=320442</t>
  </si>
  <si>
    <t>https://ebookcentral.proquest.com/lib/NKNU/detail.action?docID=320443</t>
  </si>
  <si>
    <t>https://ebookcentral.proquest.com/lib/NKNU/detail.action?docID=320448</t>
  </si>
  <si>
    <t>https://ebookcentral.proquest.com/lib/NKNU/detail.action?docID=320568</t>
  </si>
  <si>
    <t>https://ebookcentral.proquest.com/lib/NKNU/detail.action?docID=320571</t>
  </si>
  <si>
    <t>https://ebookcentral.proquest.com/lib/NKNU/detail.action?docID=320573</t>
  </si>
  <si>
    <t>https://ebookcentral.proquest.com/lib/NKNU/detail.action?docID=320574</t>
  </si>
  <si>
    <t>https://ebookcentral.proquest.com/lib/NKNU/detail.action?docID=320575</t>
  </si>
  <si>
    <t>https://ebookcentral.proquest.com/lib/NKNU/detail.action?docID=320576</t>
  </si>
  <si>
    <t>https://ebookcentral.proquest.com/lib/NKNU/detail.action?docID=320578</t>
  </si>
  <si>
    <t>https://ebookcentral.proquest.com/lib/NKNU/detail.action?docID=320580</t>
  </si>
  <si>
    <t>https://ebookcentral.proquest.com/lib/NKNU/detail.action?docID=320582</t>
  </si>
  <si>
    <t>https://ebookcentral.proquest.com/lib/NKNU/detail.action?docID=320584</t>
  </si>
  <si>
    <t>https://ebookcentral.proquest.com/lib/NKNU/detail.action?docID=320585</t>
  </si>
  <si>
    <t>https://ebookcentral.proquest.com/lib/NKNU/detail.action?docID=320588</t>
  </si>
  <si>
    <t>https://ebookcentral.proquest.com/lib/NKNU/detail.action?docID=320591</t>
  </si>
  <si>
    <t>https://ebookcentral.proquest.com/lib/NKNU/detail.action?docID=320593</t>
  </si>
  <si>
    <t>https://ebookcentral.proquest.com/lib/NKNU/detail.action?docID=320598</t>
  </si>
  <si>
    <t>https://ebookcentral.proquest.com/lib/NKNU/detail.action?docID=320603</t>
  </si>
  <si>
    <t>https://ebookcentral.proquest.com/lib/NKNU/detail.action?docID=320605</t>
  </si>
  <si>
    <t>https://ebookcentral.proquest.com/lib/NKNU/detail.action?docID=320617</t>
  </si>
  <si>
    <t>https://ebookcentral.proquest.com/lib/NKNU/detail.action?docID=320621</t>
  </si>
  <si>
    <t>https://ebookcentral.proquest.com/lib/NKNU/detail.action?docID=320624</t>
  </si>
  <si>
    <t>https://ebookcentral.proquest.com/lib/NKNU/detail.action?docID=320630</t>
  </si>
  <si>
    <t>https://ebookcentral.proquest.com/lib/NKNU/detail.action?docID=320643</t>
  </si>
  <si>
    <t>https://ebookcentral.proquest.com/lib/NKNU/detail.action?docID=320647</t>
  </si>
  <si>
    <t>https://ebookcentral.proquest.com/lib/NKNU/detail.action?docID=320650</t>
  </si>
  <si>
    <t>https://ebookcentral.proquest.com/lib/NKNU/detail.action?docID=320655</t>
  </si>
  <si>
    <t>https://ebookcentral.proquest.com/lib/NKNU/detail.action?docID=320656</t>
  </si>
  <si>
    <t>https://ebookcentral.proquest.com/lib/NKNU/detail.action?docID=320657</t>
  </si>
  <si>
    <t>https://ebookcentral.proquest.com/lib/NKNU/detail.action?docID=320658</t>
  </si>
  <si>
    <t>https://ebookcentral.proquest.com/lib/NKNU/detail.action?docID=320660</t>
  </si>
  <si>
    <t>https://ebookcentral.proquest.com/lib/NKNU/detail.action?docID=320661</t>
  </si>
  <si>
    <t>https://ebookcentral.proquest.com/lib/NKNU/detail.action?docID=320662</t>
  </si>
  <si>
    <t>https://ebookcentral.proquest.com/lib/NKNU/detail.action?docID=320665</t>
  </si>
  <si>
    <t>https://ebookcentral.proquest.com/lib/NKNU/detail.action?docID=320667</t>
  </si>
  <si>
    <t>https://ebookcentral.proquest.com/lib/NKNU/detail.action?docID=320670</t>
  </si>
  <si>
    <t>https://ebookcentral.proquest.com/lib/NKNU/detail.action?docID=320671</t>
  </si>
  <si>
    <t>https://ebookcentral.proquest.com/lib/NKNU/detail.action?docID=320672</t>
  </si>
  <si>
    <t>https://ebookcentral.proquest.com/lib/NKNU/detail.action?docID=320673</t>
  </si>
  <si>
    <t>https://ebookcentral.proquest.com/lib/NKNU/detail.action?docID=320675</t>
  </si>
  <si>
    <t>https://ebookcentral.proquest.com/lib/NKNU/detail.action?docID=320676</t>
  </si>
  <si>
    <t>https://ebookcentral.proquest.com/lib/NKNU/detail.action?docID=320684</t>
  </si>
  <si>
    <t>https://ebookcentral.proquest.com/lib/NKNU/detail.action?docID=320689</t>
  </si>
  <si>
    <t>https://ebookcentral.proquest.com/lib/NKNU/detail.action?docID=320824</t>
  </si>
  <si>
    <t>https://ebookcentral.proquest.com/lib/NKNU/detail.action?docID=321068</t>
  </si>
  <si>
    <t>https://ebookcentral.proquest.com/lib/NKNU/detail.action?docID=321090</t>
  </si>
  <si>
    <t>https://ebookcentral.proquest.com/lib/NKNU/detail.action?docID=321115</t>
  </si>
  <si>
    <t>https://ebookcentral.proquest.com/lib/NKNU/detail.action?docID=321116</t>
  </si>
  <si>
    <t>https://ebookcentral.proquest.com/lib/NKNU/detail.action?docID=321136</t>
  </si>
  <si>
    <t>https://ebookcentral.proquest.com/lib/NKNU/detail.action?docID=321539</t>
  </si>
  <si>
    <t>https://ebookcentral.proquest.com/lib/NKNU/detail.action?docID=322119</t>
  </si>
  <si>
    <t>https://ebookcentral.proquest.com/lib/NKNU/detail.action?docID=322122</t>
  </si>
  <si>
    <t>https://ebookcentral.proquest.com/lib/NKNU/detail.action?docID=322129</t>
  </si>
  <si>
    <t>https://ebookcentral.proquest.com/lib/NKNU/detail.action?docID=322131</t>
  </si>
  <si>
    <t>https://ebookcentral.proquest.com/lib/NKNU/detail.action?docID=322134</t>
  </si>
  <si>
    <t>https://ebookcentral.proquest.com/lib/NKNU/detail.action?docID=322135</t>
  </si>
  <si>
    <t>https://ebookcentral.proquest.com/lib/NKNU/detail.action?docID=322341</t>
  </si>
  <si>
    <t>https://ebookcentral.proquest.com/lib/NKNU/detail.action?docID=322356</t>
  </si>
  <si>
    <t>https://ebookcentral.proquest.com/lib/NKNU/detail.action?docID=322423</t>
  </si>
  <si>
    <t>https://ebookcentral.proquest.com/lib/NKNU/detail.action?docID=322442</t>
  </si>
  <si>
    <t>https://ebookcentral.proquest.com/lib/NKNU/detail.action?docID=322452</t>
  </si>
  <si>
    <t>https://ebookcentral.proquest.com/lib/NKNU/detail.action?docID=322461</t>
  </si>
  <si>
    <t>https://ebookcentral.proquest.com/lib/NKNU/detail.action?docID=322470</t>
  </si>
  <si>
    <t>https://ebookcentral.proquest.com/lib/NKNU/detail.action?docID=322532</t>
  </si>
  <si>
    <t>https://ebookcentral.proquest.com/lib/NKNU/detail.action?docID=322569</t>
  </si>
  <si>
    <t>https://ebookcentral.proquest.com/lib/NKNU/detail.action?docID=322587</t>
  </si>
  <si>
    <t>https://ebookcentral.proquest.com/lib/NKNU/detail.action?docID=322596</t>
  </si>
  <si>
    <t>https://ebookcentral.proquest.com/lib/NKNU/detail.action?docID=322941</t>
  </si>
  <si>
    <t>https://ebookcentral.proquest.com/lib/NKNU/detail.action?docID=322942</t>
  </si>
  <si>
    <t>https://ebookcentral.proquest.com/lib/NKNU/detail.action?docID=322943</t>
  </si>
  <si>
    <t>https://ebookcentral.proquest.com/lib/NKNU/detail.action?docID=324843</t>
  </si>
  <si>
    <t>https://ebookcentral.proquest.com/lib/NKNU/detail.action?docID=324844</t>
  </si>
  <si>
    <t>https://ebookcentral.proquest.com/lib/NKNU/detail.action?docID=324846</t>
  </si>
  <si>
    <t>https://ebookcentral.proquest.com/lib/NKNU/detail.action?docID=324847</t>
  </si>
  <si>
    <t>https://ebookcentral.proquest.com/lib/NKNU/detail.action?docID=324848</t>
  </si>
  <si>
    <t>https://ebookcentral.proquest.com/lib/NKNU/detail.action?docID=324852</t>
  </si>
  <si>
    <t>https://ebookcentral.proquest.com/lib/NKNU/detail.action?docID=324863</t>
  </si>
  <si>
    <t>https://ebookcentral.proquest.com/lib/NKNU/detail.action?docID=324864</t>
  </si>
  <si>
    <t>https://ebookcentral.proquest.com/lib/NKNU/detail.action?docID=324865</t>
  </si>
  <si>
    <t>https://ebookcentral.proquest.com/lib/NKNU/detail.action?docID=324866</t>
  </si>
  <si>
    <t>https://ebookcentral.proquest.com/lib/NKNU/detail.action?docID=324871</t>
  </si>
  <si>
    <t>https://ebookcentral.proquest.com/lib/NKNU/detail.action?docID=324874</t>
  </si>
  <si>
    <t>https://ebookcentral.proquest.com/lib/NKNU/detail.action?docID=324877</t>
  </si>
  <si>
    <t>https://ebookcentral.proquest.com/lib/NKNU/detail.action?docID=324883</t>
  </si>
  <si>
    <t>https://ebookcentral.proquest.com/lib/NKNU/detail.action?docID=324886</t>
  </si>
  <si>
    <t>https://ebookcentral.proquest.com/lib/NKNU/detail.action?docID=324887</t>
  </si>
  <si>
    <t>https://ebookcentral.proquest.com/lib/NKNU/detail.action?docID=324888</t>
  </si>
  <si>
    <t>https://ebookcentral.proquest.com/lib/NKNU/detail.action?docID=324889</t>
  </si>
  <si>
    <t>https://ebookcentral.proquest.com/lib/NKNU/detail.action?docID=324892</t>
  </si>
  <si>
    <t>https://ebookcentral.proquest.com/lib/NKNU/detail.action?docID=324894</t>
  </si>
  <si>
    <t>https://ebookcentral.proquest.com/lib/NKNU/detail.action?docID=324895</t>
  </si>
  <si>
    <t>https://ebookcentral.proquest.com/lib/NKNU/detail.action?docID=324896</t>
  </si>
  <si>
    <t>https://ebookcentral.proquest.com/lib/NKNU/detail.action?docID=324899</t>
  </si>
  <si>
    <t>https://ebookcentral.proquest.com/lib/NKNU/detail.action?docID=324900</t>
  </si>
  <si>
    <t>https://ebookcentral.proquest.com/lib/NKNU/detail.action?docID=324904</t>
  </si>
  <si>
    <t>https://ebookcentral.proquest.com/lib/NKNU/detail.action?docID=324905</t>
  </si>
  <si>
    <t>https://ebookcentral.proquest.com/lib/NKNU/detail.action?docID=324906</t>
  </si>
  <si>
    <t>https://ebookcentral.proquest.com/lib/NKNU/detail.action?docID=324908</t>
  </si>
  <si>
    <t>https://ebookcentral.proquest.com/lib/NKNU/detail.action?docID=324910</t>
  </si>
  <si>
    <t>https://ebookcentral.proquest.com/lib/NKNU/detail.action?docID=324912</t>
  </si>
  <si>
    <t>https://ebookcentral.proquest.com/lib/NKNU/detail.action?docID=324913</t>
  </si>
  <si>
    <t>https://ebookcentral.proquest.com/lib/NKNU/detail.action?docID=324915</t>
  </si>
  <si>
    <t>https://ebookcentral.proquest.com/lib/NKNU/detail.action?docID=324916</t>
  </si>
  <si>
    <t>https://ebookcentral.proquest.com/lib/NKNU/detail.action?docID=324921</t>
  </si>
  <si>
    <t>https://ebookcentral.proquest.com/lib/NKNU/detail.action?docID=324924</t>
  </si>
  <si>
    <t>https://ebookcentral.proquest.com/lib/NKNU/detail.action?docID=324925</t>
  </si>
  <si>
    <t>https://ebookcentral.proquest.com/lib/NKNU/detail.action?docID=324926</t>
  </si>
  <si>
    <t>https://ebookcentral.proquest.com/lib/NKNU/detail.action?docID=324927</t>
  </si>
  <si>
    <t>https://ebookcentral.proquest.com/lib/NKNU/detail.action?docID=324929</t>
  </si>
  <si>
    <t>https://ebookcentral.proquest.com/lib/NKNU/detail.action?docID=324933</t>
  </si>
  <si>
    <t>https://ebookcentral.proquest.com/lib/NKNU/detail.action?docID=324939</t>
  </si>
  <si>
    <t>https://ebookcentral.proquest.com/lib/NKNU/detail.action?docID=324943</t>
  </si>
  <si>
    <t>https://ebookcentral.proquest.com/lib/NKNU/detail.action?docID=324944</t>
  </si>
  <si>
    <t>https://ebookcentral.proquest.com/lib/NKNU/detail.action?docID=324951</t>
  </si>
  <si>
    <t>https://ebookcentral.proquest.com/lib/NKNU/detail.action?docID=324952</t>
  </si>
  <si>
    <t>https://ebookcentral.proquest.com/lib/NKNU/detail.action?docID=324953</t>
  </si>
  <si>
    <t>https://ebookcentral.proquest.com/lib/NKNU/detail.action?docID=324954</t>
  </si>
  <si>
    <t>https://ebookcentral.proquest.com/lib/NKNU/detail.action?docID=324955</t>
  </si>
  <si>
    <t>https://ebookcentral.proquest.com/lib/NKNU/detail.action?docID=324958</t>
  </si>
  <si>
    <t>https://ebookcentral.proquest.com/lib/NKNU/detail.action?docID=324962</t>
  </si>
  <si>
    <t>https://ebookcentral.proquest.com/lib/NKNU/detail.action?docID=324963</t>
  </si>
  <si>
    <t>https://ebookcentral.proquest.com/lib/NKNU/detail.action?docID=324964</t>
  </si>
  <si>
    <t>https://ebookcentral.proquest.com/lib/NKNU/detail.action?docID=324965</t>
  </si>
  <si>
    <t>https://ebookcentral.proquest.com/lib/NKNU/detail.action?docID=324966</t>
  </si>
  <si>
    <t>https://ebookcentral.proquest.com/lib/NKNU/detail.action?docID=324972</t>
  </si>
  <si>
    <t>https://ebookcentral.proquest.com/lib/NKNU/detail.action?docID=324973</t>
  </si>
  <si>
    <t>https://ebookcentral.proquest.com/lib/NKNU/detail.action?docID=324975</t>
  </si>
  <si>
    <t>https://ebookcentral.proquest.com/lib/NKNU/detail.action?docID=324976</t>
  </si>
  <si>
    <t>https://ebookcentral.proquest.com/lib/NKNU/detail.action?docID=324977</t>
  </si>
  <si>
    <t>https://ebookcentral.proquest.com/lib/NKNU/detail.action?docID=324980</t>
  </si>
  <si>
    <t>https://ebookcentral.proquest.com/lib/NKNU/detail.action?docID=324981</t>
  </si>
  <si>
    <t>https://ebookcentral.proquest.com/lib/NKNU/detail.action?docID=324990</t>
  </si>
  <si>
    <t>https://ebookcentral.proquest.com/lib/NKNU/detail.action?docID=324991</t>
  </si>
  <si>
    <t>https://ebookcentral.proquest.com/lib/NKNU/detail.action?docID=324993</t>
  </si>
  <si>
    <t>https://ebookcentral.proquest.com/lib/NKNU/detail.action?docID=324995</t>
  </si>
  <si>
    <t>https://ebookcentral.proquest.com/lib/NKNU/detail.action?docID=324996</t>
  </si>
  <si>
    <t>https://ebookcentral.proquest.com/lib/NKNU/detail.action?docID=324998</t>
  </si>
  <si>
    <t>https://ebookcentral.proquest.com/lib/NKNU/detail.action?docID=324999</t>
  </si>
  <si>
    <t>https://ebookcentral.proquest.com/lib/NKNU/detail.action?docID=325001</t>
  </si>
  <si>
    <t>https://ebookcentral.proquest.com/lib/NKNU/detail.action?docID=325003</t>
  </si>
  <si>
    <t>https://ebookcentral.proquest.com/lib/NKNU/detail.action?docID=325004</t>
  </si>
  <si>
    <t>https://ebookcentral.proquest.com/lib/NKNU/detail.action?docID=325005</t>
  </si>
  <si>
    <t>https://ebookcentral.proquest.com/lib/NKNU/detail.action?docID=325006</t>
  </si>
  <si>
    <t>https://ebookcentral.proquest.com/lib/NKNU/detail.action?docID=325010</t>
  </si>
  <si>
    <t>https://ebookcentral.proquest.com/lib/NKNU/detail.action?docID=325011</t>
  </si>
  <si>
    <t>https://ebookcentral.proquest.com/lib/NKNU/detail.action?docID=325012</t>
  </si>
  <si>
    <t>https://ebookcentral.proquest.com/lib/NKNU/detail.action?docID=325014</t>
  </si>
  <si>
    <t>https://ebookcentral.proquest.com/lib/NKNU/detail.action?docID=325016</t>
  </si>
  <si>
    <t>https://ebookcentral.proquest.com/lib/NKNU/detail.action?docID=325018</t>
  </si>
  <si>
    <t>https://ebookcentral.proquest.com/lib/NKNU/detail.action?docID=325019</t>
  </si>
  <si>
    <t>https://ebookcentral.proquest.com/lib/NKNU/detail.action?docID=325023</t>
  </si>
  <si>
    <t>https://ebookcentral.proquest.com/lib/NKNU/detail.action?docID=325025</t>
  </si>
  <si>
    <t>https://ebookcentral.proquest.com/lib/NKNU/detail.action?docID=325026</t>
  </si>
  <si>
    <t>https://ebookcentral.proquest.com/lib/NKNU/detail.action?docID=325027</t>
  </si>
  <si>
    <t>https://ebookcentral.proquest.com/lib/NKNU/detail.action?docID=325029</t>
  </si>
  <si>
    <t>https://ebookcentral.proquest.com/lib/NKNU/detail.action?docID=325031</t>
  </si>
  <si>
    <t>https://ebookcentral.proquest.com/lib/NKNU/detail.action?docID=325032</t>
  </si>
  <si>
    <t>https://ebookcentral.proquest.com/lib/NKNU/detail.action?docID=325036</t>
  </si>
  <si>
    <t>https://ebookcentral.proquest.com/lib/NKNU/detail.action?docID=325044</t>
  </si>
  <si>
    <t>https://ebookcentral.proquest.com/lib/NKNU/detail.action?docID=325045</t>
  </si>
  <si>
    <t>https://ebookcentral.proquest.com/lib/NKNU/detail.action?docID=325046</t>
  </si>
  <si>
    <t>https://ebookcentral.proquest.com/lib/NKNU/detail.action?docID=325050</t>
  </si>
  <si>
    <t>https://ebookcentral.proquest.com/lib/NKNU/detail.action?docID=325051</t>
  </si>
  <si>
    <t>https://ebookcentral.proquest.com/lib/NKNU/detail.action?docID=325052</t>
  </si>
  <si>
    <t>https://ebookcentral.proquest.com/lib/NKNU/detail.action?docID=325053</t>
  </si>
  <si>
    <t>https://ebookcentral.proquest.com/lib/NKNU/detail.action?docID=325055</t>
  </si>
  <si>
    <t>https://ebookcentral.proquest.com/lib/NKNU/detail.action?docID=325057</t>
  </si>
  <si>
    <t>https://ebookcentral.proquest.com/lib/NKNU/detail.action?docID=325059</t>
  </si>
  <si>
    <t>https://ebookcentral.proquest.com/lib/NKNU/detail.action?docID=325060</t>
  </si>
  <si>
    <t>https://ebookcentral.proquest.com/lib/NKNU/detail.action?docID=325062</t>
  </si>
  <si>
    <t>https://ebookcentral.proquest.com/lib/NKNU/detail.action?docID=325063</t>
  </si>
  <si>
    <t>https://ebookcentral.proquest.com/lib/NKNU/detail.action?docID=325065</t>
  </si>
  <si>
    <t>https://ebookcentral.proquest.com/lib/NKNU/detail.action?docID=325066</t>
  </si>
  <si>
    <t>https://ebookcentral.proquest.com/lib/NKNU/detail.action?docID=325067</t>
  </si>
  <si>
    <t>https://ebookcentral.proquest.com/lib/NKNU/detail.action?docID=325068</t>
  </si>
  <si>
    <t>https://ebookcentral.proquest.com/lib/NKNU/detail.action?docID=325069</t>
  </si>
  <si>
    <t>https://ebookcentral.proquest.com/lib/NKNU/detail.action?docID=325071</t>
  </si>
  <si>
    <t>https://ebookcentral.proquest.com/lib/NKNU/detail.action?docID=325073</t>
  </si>
  <si>
    <t>https://ebookcentral.proquest.com/lib/NKNU/detail.action?docID=325078</t>
  </si>
  <si>
    <t>https://ebookcentral.proquest.com/lib/NKNU/detail.action?docID=325079</t>
  </si>
  <si>
    <t>https://ebookcentral.proquest.com/lib/NKNU/detail.action?docID=325080</t>
  </si>
  <si>
    <t>https://ebookcentral.proquest.com/lib/NKNU/detail.action?docID=325081</t>
  </si>
  <si>
    <t>https://ebookcentral.proquest.com/lib/NKNU/detail.action?docID=325086</t>
  </si>
  <si>
    <t>https://ebookcentral.proquest.com/lib/NKNU/detail.action?docID=325087</t>
  </si>
  <si>
    <t>https://ebookcentral.proquest.com/lib/NKNU/detail.action?docID=325091</t>
  </si>
  <si>
    <t>https://ebookcentral.proquest.com/lib/NKNU/detail.action?docID=325093</t>
  </si>
  <si>
    <t>https://ebookcentral.proquest.com/lib/NKNU/detail.action?docID=325094</t>
  </si>
  <si>
    <t>https://ebookcentral.proquest.com/lib/NKNU/detail.action?docID=325095</t>
  </si>
  <si>
    <t>https://ebookcentral.proquest.com/lib/NKNU/detail.action?docID=325096</t>
  </si>
  <si>
    <t>https://ebookcentral.proquest.com/lib/NKNU/detail.action?docID=325101</t>
  </si>
  <si>
    <t>https://ebookcentral.proquest.com/lib/NKNU/detail.action?docID=325102</t>
  </si>
  <si>
    <t>https://ebookcentral.proquest.com/lib/NKNU/detail.action?docID=325105</t>
  </si>
  <si>
    <t>https://ebookcentral.proquest.com/lib/NKNU/detail.action?docID=325109</t>
  </si>
  <si>
    <t>https://ebookcentral.proquest.com/lib/NKNU/detail.action?docID=325110</t>
  </si>
  <si>
    <t>https://ebookcentral.proquest.com/lib/NKNU/detail.action?docID=325111</t>
  </si>
  <si>
    <t>https://ebookcentral.proquest.com/lib/NKNU/detail.action?docID=325114</t>
  </si>
  <si>
    <t>https://ebookcentral.proquest.com/lib/NKNU/detail.action?docID=325119</t>
  </si>
  <si>
    <t>https://ebookcentral.proquest.com/lib/NKNU/detail.action?docID=325120</t>
  </si>
  <si>
    <t>https://ebookcentral.proquest.com/lib/NKNU/detail.action?docID=325121</t>
  </si>
  <si>
    <t>https://ebookcentral.proquest.com/lib/NKNU/detail.action?docID=325124</t>
  </si>
  <si>
    <t>https://ebookcentral.proquest.com/lib/NKNU/detail.action?docID=325125</t>
  </si>
  <si>
    <t>https://ebookcentral.proquest.com/lib/NKNU/detail.action?docID=325128</t>
  </si>
  <si>
    <t>https://ebookcentral.proquest.com/lib/NKNU/detail.action?docID=325129</t>
  </si>
  <si>
    <t>https://ebookcentral.proquest.com/lib/NKNU/detail.action?docID=325130</t>
  </si>
  <si>
    <t>https://ebookcentral.proquest.com/lib/NKNU/detail.action?docID=325134</t>
  </si>
  <si>
    <t>https://ebookcentral.proquest.com/lib/NKNU/detail.action?docID=325135</t>
  </si>
  <si>
    <t>https://ebookcentral.proquest.com/lib/NKNU/detail.action?docID=325148</t>
  </si>
  <si>
    <t>https://ebookcentral.proquest.com/lib/NKNU/detail.action?docID=325151</t>
  </si>
  <si>
    <t>https://ebookcentral.proquest.com/lib/NKNU/detail.action?docID=325159</t>
  </si>
  <si>
    <t>https://ebookcentral.proquest.com/lib/NKNU/detail.action?docID=325161</t>
  </si>
  <si>
    <t>https://ebookcentral.proquest.com/lib/NKNU/detail.action?docID=325167</t>
  </si>
  <si>
    <t>https://ebookcentral.proquest.com/lib/NKNU/detail.action?docID=325169</t>
  </si>
  <si>
    <t>https://ebookcentral.proquest.com/lib/NKNU/detail.action?docID=325170</t>
  </si>
  <si>
    <t>https://ebookcentral.proquest.com/lib/NKNU/detail.action?docID=325176</t>
  </si>
  <si>
    <t>https://ebookcentral.proquest.com/lib/NKNU/detail.action?docID=325180</t>
  </si>
  <si>
    <t>https://ebookcentral.proquest.com/lib/NKNU/detail.action?docID=325181</t>
  </si>
  <si>
    <t>https://ebookcentral.proquest.com/lib/NKNU/detail.action?docID=325183</t>
  </si>
  <si>
    <t>https://ebookcentral.proquest.com/lib/NKNU/detail.action?docID=325184</t>
  </si>
  <si>
    <t>https://ebookcentral.proquest.com/lib/NKNU/detail.action?docID=325185</t>
  </si>
  <si>
    <t>https://ebookcentral.proquest.com/lib/NKNU/detail.action?docID=325187</t>
  </si>
  <si>
    <t>https://ebookcentral.proquest.com/lib/NKNU/detail.action?docID=325194</t>
  </si>
  <si>
    <t>https://ebookcentral.proquest.com/lib/NKNU/detail.action?docID=325198</t>
  </si>
  <si>
    <t>https://ebookcentral.proquest.com/lib/NKNU/detail.action?docID=325199</t>
  </si>
  <si>
    <t>https://ebookcentral.proquest.com/lib/NKNU/detail.action?docID=325209</t>
  </si>
  <si>
    <t>https://ebookcentral.proquest.com/lib/NKNU/detail.action?docID=325214</t>
  </si>
  <si>
    <t>https://ebookcentral.proquest.com/lib/NKNU/detail.action?docID=325216</t>
  </si>
  <si>
    <t>https://ebookcentral.proquest.com/lib/NKNU/detail.action?docID=325218</t>
  </si>
  <si>
    <t>https://ebookcentral.proquest.com/lib/NKNU/detail.action?docID=325238</t>
  </si>
  <si>
    <t>https://ebookcentral.proquest.com/lib/NKNU/detail.action?docID=325241</t>
  </si>
  <si>
    <t>https://ebookcentral.proquest.com/lib/NKNU/detail.action?docID=325242</t>
  </si>
  <si>
    <t>https://ebookcentral.proquest.com/lib/NKNU/detail.action?docID=325246</t>
  </si>
  <si>
    <t>https://ebookcentral.proquest.com/lib/NKNU/detail.action?docID=325254</t>
  </si>
  <si>
    <t>https://ebookcentral.proquest.com/lib/NKNU/detail.action?docID=325256</t>
  </si>
  <si>
    <t>https://ebookcentral.proquest.com/lib/NKNU/detail.action?docID=325257</t>
  </si>
  <si>
    <t>https://ebookcentral.proquest.com/lib/NKNU/detail.action?docID=325259</t>
  </si>
  <si>
    <t>https://ebookcentral.proquest.com/lib/NKNU/detail.action?docID=325260</t>
  </si>
  <si>
    <t>https://ebookcentral.proquest.com/lib/NKNU/detail.action?docID=325264</t>
  </si>
  <si>
    <t>https://ebookcentral.proquest.com/lib/NKNU/detail.action?docID=325265</t>
  </si>
  <si>
    <t>https://ebookcentral.proquest.com/lib/NKNU/detail.action?docID=325266</t>
  </si>
  <si>
    <t>https://ebookcentral.proquest.com/lib/NKNU/detail.action?docID=325268</t>
  </si>
  <si>
    <t>https://ebookcentral.proquest.com/lib/NKNU/detail.action?docID=325271</t>
  </si>
  <si>
    <t>https://ebookcentral.proquest.com/lib/NKNU/detail.action?docID=325282</t>
  </si>
  <si>
    <t>https://ebookcentral.proquest.com/lib/NKNU/detail.action?docID=325283</t>
  </si>
  <si>
    <t>https://ebookcentral.proquest.com/lib/NKNU/detail.action?docID=325289</t>
  </si>
  <si>
    <t>https://ebookcentral.proquest.com/lib/NKNU/detail.action?docID=325293</t>
  </si>
  <si>
    <t>https://ebookcentral.proquest.com/lib/NKNU/detail.action?docID=325294</t>
  </si>
  <si>
    <t>https://ebookcentral.proquest.com/lib/NKNU/detail.action?docID=325297</t>
  </si>
  <si>
    <t>https://ebookcentral.proquest.com/lib/NKNU/detail.action?docID=325301</t>
  </si>
  <si>
    <t>https://ebookcentral.proquest.com/lib/NKNU/detail.action?docID=325308</t>
  </si>
  <si>
    <t>https://ebookcentral.proquest.com/lib/NKNU/detail.action?docID=325311</t>
  </si>
  <si>
    <t>https://ebookcentral.proquest.com/lib/NKNU/detail.action?docID=325312</t>
  </si>
  <si>
    <t>https://ebookcentral.proquest.com/lib/NKNU/detail.action?docID=325314</t>
  </si>
  <si>
    <t>https://ebookcentral.proquest.com/lib/NKNU/detail.action?docID=325325</t>
  </si>
  <si>
    <t>https://ebookcentral.proquest.com/lib/NKNU/detail.action?docID=325351</t>
  </si>
  <si>
    <t>https://ebookcentral.proquest.com/lib/NKNU/detail.action?docID=325352</t>
  </si>
  <si>
    <t>https://ebookcentral.proquest.com/lib/NKNU/detail.action?docID=325353</t>
  </si>
  <si>
    <t>https://ebookcentral.proquest.com/lib/NKNU/detail.action?docID=325355</t>
  </si>
  <si>
    <t>https://ebookcentral.proquest.com/lib/NKNU/detail.action?docID=325357</t>
  </si>
  <si>
    <t>https://ebookcentral.proquest.com/lib/NKNU/detail.action?docID=325363</t>
  </si>
  <si>
    <t>https://ebookcentral.proquest.com/lib/NKNU/detail.action?docID=325364</t>
  </si>
  <si>
    <t>https://ebookcentral.proquest.com/lib/NKNU/detail.action?docID=325367</t>
  </si>
  <si>
    <t>https://ebookcentral.proquest.com/lib/NKNU/detail.action?docID=325391</t>
  </si>
  <si>
    <t>https://ebookcentral.proquest.com/lib/NKNU/detail.action?docID=325392</t>
  </si>
  <si>
    <t>https://ebookcentral.proquest.com/lib/NKNU/detail.action?docID=325395</t>
  </si>
  <si>
    <t>https://ebookcentral.proquest.com/lib/NKNU/detail.action?docID=325396</t>
  </si>
  <si>
    <t>https://ebookcentral.proquest.com/lib/NKNU/detail.action?docID=325399</t>
  </si>
  <si>
    <t>https://ebookcentral.proquest.com/lib/NKNU/detail.action?docID=325400</t>
  </si>
  <si>
    <t>https://ebookcentral.proquest.com/lib/NKNU/detail.action?docID=325403</t>
  </si>
  <si>
    <t>https://ebookcentral.proquest.com/lib/NKNU/detail.action?docID=325404</t>
  </si>
  <si>
    <t>https://ebookcentral.proquest.com/lib/NKNU/detail.action?docID=325593</t>
  </si>
  <si>
    <t>https://ebookcentral.proquest.com/lib/NKNU/detail.action?docID=325612</t>
  </si>
  <si>
    <t>https://ebookcentral.proquest.com/lib/NKNU/detail.action?docID=325613</t>
  </si>
  <si>
    <t>https://ebookcentral.proquest.com/lib/NKNU/detail.action?docID=325614</t>
  </si>
  <si>
    <t>https://ebookcentral.proquest.com/lib/NKNU/detail.action?docID=325627</t>
  </si>
  <si>
    <t>https://ebookcentral.proquest.com/lib/NKNU/detail.action?docID=325630</t>
  </si>
  <si>
    <t>https://ebookcentral.proquest.com/lib/NKNU/detail.action?docID=325634</t>
  </si>
  <si>
    <t>https://ebookcentral.proquest.com/lib/NKNU/detail.action?docID=325635</t>
  </si>
  <si>
    <t>https://ebookcentral.proquest.com/lib/NKNU/detail.action?docID=325636</t>
  </si>
  <si>
    <t>https://ebookcentral.proquest.com/lib/NKNU/detail.action?docID=325637</t>
  </si>
  <si>
    <t>https://ebookcentral.proquest.com/lib/NKNU/detail.action?docID=325641</t>
  </si>
  <si>
    <t>https://ebookcentral.proquest.com/lib/NKNU/detail.action?docID=325650</t>
  </si>
  <si>
    <t>https://ebookcentral.proquest.com/lib/NKNU/detail.action?docID=325656</t>
  </si>
  <si>
    <t>https://ebookcentral.proquest.com/lib/NKNU/detail.action?docID=325676</t>
  </si>
  <si>
    <t>https://ebookcentral.proquest.com/lib/NKNU/detail.action?docID=325679</t>
  </si>
  <si>
    <t>https://ebookcentral.proquest.com/lib/NKNU/detail.action?docID=325688</t>
  </si>
  <si>
    <t>https://ebookcentral.proquest.com/lib/NKNU/detail.action?docID=325689</t>
  </si>
  <si>
    <t>https://ebookcentral.proquest.com/lib/NKNU/detail.action?docID=325691</t>
  </si>
  <si>
    <t>https://ebookcentral.proquest.com/lib/NKNU/detail.action?docID=325694</t>
  </si>
  <si>
    <t>https://ebookcentral.proquest.com/lib/NKNU/detail.action?docID=325700</t>
  </si>
  <si>
    <t>https://ebookcentral.proquest.com/lib/NKNU/detail.action?docID=325979</t>
  </si>
  <si>
    <t>https://ebookcentral.proquest.com/lib/NKNU/detail.action?docID=325986</t>
  </si>
  <si>
    <t>https://ebookcentral.proquest.com/lib/NKNU/detail.action?docID=325993</t>
  </si>
  <si>
    <t>https://ebookcentral.proquest.com/lib/NKNU/detail.action?docID=325999</t>
  </si>
  <si>
    <t>https://ebookcentral.proquest.com/lib/NKNU/detail.action?docID=326000</t>
  </si>
  <si>
    <t>https://ebookcentral.proquest.com/lib/NKNU/detail.action?docID=326009</t>
  </si>
  <si>
    <t>https://ebookcentral.proquest.com/lib/NKNU/detail.action?docID=326011</t>
  </si>
  <si>
    <t>https://ebookcentral.proquest.com/lib/NKNU/detail.action?docID=326012</t>
  </si>
  <si>
    <t>https://ebookcentral.proquest.com/lib/NKNU/detail.action?docID=326020</t>
  </si>
  <si>
    <t>https://ebookcentral.proquest.com/lib/NKNU/detail.action?docID=326023</t>
  </si>
  <si>
    <t>https://ebookcentral.proquest.com/lib/NKNU/detail.action?docID=326388</t>
  </si>
  <si>
    <t>https://ebookcentral.proquest.com/lib/NKNU/detail.action?docID=326397</t>
  </si>
  <si>
    <t>https://ebookcentral.proquest.com/lib/NKNU/detail.action?docID=326398</t>
  </si>
  <si>
    <t>https://ebookcentral.proquest.com/lib/NKNU/detail.action?docID=326399</t>
  </si>
  <si>
    <t>https://ebookcentral.proquest.com/lib/NKNU/detail.action?docID=326403</t>
  </si>
  <si>
    <t>https://ebookcentral.proquest.com/lib/NKNU/detail.action?docID=326404</t>
  </si>
  <si>
    <t>https://ebookcentral.proquest.com/lib/NKNU/detail.action?docID=327860</t>
  </si>
  <si>
    <t>https://ebookcentral.proquest.com/lib/NKNU/detail.action?docID=327862</t>
  </si>
  <si>
    <t>https://ebookcentral.proquest.com/lib/NKNU/detail.action?docID=327866</t>
  </si>
  <si>
    <t>https://ebookcentral.proquest.com/lib/NKNU/detail.action?docID=327867</t>
  </si>
  <si>
    <t>https://ebookcentral.proquest.com/lib/NKNU/detail.action?docID=327872</t>
  </si>
  <si>
    <t>https://ebookcentral.proquest.com/lib/NKNU/detail.action?docID=327882</t>
  </si>
  <si>
    <t>https://ebookcentral.proquest.com/lib/NKNU/detail.action?docID=327885</t>
  </si>
  <si>
    <t>https://ebookcentral.proquest.com/lib/NKNU/detail.action?docID=327886</t>
  </si>
  <si>
    <t>https://ebookcentral.proquest.com/lib/NKNU/detail.action?docID=327887</t>
  </si>
  <si>
    <t>https://ebookcentral.proquest.com/lib/NKNU/detail.action?docID=327888</t>
  </si>
  <si>
    <t>https://ebookcentral.proquest.com/lib/NKNU/detail.action?docID=327890</t>
  </si>
  <si>
    <t>https://ebookcentral.proquest.com/lib/NKNU/detail.action?docID=327892</t>
  </si>
  <si>
    <t>https://ebookcentral.proquest.com/lib/NKNU/detail.action?docID=327893</t>
  </si>
  <si>
    <t>https://ebookcentral.proquest.com/lib/NKNU/detail.action?docID=327894</t>
  </si>
  <si>
    <t>https://ebookcentral.proquest.com/lib/NKNU/detail.action?docID=327895</t>
  </si>
  <si>
    <t>https://ebookcentral.proquest.com/lib/NKNU/detail.action?docID=327896</t>
  </si>
  <si>
    <t>https://ebookcentral.proquest.com/lib/NKNU/detail.action?docID=327902</t>
  </si>
  <si>
    <t>https://ebookcentral.proquest.com/lib/NKNU/detail.action?docID=327903</t>
  </si>
  <si>
    <t>https://ebookcentral.proquest.com/lib/NKNU/detail.action?docID=328085</t>
  </si>
  <si>
    <t>https://ebookcentral.proquest.com/lib/NKNU/detail.action?docID=328232</t>
  </si>
  <si>
    <t>https://ebookcentral.proquest.com/lib/NKNU/detail.action?docID=328318</t>
  </si>
  <si>
    <t>https://ebookcentral.proquest.com/lib/NKNU/detail.action?docID=328370</t>
  </si>
  <si>
    <t>https://ebookcentral.proquest.com/lib/NKNU/detail.action?docID=328377</t>
  </si>
  <si>
    <t>https://ebookcentral.proquest.com/lib/NKNU/detail.action?docID=328568</t>
  </si>
  <si>
    <t>https://ebookcentral.proquest.com/lib/NKNU/detail.action?docID=328572</t>
  </si>
  <si>
    <t>https://ebookcentral.proquest.com/lib/NKNU/detail.action?docID=328647</t>
  </si>
  <si>
    <t>https://ebookcentral.proquest.com/lib/NKNU/detail.action?docID=328653</t>
  </si>
  <si>
    <t>https://ebookcentral.proquest.com/lib/NKNU/detail.action?docID=328780</t>
  </si>
  <si>
    <t>https://ebookcentral.proquest.com/lib/NKNU/detail.action?docID=329039</t>
  </si>
  <si>
    <t>https://ebookcentral.proquest.com/lib/NKNU/detail.action?docID=329186</t>
  </si>
  <si>
    <t>https://ebookcentral.proquest.com/lib/NKNU/detail.action?docID=329880</t>
  </si>
  <si>
    <t>https://ebookcentral.proquest.com/lib/NKNU/detail.action?docID=329883</t>
  </si>
  <si>
    <t>https://ebookcentral.proquest.com/lib/NKNU/detail.action?docID=329884</t>
  </si>
  <si>
    <t>https://ebookcentral.proquest.com/lib/NKNU/detail.action?docID=329915</t>
  </si>
  <si>
    <t>https://ebookcentral.proquest.com/lib/NKNU/detail.action?docID=329916</t>
  </si>
  <si>
    <t>https://ebookcentral.proquest.com/lib/NKNU/detail.action?docID=329917</t>
  </si>
  <si>
    <t>https://ebookcentral.proquest.com/lib/NKNU/detail.action?docID=329919</t>
  </si>
  <si>
    <t>https://ebookcentral.proquest.com/lib/NKNU/detail.action?docID=329920</t>
  </si>
  <si>
    <t>https://ebookcentral.proquest.com/lib/NKNU/detail.action?docID=330097</t>
  </si>
  <si>
    <t>https://ebookcentral.proquest.com/lib/NKNU/detail.action?docID=330122</t>
  </si>
  <si>
    <t>https://ebookcentral.proquest.com/lib/NKNU/detail.action?docID=330123</t>
  </si>
  <si>
    <t>https://ebookcentral.proquest.com/lib/NKNU/detail.action?docID=330124</t>
  </si>
  <si>
    <t>https://ebookcentral.proquest.com/lib/NKNU/detail.action?docID=330125</t>
  </si>
  <si>
    <t>https://ebookcentral.proquest.com/lib/NKNU/detail.action?docID=330126</t>
  </si>
  <si>
    <t>https://ebookcentral.proquest.com/lib/NKNU/detail.action?docID=330176</t>
  </si>
  <si>
    <t>https://ebookcentral.proquest.com/lib/NKNU/detail.action?docID=330223</t>
  </si>
  <si>
    <t>https://ebookcentral.proquest.com/lib/NKNU/detail.action?docID=330239</t>
  </si>
  <si>
    <t>https://ebookcentral.proquest.com/lib/NKNU/detail.action?docID=330258</t>
  </si>
  <si>
    <t>https://ebookcentral.proquest.com/lib/NKNU/detail.action?docID=330260</t>
  </si>
  <si>
    <t>https://ebookcentral.proquest.com/lib/NKNU/detail.action?docID=330505</t>
  </si>
  <si>
    <t>https://ebookcentral.proquest.com/lib/NKNU/detail.action?docID=330507</t>
  </si>
  <si>
    <t>https://ebookcentral.proquest.com/lib/NKNU/detail.action?docID=330509</t>
  </si>
  <si>
    <t>https://ebookcentral.proquest.com/lib/NKNU/detail.action?docID=330510</t>
  </si>
  <si>
    <t>https://ebookcentral.proquest.com/lib/NKNU/detail.action?docID=330511</t>
  </si>
  <si>
    <t>https://ebookcentral.proquest.com/lib/NKNU/detail.action?docID=330529</t>
  </si>
  <si>
    <t>https://ebookcentral.proquest.com/lib/NKNU/detail.action?docID=330532</t>
  </si>
  <si>
    <t>https://ebookcentral.proquest.com/lib/NKNU/detail.action?docID=330533</t>
  </si>
  <si>
    <t>https://ebookcentral.proquest.com/lib/NKNU/detail.action?docID=330537</t>
  </si>
  <si>
    <t>https://ebookcentral.proquest.com/lib/NKNU/detail.action?docID=330539</t>
  </si>
  <si>
    <t>https://ebookcentral.proquest.com/lib/NKNU/detail.action?docID=330541</t>
  </si>
  <si>
    <t>https://ebookcentral.proquest.com/lib/NKNU/detail.action?docID=330546</t>
  </si>
  <si>
    <t>https://ebookcentral.proquest.com/lib/NKNU/detail.action?docID=330547</t>
  </si>
  <si>
    <t>https://ebookcentral.proquest.com/lib/NKNU/detail.action?docID=330548</t>
  </si>
  <si>
    <t>https://ebookcentral.proquest.com/lib/NKNU/detail.action?docID=330549</t>
  </si>
  <si>
    <t>https://ebookcentral.proquest.com/lib/NKNU/detail.action?docID=330553</t>
  </si>
  <si>
    <t>https://ebookcentral.proquest.com/lib/NKNU/detail.action?docID=330555</t>
  </si>
  <si>
    <t>https://ebookcentral.proquest.com/lib/NKNU/detail.action?docID=330558</t>
  </si>
  <si>
    <t>https://ebookcentral.proquest.com/lib/NKNU/detail.action?docID=330562</t>
  </si>
  <si>
    <t>https://ebookcentral.proquest.com/lib/NKNU/detail.action?docID=330568</t>
  </si>
  <si>
    <t>https://ebookcentral.proquest.com/lib/NKNU/detail.action?docID=330569</t>
  </si>
  <si>
    <t>https://ebookcentral.proquest.com/lib/NKNU/detail.action?docID=330573</t>
  </si>
  <si>
    <t>https://ebookcentral.proquest.com/lib/NKNU/detail.action?docID=330578</t>
  </si>
  <si>
    <t>https://ebookcentral.proquest.com/lib/NKNU/detail.action?docID=330579</t>
  </si>
  <si>
    <t>https://ebookcentral.proquest.com/lib/NKNU/detail.action?docID=330580</t>
  </si>
  <si>
    <t>https://ebookcentral.proquest.com/lib/NKNU/detail.action?docID=330582</t>
  </si>
  <si>
    <t>https://ebookcentral.proquest.com/lib/NKNU/detail.action?docID=330590</t>
  </si>
  <si>
    <t>https://ebookcentral.proquest.com/lib/NKNU/detail.action?docID=330591</t>
  </si>
  <si>
    <t>https://ebookcentral.proquest.com/lib/NKNU/detail.action?docID=330595</t>
  </si>
  <si>
    <t>https://ebookcentral.proquest.com/lib/NKNU/detail.action?docID=331684</t>
  </si>
  <si>
    <t>https://ebookcentral.proquest.com/lib/NKNU/detail.action?docID=331685</t>
  </si>
  <si>
    <t>https://ebookcentral.proquest.com/lib/NKNU/detail.action?docID=331938</t>
  </si>
  <si>
    <t>https://ebookcentral.proquest.com/lib/NKNU/detail.action?docID=331988</t>
  </si>
  <si>
    <t>https://ebookcentral.proquest.com/lib/NKNU/detail.action?docID=332598</t>
  </si>
  <si>
    <t>https://ebookcentral.proquest.com/lib/NKNU/detail.action?docID=332599</t>
  </si>
  <si>
    <t>https://ebookcentral.proquest.com/lib/NKNU/detail.action?docID=332610</t>
  </si>
  <si>
    <t>https://ebookcentral.proquest.com/lib/NKNU/detail.action?docID=332611</t>
  </si>
  <si>
    <t>https://ebookcentral.proquest.com/lib/NKNU/detail.action?docID=332612</t>
  </si>
  <si>
    <t>https://ebookcentral.proquest.com/lib/NKNU/detail.action?docID=332614</t>
  </si>
  <si>
    <t>https://ebookcentral.proquest.com/lib/NKNU/detail.action?docID=332617</t>
  </si>
  <si>
    <t>https://ebookcentral.proquest.com/lib/NKNU/detail.action?docID=332639</t>
  </si>
  <si>
    <t>https://ebookcentral.proquest.com/lib/NKNU/detail.action?docID=332646</t>
  </si>
  <si>
    <t>https://ebookcentral.proquest.com/lib/NKNU/detail.action?docID=332664</t>
  </si>
  <si>
    <t>https://ebookcentral.proquest.com/lib/NKNU/detail.action?docID=332682</t>
  </si>
  <si>
    <t>https://ebookcentral.proquest.com/lib/NKNU/detail.action?docID=332693</t>
  </si>
  <si>
    <t>https://ebookcentral.proquest.com/lib/NKNU/detail.action?docID=332694</t>
  </si>
  <si>
    <t>https://ebookcentral.proquest.com/lib/NKNU/detail.action?docID=332696</t>
  </si>
  <si>
    <t>https://ebookcentral.proquest.com/lib/NKNU/detail.action?docID=332697</t>
  </si>
  <si>
    <t>https://ebookcentral.proquest.com/lib/NKNU/detail.action?docID=332699</t>
  </si>
  <si>
    <t>https://ebookcentral.proquest.com/lib/NKNU/detail.action?docID=332700</t>
  </si>
  <si>
    <t>https://ebookcentral.proquest.com/lib/NKNU/detail.action?docID=332711</t>
  </si>
  <si>
    <t>https://ebookcentral.proquest.com/lib/NKNU/detail.action?docID=332717</t>
  </si>
  <si>
    <t>https://ebookcentral.proquest.com/lib/NKNU/detail.action?docID=332727</t>
  </si>
  <si>
    <t>https://ebookcentral.proquest.com/lib/NKNU/detail.action?docID=332731</t>
  </si>
  <si>
    <t>https://ebookcentral.proquest.com/lib/NKNU/detail.action?docID=332732</t>
  </si>
  <si>
    <t>https://ebookcentral.proquest.com/lib/NKNU/detail.action?docID=332862</t>
  </si>
  <si>
    <t>https://ebookcentral.proquest.com/lib/NKNU/detail.action?docID=332863</t>
  </si>
  <si>
    <t>https://ebookcentral.proquest.com/lib/NKNU/detail.action?docID=332865</t>
  </si>
  <si>
    <t>https://ebookcentral.proquest.com/lib/NKNU/detail.action?docID=332867</t>
  </si>
  <si>
    <t>https://ebookcentral.proquest.com/lib/NKNU/detail.action?docID=332868</t>
  </si>
  <si>
    <t>https://ebookcentral.proquest.com/lib/NKNU/detail.action?docID=332875</t>
  </si>
  <si>
    <t>https://ebookcentral.proquest.com/lib/NKNU/detail.action?docID=332882</t>
  </si>
  <si>
    <t>https://ebookcentral.proquest.com/lib/NKNU/detail.action?docID=332884</t>
  </si>
  <si>
    <t>https://ebookcentral.proquest.com/lib/NKNU/detail.action?docID=332886</t>
  </si>
  <si>
    <t>https://ebookcentral.proquest.com/lib/NKNU/detail.action?docID=332887</t>
  </si>
  <si>
    <t>https://ebookcentral.proquest.com/lib/NKNU/detail.action?docID=332889</t>
  </si>
  <si>
    <t>https://ebookcentral.proquest.com/lib/NKNU/detail.action?docID=332892</t>
  </si>
  <si>
    <t>https://ebookcentral.proquest.com/lib/NKNU/detail.action?docID=332928</t>
  </si>
  <si>
    <t>https://ebookcentral.proquest.com/lib/NKNU/detail.action?docID=332929</t>
  </si>
  <si>
    <t>https://ebookcentral.proquest.com/lib/NKNU/detail.action?docID=332946</t>
  </si>
  <si>
    <t>https://ebookcentral.proquest.com/lib/NKNU/detail.action?docID=332948</t>
  </si>
  <si>
    <t>https://ebookcentral.proquest.com/lib/NKNU/detail.action?docID=333013</t>
  </si>
  <si>
    <t>https://ebookcentral.proquest.com/lib/NKNU/detail.action?docID=333019</t>
  </si>
  <si>
    <t>https://ebookcentral.proquest.com/lib/NKNU/detail.action?docID=333100</t>
  </si>
  <si>
    <t>https://ebookcentral.proquest.com/lib/NKNU/detail.action?docID=333144</t>
  </si>
  <si>
    <t>https://ebookcentral.proquest.com/lib/NKNU/detail.action?docID=333155</t>
  </si>
  <si>
    <t>https://ebookcentral.proquest.com/lib/NKNU/detail.action?docID=333991</t>
  </si>
  <si>
    <t>https://ebookcentral.proquest.com/lib/NKNU/detail.action?docID=334061</t>
  </si>
  <si>
    <t>https://ebookcentral.proquest.com/lib/NKNU/detail.action?docID=334088</t>
  </si>
  <si>
    <t>https://ebookcentral.proquest.com/lib/NKNU/detail.action?docID=334089</t>
  </si>
  <si>
    <t>https://ebookcentral.proquest.com/lib/NKNU/detail.action?docID=334091</t>
  </si>
  <si>
    <t>https://ebookcentral.proquest.com/lib/NKNU/detail.action?docID=334093</t>
  </si>
  <si>
    <t>https://ebookcentral.proquest.com/lib/NKNU/detail.action?docID=334094</t>
  </si>
  <si>
    <t>https://ebookcentral.proquest.com/lib/NKNU/detail.action?docID=334095</t>
  </si>
  <si>
    <t>https://ebookcentral.proquest.com/lib/NKNU/detail.action?docID=334096</t>
  </si>
  <si>
    <t>https://ebookcentral.proquest.com/lib/NKNU/detail.action?docID=334101</t>
  </si>
  <si>
    <t>https://ebookcentral.proquest.com/lib/NKNU/detail.action?docID=334102</t>
  </si>
  <si>
    <t>https://ebookcentral.proquest.com/lib/NKNU/detail.action?docID=334104</t>
  </si>
  <si>
    <t>https://ebookcentral.proquest.com/lib/NKNU/detail.action?docID=334105</t>
  </si>
  <si>
    <t>https://ebookcentral.proquest.com/lib/NKNU/detail.action?docID=334106</t>
  </si>
  <si>
    <t>https://ebookcentral.proquest.com/lib/NKNU/detail.action?docID=334107</t>
  </si>
  <si>
    <t>https://ebookcentral.proquest.com/lib/NKNU/detail.action?docID=334108</t>
  </si>
  <si>
    <t>https://ebookcentral.proquest.com/lib/NKNU/detail.action?docID=334109</t>
  </si>
  <si>
    <t>https://ebookcentral.proquest.com/lib/NKNU/detail.action?docID=334110</t>
  </si>
  <si>
    <t>https://ebookcentral.proquest.com/lib/NKNU/detail.action?docID=334115</t>
  </si>
  <si>
    <t>https://ebookcentral.proquest.com/lib/NKNU/detail.action?docID=334116</t>
  </si>
  <si>
    <t>https://ebookcentral.proquest.com/lib/NKNU/detail.action?docID=334117</t>
  </si>
  <si>
    <t>https://ebookcentral.proquest.com/lib/NKNU/detail.action?docID=334118</t>
  </si>
  <si>
    <t>https://ebookcentral.proquest.com/lib/NKNU/detail.action?docID=334128</t>
  </si>
  <si>
    <t>https://ebookcentral.proquest.com/lib/NKNU/detail.action?docID=334130</t>
  </si>
  <si>
    <t>https://ebookcentral.proquest.com/lib/NKNU/detail.action?docID=334134</t>
  </si>
  <si>
    <t>https://ebookcentral.proquest.com/lib/NKNU/detail.action?docID=334136</t>
  </si>
  <si>
    <t>https://ebookcentral.proquest.com/lib/NKNU/detail.action?docID=334137</t>
  </si>
  <si>
    <t>https://ebookcentral.proquest.com/lib/NKNU/detail.action?docID=334138</t>
  </si>
  <si>
    <t>https://ebookcentral.proquest.com/lib/NKNU/detail.action?docID=334139</t>
  </si>
  <si>
    <t>https://ebookcentral.proquest.com/lib/NKNU/detail.action?docID=334140</t>
  </si>
  <si>
    <t>https://ebookcentral.proquest.com/lib/NKNU/detail.action?docID=334141</t>
  </si>
  <si>
    <t>https://ebookcentral.proquest.com/lib/NKNU/detail.action?docID=334142</t>
  </si>
  <si>
    <t>https://ebookcentral.proquest.com/lib/NKNU/detail.action?docID=334143</t>
  </si>
  <si>
    <t>https://ebookcentral.proquest.com/lib/NKNU/detail.action?docID=334144</t>
  </si>
  <si>
    <t>https://ebookcentral.proquest.com/lib/NKNU/detail.action?docID=334151</t>
  </si>
  <si>
    <t>https://ebookcentral.proquest.com/lib/NKNU/detail.action?docID=334154</t>
  </si>
  <si>
    <t>https://ebookcentral.proquest.com/lib/NKNU/detail.action?docID=334228</t>
  </si>
  <si>
    <t>https://ebookcentral.proquest.com/lib/NKNU/detail.action?docID=334320</t>
  </si>
  <si>
    <t>https://ebookcentral.proquest.com/lib/NKNU/detail.action?docID=334324</t>
  </si>
  <si>
    <t>https://ebookcentral.proquest.com/lib/NKNU/detail.action?docID=334329</t>
  </si>
  <si>
    <t>https://ebookcentral.proquest.com/lib/NKNU/detail.action?docID=334331</t>
  </si>
  <si>
    <t>https://ebookcentral.proquest.com/lib/NKNU/detail.action?docID=334333</t>
  </si>
  <si>
    <t>https://ebookcentral.proquest.com/lib/NKNU/detail.action?docID=334334</t>
  </si>
  <si>
    <t>https://ebookcentral.proquest.com/lib/NKNU/detail.action?docID=334335</t>
  </si>
  <si>
    <t>https://ebookcentral.proquest.com/lib/NKNU/detail.action?docID=334338</t>
  </si>
  <si>
    <t>https://ebookcentral.proquest.com/lib/NKNU/detail.action?docID=334339</t>
  </si>
  <si>
    <t>https://ebookcentral.proquest.com/lib/NKNU/detail.action?docID=334340</t>
  </si>
  <si>
    <t>https://ebookcentral.proquest.com/lib/NKNU/detail.action?docID=334341</t>
  </si>
  <si>
    <t>https://ebookcentral.proquest.com/lib/NKNU/detail.action?docID=334349</t>
  </si>
  <si>
    <t>https://ebookcentral.proquest.com/lib/NKNU/detail.action?docID=334358</t>
  </si>
  <si>
    <t>https://ebookcentral.proquest.com/lib/NKNU/detail.action?docID=334359</t>
  </si>
  <si>
    <t>https://ebookcentral.proquest.com/lib/NKNU/detail.action?docID=334361</t>
  </si>
  <si>
    <t>https://ebookcentral.proquest.com/lib/NKNU/detail.action?docID=334363</t>
  </si>
  <si>
    <t>https://ebookcentral.proquest.com/lib/NKNU/detail.action?docID=334365</t>
  </si>
  <si>
    <t>https://ebookcentral.proquest.com/lib/NKNU/detail.action?docID=334366</t>
  </si>
  <si>
    <t>https://ebookcentral.proquest.com/lib/NKNU/detail.action?docID=334367</t>
  </si>
  <si>
    <t>https://ebookcentral.proquest.com/lib/NKNU/detail.action?docID=334377</t>
  </si>
  <si>
    <t>https://ebookcentral.proquest.com/lib/NKNU/detail.action?docID=334378</t>
  </si>
  <si>
    <t>https://ebookcentral.proquest.com/lib/NKNU/detail.action?docID=334380</t>
  </si>
  <si>
    <t>https://ebookcentral.proquest.com/lib/NKNU/detail.action?docID=334381</t>
  </si>
  <si>
    <t>https://ebookcentral.proquest.com/lib/NKNU/detail.action?docID=334382</t>
  </si>
  <si>
    <t>https://ebookcentral.proquest.com/lib/NKNU/detail.action?docID=334383</t>
  </si>
  <si>
    <t>https://ebookcentral.proquest.com/lib/NKNU/detail.action?docID=334384</t>
  </si>
  <si>
    <t>https://ebookcentral.proquest.com/lib/NKNU/detail.action?docID=334390</t>
  </si>
  <si>
    <t>https://ebookcentral.proquest.com/lib/NKNU/detail.action?docID=334396</t>
  </si>
  <si>
    <t>https://ebookcentral.proquest.com/lib/NKNU/detail.action?docID=334398</t>
  </si>
  <si>
    <t>https://ebookcentral.proquest.com/lib/NKNU/detail.action?docID=334401</t>
  </si>
  <si>
    <t>https://ebookcentral.proquest.com/lib/NKNU/detail.action?docID=334406</t>
  </si>
  <si>
    <t>https://ebookcentral.proquest.com/lib/NKNU/detail.action?docID=334408</t>
  </si>
  <si>
    <t>https://ebookcentral.proquest.com/lib/NKNU/detail.action?docID=334409</t>
  </si>
  <si>
    <t>https://ebookcentral.proquest.com/lib/NKNU/detail.action?docID=334414</t>
  </si>
  <si>
    <t>https://ebookcentral.proquest.com/lib/NKNU/detail.action?docID=334419</t>
  </si>
  <si>
    <t>https://ebookcentral.proquest.com/lib/NKNU/detail.action?docID=334421</t>
  </si>
  <si>
    <t>https://ebookcentral.proquest.com/lib/NKNU/detail.action?docID=334423</t>
  </si>
  <si>
    <t>https://ebookcentral.proquest.com/lib/NKNU/detail.action?docID=334426</t>
  </si>
  <si>
    <t>https://ebookcentral.proquest.com/lib/NKNU/detail.action?docID=334437</t>
  </si>
  <si>
    <t>https://ebookcentral.proquest.com/lib/NKNU/detail.action?docID=334445</t>
  </si>
  <si>
    <t>https://ebookcentral.proquest.com/lib/NKNU/detail.action?docID=334446</t>
  </si>
  <si>
    <t>https://ebookcentral.proquest.com/lib/NKNU/detail.action?docID=334449</t>
  </si>
  <si>
    <t>https://ebookcentral.proquest.com/lib/NKNU/detail.action?docID=334453</t>
  </si>
  <si>
    <t>https://ebookcentral.proquest.com/lib/NKNU/detail.action?docID=334455</t>
  </si>
  <si>
    <t>https://ebookcentral.proquest.com/lib/NKNU/detail.action?docID=334462</t>
  </si>
  <si>
    <t>https://ebookcentral.proquest.com/lib/NKNU/detail.action?docID=334463</t>
  </si>
  <si>
    <t>https://ebookcentral.proquest.com/lib/NKNU/detail.action?docID=334465</t>
  </si>
  <si>
    <t>https://ebookcentral.proquest.com/lib/NKNU/detail.action?docID=334466</t>
  </si>
  <si>
    <t>https://ebookcentral.proquest.com/lib/NKNU/detail.action?docID=334467</t>
  </si>
  <si>
    <t>https://ebookcentral.proquest.com/lib/NKNU/detail.action?docID=334469</t>
  </si>
  <si>
    <t>https://ebookcentral.proquest.com/lib/NKNU/detail.action?docID=334472</t>
  </si>
  <si>
    <t>https://ebookcentral.proquest.com/lib/NKNU/detail.action?docID=334484</t>
  </si>
  <si>
    <t>https://ebookcentral.proquest.com/lib/NKNU/detail.action?docID=334485</t>
  </si>
  <si>
    <t>https://ebookcentral.proquest.com/lib/NKNU/detail.action?docID=334487</t>
  </si>
  <si>
    <t>https://ebookcentral.proquest.com/lib/NKNU/detail.action?docID=334490</t>
  </si>
  <si>
    <t>https://ebookcentral.proquest.com/lib/NKNU/detail.action?docID=334492</t>
  </si>
  <si>
    <t>https://ebookcentral.proquest.com/lib/NKNU/detail.action?docID=334496</t>
  </si>
  <si>
    <t>https://ebookcentral.proquest.com/lib/NKNU/detail.action?docID=334498</t>
  </si>
  <si>
    <t>https://ebookcentral.proquest.com/lib/NKNU/detail.action?docID=334500</t>
  </si>
  <si>
    <t>https://ebookcentral.proquest.com/lib/NKNU/detail.action?docID=334501</t>
  </si>
  <si>
    <t>https://ebookcentral.proquest.com/lib/NKNU/detail.action?docID=334503</t>
  </si>
  <si>
    <t>https://ebookcentral.proquest.com/lib/NKNU/detail.action?docID=334505</t>
  </si>
  <si>
    <t>https://ebookcentral.proquest.com/lib/NKNU/detail.action?docID=334506</t>
  </si>
  <si>
    <t>https://ebookcentral.proquest.com/lib/NKNU/detail.action?docID=334507</t>
  </si>
  <si>
    <t>https://ebookcentral.proquest.com/lib/NKNU/detail.action?docID=334514</t>
  </si>
  <si>
    <t>https://ebookcentral.proquest.com/lib/NKNU/detail.action?docID=334516</t>
  </si>
  <si>
    <t>https://ebookcentral.proquest.com/lib/NKNU/detail.action?docID=334520</t>
  </si>
  <si>
    <t>https://ebookcentral.proquest.com/lib/NKNU/detail.action?docID=334523</t>
  </si>
  <si>
    <t>https://ebookcentral.proquest.com/lib/NKNU/detail.action?docID=334526</t>
  </si>
  <si>
    <t>https://ebookcentral.proquest.com/lib/NKNU/detail.action?docID=334531</t>
  </si>
  <si>
    <t>https://ebookcentral.proquest.com/lib/NKNU/detail.action?docID=334533</t>
  </si>
  <si>
    <t>https://ebookcentral.proquest.com/lib/NKNU/detail.action?docID=334534</t>
  </si>
  <si>
    <t>https://ebookcentral.proquest.com/lib/NKNU/detail.action?docID=334536</t>
  </si>
  <si>
    <t>https://ebookcentral.proquest.com/lib/NKNU/detail.action?docID=334538</t>
  </si>
  <si>
    <t>https://ebookcentral.proquest.com/lib/NKNU/detail.action?docID=334539</t>
  </si>
  <si>
    <t>https://ebookcentral.proquest.com/lib/NKNU/detail.action?docID=334547</t>
  </si>
  <si>
    <t>https://ebookcentral.proquest.com/lib/NKNU/detail.action?docID=334555</t>
  </si>
  <si>
    <t>https://ebookcentral.proquest.com/lib/NKNU/detail.action?docID=334560</t>
  </si>
  <si>
    <t>https://ebookcentral.proquest.com/lib/NKNU/detail.action?docID=334568</t>
  </si>
  <si>
    <t>https://ebookcentral.proquest.com/lib/NKNU/detail.action?docID=334576</t>
  </si>
  <si>
    <t>https://ebookcentral.proquest.com/lib/NKNU/detail.action?docID=334577</t>
  </si>
  <si>
    <t>https://ebookcentral.proquest.com/lib/NKNU/detail.action?docID=334580</t>
  </si>
  <si>
    <t>https://ebookcentral.proquest.com/lib/NKNU/detail.action?docID=334581</t>
  </si>
  <si>
    <t>https://ebookcentral.proquest.com/lib/NKNU/detail.action?docID=334583</t>
  </si>
  <si>
    <t>https://ebookcentral.proquest.com/lib/NKNU/detail.action?docID=334584</t>
  </si>
  <si>
    <t>https://ebookcentral.proquest.com/lib/NKNU/detail.action?docID=334588</t>
  </si>
  <si>
    <t>https://ebookcentral.proquest.com/lib/NKNU/detail.action?docID=334605</t>
  </si>
  <si>
    <t>https://ebookcentral.proquest.com/lib/NKNU/detail.action?docID=334606</t>
  </si>
  <si>
    <t>https://ebookcentral.proquest.com/lib/NKNU/detail.action?docID=334620</t>
  </si>
  <si>
    <t>https://ebookcentral.proquest.com/lib/NKNU/detail.action?docID=334880</t>
  </si>
  <si>
    <t>https://ebookcentral.proquest.com/lib/NKNU/detail.action?docID=334886</t>
  </si>
  <si>
    <t>https://ebookcentral.proquest.com/lib/NKNU/detail.action?docID=334892</t>
  </si>
  <si>
    <t>https://ebookcentral.proquest.com/lib/NKNU/detail.action?docID=334895</t>
  </si>
  <si>
    <t>https://ebookcentral.proquest.com/lib/NKNU/detail.action?docID=335204</t>
  </si>
  <si>
    <t>https://ebookcentral.proquest.com/lib/NKNU/detail.action?docID=335272</t>
  </si>
  <si>
    <t>https://ebookcentral.proquest.com/lib/NKNU/detail.action?docID=335273</t>
  </si>
  <si>
    <t>https://ebookcentral.proquest.com/lib/NKNU/detail.action?docID=335388</t>
  </si>
  <si>
    <t>https://ebookcentral.proquest.com/lib/NKNU/detail.action?docID=335406</t>
  </si>
  <si>
    <t>https://ebookcentral.proquest.com/lib/NKNU/detail.action?docID=336405</t>
  </si>
  <si>
    <t>https://ebookcentral.proquest.com/lib/NKNU/detail.action?docID=336419</t>
  </si>
  <si>
    <t>https://ebookcentral.proquest.com/lib/NKNU/detail.action?docID=336422</t>
  </si>
  <si>
    <t>https://ebookcentral.proquest.com/lib/NKNU/detail.action?docID=336954</t>
  </si>
  <si>
    <t>https://ebookcentral.proquest.com/lib/NKNU/detail.action?docID=337084</t>
  </si>
  <si>
    <t>https://ebookcentral.proquest.com/lib/NKNU/detail.action?docID=338355</t>
  </si>
  <si>
    <t>https://ebookcentral.proquest.com/lib/NKNU/detail.action?docID=338356</t>
  </si>
  <si>
    <t>https://ebookcentral.proquest.com/lib/NKNU/detail.action?docID=338747</t>
  </si>
  <si>
    <t>https://ebookcentral.proquest.com/lib/NKNU/detail.action?docID=338756</t>
  </si>
  <si>
    <t>https://ebookcentral.proquest.com/lib/NKNU/detail.action?docID=338777</t>
  </si>
  <si>
    <t>https://ebookcentral.proquest.com/lib/NKNU/detail.action?docID=338796</t>
  </si>
  <si>
    <t>https://ebookcentral.proquest.com/lib/NKNU/detail.action?docID=338845</t>
  </si>
  <si>
    <t>https://ebookcentral.proquest.com/lib/NKNU/detail.action?docID=338849</t>
  </si>
  <si>
    <t>https://ebookcentral.proquest.com/lib/NKNU/detail.action?docID=338852</t>
  </si>
  <si>
    <t>https://ebookcentral.proquest.com/lib/NKNU/detail.action?docID=339205</t>
  </si>
  <si>
    <t>https://ebookcentral.proquest.com/lib/NKNU/detail.action?docID=339220</t>
  </si>
  <si>
    <t>https://ebookcentral.proquest.com/lib/NKNU/detail.action?docID=339226</t>
  </si>
  <si>
    <t>https://ebookcentral.proquest.com/lib/NKNU/detail.action?docID=339239</t>
  </si>
  <si>
    <t>https://ebookcentral.proquest.com/lib/NKNU/detail.action?docID=339431</t>
  </si>
  <si>
    <t>https://ebookcentral.proquest.com/lib/NKNU/detail.action?docID=340732</t>
  </si>
  <si>
    <t>https://ebookcentral.proquest.com/lib/NKNU/detail.action?docID=340798</t>
  </si>
  <si>
    <t>https://ebookcentral.proquest.com/lib/NKNU/detail.action?docID=340805</t>
  </si>
  <si>
    <t>https://ebookcentral.proquest.com/lib/NKNU/detail.action?docID=342374</t>
  </si>
  <si>
    <t>https://ebookcentral.proquest.com/lib/NKNU/detail.action?docID=343014</t>
  </si>
  <si>
    <t>https://ebookcentral.proquest.com/lib/NKNU/detail.action?docID=343052</t>
  </si>
  <si>
    <t>https://ebookcentral.proquest.com/lib/NKNU/detail.action?docID=343054</t>
  </si>
  <si>
    <t>https://ebookcentral.proquest.com/lib/NKNU/detail.action?docID=343056</t>
  </si>
  <si>
    <t>https://ebookcentral.proquest.com/lib/NKNU/detail.action?docID=343057</t>
  </si>
  <si>
    <t>https://ebookcentral.proquest.com/lib/NKNU/detail.action?docID=343251</t>
  </si>
  <si>
    <t>https://ebookcentral.proquest.com/lib/NKNU/detail.action?docID=343568</t>
  </si>
  <si>
    <t>https://ebookcentral.proquest.com/lib/NKNU/detail.action?docID=343572</t>
  </si>
  <si>
    <t>https://ebookcentral.proquest.com/lib/NKNU/detail.action?docID=343573</t>
  </si>
  <si>
    <t>https://ebookcentral.proquest.com/lib/NKNU/detail.action?docID=343575</t>
  </si>
  <si>
    <t>https://ebookcentral.proquest.com/lib/NKNU/detail.action?docID=343579</t>
  </si>
  <si>
    <t>https://ebookcentral.proquest.com/lib/NKNU/detail.action?docID=343580</t>
  </si>
  <si>
    <t>https://ebookcentral.proquest.com/lib/NKNU/detail.action?docID=343581</t>
  </si>
  <si>
    <t>https://ebookcentral.proquest.com/lib/NKNU/detail.action?docID=343736</t>
  </si>
  <si>
    <t>https://ebookcentral.proquest.com/lib/NKNU/detail.action?docID=343738</t>
  </si>
  <si>
    <t>https://ebookcentral.proquest.com/lib/NKNU/detail.action?docID=343743</t>
  </si>
  <si>
    <t>https://ebookcentral.proquest.com/lib/NKNU/detail.action?docID=343751</t>
  </si>
  <si>
    <t>https://ebookcentral.proquest.com/lib/NKNU/detail.action?docID=343785</t>
  </si>
  <si>
    <t>https://ebookcentral.proquest.com/lib/NKNU/detail.action?docID=343796</t>
  </si>
  <si>
    <t>https://ebookcentral.proquest.com/lib/NKNU/detail.action?docID=343802</t>
  </si>
  <si>
    <t>https://ebookcentral.proquest.com/lib/NKNU/detail.action?docID=343815</t>
  </si>
  <si>
    <t>https://ebookcentral.proquest.com/lib/NKNU/detail.action?docID=343817</t>
  </si>
  <si>
    <t>https://ebookcentral.proquest.com/lib/NKNU/detail.action?docID=343824</t>
  </si>
  <si>
    <t>https://ebookcentral.proquest.com/lib/NKNU/detail.action?docID=343826</t>
  </si>
  <si>
    <t>https://ebookcentral.proquest.com/lib/NKNU/detail.action?docID=343830</t>
  </si>
  <si>
    <t>https://ebookcentral.proquest.com/lib/NKNU/detail.action?docID=343832</t>
  </si>
  <si>
    <t>https://ebookcentral.proquest.com/lib/NKNU/detail.action?docID=343886</t>
  </si>
  <si>
    <t>https://ebookcentral.proquest.com/lib/NKNU/detail.action?docID=343897</t>
  </si>
  <si>
    <t>https://ebookcentral.proquest.com/lib/NKNU/detail.action?docID=343939</t>
  </si>
  <si>
    <t>https://ebookcentral.proquest.com/lib/NKNU/detail.action?docID=343955</t>
  </si>
  <si>
    <t>https://ebookcentral.proquest.com/lib/NKNU/detail.action?docID=343958</t>
  </si>
  <si>
    <t>https://ebookcentral.proquest.com/lib/NKNU/detail.action?docID=343969</t>
  </si>
  <si>
    <t>https://ebookcentral.proquest.com/lib/NKNU/detail.action?docID=343982</t>
  </si>
  <si>
    <t>https://ebookcentral.proquest.com/lib/NKNU/detail.action?docID=344099</t>
  </si>
  <si>
    <t>https://ebookcentral.proquest.com/lib/NKNU/detail.action?docID=345132</t>
  </si>
  <si>
    <t>https://ebookcentral.proquest.com/lib/NKNU/detail.action?docID=345134</t>
  </si>
  <si>
    <t>https://ebookcentral.proquest.com/lib/NKNU/detail.action?docID=345136</t>
  </si>
  <si>
    <t>https://ebookcentral.proquest.com/lib/NKNU/detail.action?docID=345139</t>
  </si>
  <si>
    <t>https://ebookcentral.proquest.com/lib/NKNU/detail.action?docID=345141</t>
  </si>
  <si>
    <t>https://ebookcentral.proquest.com/lib/NKNU/detail.action?docID=345174</t>
  </si>
  <si>
    <t>https://ebookcentral.proquest.com/lib/NKNU/detail.action?docID=345179</t>
  </si>
  <si>
    <t>https://ebookcentral.proquest.com/lib/NKNU/detail.action?docID=345185</t>
  </si>
  <si>
    <t>https://ebookcentral.proquest.com/lib/NKNU/detail.action?docID=345187</t>
  </si>
  <si>
    <t>https://ebookcentral.proquest.com/lib/NKNU/detail.action?docID=345188</t>
  </si>
  <si>
    <t>https://ebookcentral.proquest.com/lib/NKNU/detail.action?docID=345192</t>
  </si>
  <si>
    <t>https://ebookcentral.proquest.com/lib/NKNU/detail.action?docID=345549</t>
  </si>
  <si>
    <t>https://ebookcentral.proquest.com/lib/NKNU/detail.action?docID=345558</t>
  </si>
  <si>
    <t>https://ebookcentral.proquest.com/lib/NKNU/detail.action?docID=345569</t>
  </si>
  <si>
    <t>https://ebookcentral.proquest.com/lib/NKNU/detail.action?docID=346002</t>
  </si>
  <si>
    <t>https://ebookcentral.proquest.com/lib/NKNU/detail.action?docID=346009</t>
  </si>
  <si>
    <t>https://ebookcentral.proquest.com/lib/NKNU/detail.action?docID=346038</t>
  </si>
  <si>
    <t>https://ebookcentral.proquest.com/lib/NKNU/detail.action?docID=346108</t>
  </si>
  <si>
    <t>https://ebookcentral.proquest.com/lib/NKNU/detail.action?docID=348670</t>
  </si>
  <si>
    <t>https://ebookcentral.proquest.com/lib/NKNU/detail.action?docID=348675</t>
  </si>
  <si>
    <t>https://ebookcentral.proquest.com/lib/NKNU/detail.action?docID=348828</t>
  </si>
  <si>
    <t>https://ebookcentral.proquest.com/lib/NKNU/detail.action?docID=349732</t>
  </si>
  <si>
    <t>https://ebookcentral.proquest.com/lib/NKNU/detail.action?docID=349740</t>
  </si>
  <si>
    <t>https://ebookcentral.proquest.com/lib/NKNU/detail.action?docID=349741</t>
  </si>
  <si>
    <t>https://ebookcentral.proquest.com/lib/NKNU/detail.action?docID=349742</t>
  </si>
  <si>
    <t>https://ebookcentral.proquest.com/lib/NKNU/detail.action?docID=349743</t>
  </si>
  <si>
    <t>https://ebookcentral.proquest.com/lib/NKNU/detail.action?docID=349744</t>
  </si>
  <si>
    <t>https://ebookcentral.proquest.com/lib/NKNU/detail.action?docID=349745</t>
  </si>
  <si>
    <t>https://ebookcentral.proquest.com/lib/NKNU/detail.action?docID=349965</t>
  </si>
  <si>
    <t>https://ebookcentral.proquest.com/lib/NKNU/detail.action?docID=349988</t>
  </si>
  <si>
    <t>https://ebookcentral.proquest.com/lib/NKNU/detail.action?docID=350182</t>
  </si>
  <si>
    <t>https://ebookcentral.proquest.com/lib/NKNU/detail.action?docID=350185</t>
  </si>
  <si>
    <t>https://ebookcentral.proquest.com/lib/NKNU/detail.action?docID=350186</t>
  </si>
  <si>
    <t>https://ebookcentral.proquest.com/lib/NKNU/detail.action?docID=350316</t>
  </si>
  <si>
    <t>https://ebookcentral.proquest.com/lib/NKNU/detail.action?docID=350317</t>
  </si>
  <si>
    <t>https://ebookcentral.proquest.com/lib/NKNU/detail.action?docID=350330</t>
  </si>
  <si>
    <t>https://ebookcentral.proquest.com/lib/NKNU/detail.action?docID=350352</t>
  </si>
  <si>
    <t>https://ebookcentral.proquest.com/lib/NKNU/detail.action?docID=350380</t>
  </si>
  <si>
    <t>https://ebookcentral.proquest.com/lib/NKNU/detail.action?docID=350390</t>
  </si>
  <si>
    <t>https://ebookcentral.proquest.com/lib/NKNU/detail.action?docID=350642</t>
  </si>
  <si>
    <t>https://ebookcentral.proquest.com/lib/NKNU/detail.action?docID=350665</t>
  </si>
  <si>
    <t>https://ebookcentral.proquest.com/lib/NKNU/detail.action?docID=350884</t>
  </si>
  <si>
    <t>https://ebookcentral.proquest.com/lib/NKNU/detail.action?docID=351003</t>
  </si>
  <si>
    <t>https://ebookcentral.proquest.com/lib/NKNU/detail.action?docID=351444</t>
  </si>
  <si>
    <t>https://ebookcentral.proquest.com/lib/NKNU/detail.action?docID=351519</t>
  </si>
  <si>
    <t>https://ebookcentral.proquest.com/lib/NKNU/detail.action?docID=352277</t>
  </si>
  <si>
    <t>https://ebookcentral.proquest.com/lib/NKNU/detail.action?docID=352286</t>
  </si>
  <si>
    <t>https://ebookcentral.proquest.com/lib/NKNU/detail.action?docID=353219</t>
  </si>
  <si>
    <t>https://ebookcentral.proquest.com/lib/NKNU/detail.action?docID=353533</t>
  </si>
  <si>
    <t>https://ebookcentral.proquest.com/lib/NKNU/detail.action?docID=354270</t>
  </si>
  <si>
    <t>https://ebookcentral.proquest.com/lib/NKNU/detail.action?docID=354868</t>
  </si>
  <si>
    <t>https://ebookcentral.proquest.com/lib/NKNU/detail.action?docID=354879</t>
  </si>
  <si>
    <t>https://ebookcentral.proquest.com/lib/NKNU/detail.action?docID=354884</t>
  </si>
  <si>
    <t>https://ebookcentral.proquest.com/lib/NKNU/detail.action?docID=354886</t>
  </si>
  <si>
    <t>https://ebookcentral.proquest.com/lib/NKNU/detail.action?docID=354899</t>
  </si>
  <si>
    <t>https://ebookcentral.proquest.com/lib/NKNU/detail.action?docID=354905</t>
  </si>
  <si>
    <t>https://ebookcentral.proquest.com/lib/NKNU/detail.action?docID=354933</t>
  </si>
  <si>
    <t>https://ebookcentral.proquest.com/lib/NKNU/detail.action?docID=354948</t>
  </si>
  <si>
    <t>https://ebookcentral.proquest.com/lib/NKNU/detail.action?docID=354960</t>
  </si>
  <si>
    <t>https://ebookcentral.proquest.com/lib/NKNU/detail.action?docID=355057</t>
  </si>
  <si>
    <t>https://ebookcentral.proquest.com/lib/NKNU/detail.action?docID=355274</t>
  </si>
  <si>
    <t>https://ebookcentral.proquest.com/lib/NKNU/detail.action?docID=355276</t>
  </si>
  <si>
    <t>https://ebookcentral.proquest.com/lib/NKNU/detail.action?docID=355278</t>
  </si>
  <si>
    <t>https://ebookcentral.proquest.com/lib/NKNU/detail.action?docID=355285</t>
  </si>
  <si>
    <t>https://ebookcentral.proquest.com/lib/NKNU/detail.action?docID=355587</t>
  </si>
  <si>
    <t>https://ebookcentral.proquest.com/lib/NKNU/detail.action?docID=355593</t>
  </si>
  <si>
    <t>https://ebookcentral.proquest.com/lib/NKNU/detail.action?docID=355594</t>
  </si>
  <si>
    <t>https://ebookcentral.proquest.com/lib/NKNU/detail.action?docID=355598</t>
  </si>
  <si>
    <t>https://ebookcentral.proquest.com/lib/NKNU/detail.action?docID=355599</t>
  </si>
  <si>
    <t>https://ebookcentral.proquest.com/lib/NKNU/detail.action?docID=355602</t>
  </si>
  <si>
    <t>https://ebookcentral.proquest.com/lib/NKNU/detail.action?docID=355603</t>
  </si>
  <si>
    <t>https://ebookcentral.proquest.com/lib/NKNU/detail.action?docID=355607</t>
  </si>
  <si>
    <t>https://ebookcentral.proquest.com/lib/NKNU/detail.action?docID=355940</t>
  </si>
  <si>
    <t>https://ebookcentral.proquest.com/lib/NKNU/detail.action?docID=355941</t>
  </si>
  <si>
    <t>https://ebookcentral.proquest.com/lib/NKNU/detail.action?docID=355942</t>
  </si>
  <si>
    <t>https://ebookcentral.proquest.com/lib/NKNU/detail.action?docID=355944</t>
  </si>
  <si>
    <t>https://ebookcentral.proquest.com/lib/NKNU/detail.action?docID=355945</t>
  </si>
  <si>
    <t>https://ebookcentral.proquest.com/lib/NKNU/detail.action?docID=355946</t>
  </si>
  <si>
    <t>https://ebookcentral.proquest.com/lib/NKNU/detail.action?docID=355950</t>
  </si>
  <si>
    <t>https://ebookcentral.proquest.com/lib/NKNU/detail.action?docID=355959</t>
  </si>
  <si>
    <t>https://ebookcentral.proquest.com/lib/NKNU/detail.action?docID=355960</t>
  </si>
  <si>
    <t>https://ebookcentral.proquest.com/lib/NKNU/detail.action?docID=355962</t>
  </si>
  <si>
    <t>https://ebookcentral.proquest.com/lib/NKNU/detail.action?docID=355968</t>
  </si>
  <si>
    <t>https://ebookcentral.proquest.com/lib/NKNU/detail.action?docID=355969</t>
  </si>
  <si>
    <t>https://ebookcentral.proquest.com/lib/NKNU/detail.action?docID=355970</t>
  </si>
  <si>
    <t>https://ebookcentral.proquest.com/lib/NKNU/detail.action?docID=355974</t>
  </si>
  <si>
    <t>https://ebookcentral.proquest.com/lib/NKNU/detail.action?docID=355976</t>
  </si>
  <si>
    <t>https://ebookcentral.proquest.com/lib/NKNU/detail.action?docID=355979</t>
  </si>
  <si>
    <t>https://ebookcentral.proquest.com/lib/NKNU/detail.action?docID=355980</t>
  </si>
  <si>
    <t>https://ebookcentral.proquest.com/lib/NKNU/detail.action?docID=355982</t>
  </si>
  <si>
    <t>https://ebookcentral.proquest.com/lib/NKNU/detail.action?docID=355983</t>
  </si>
  <si>
    <t>https://ebookcentral.proquest.com/lib/NKNU/detail.action?docID=355984</t>
  </si>
  <si>
    <t>https://ebookcentral.proquest.com/lib/NKNU/detail.action?docID=355985</t>
  </si>
  <si>
    <t>https://ebookcentral.proquest.com/lib/NKNU/detail.action?docID=355986</t>
  </si>
  <si>
    <t>https://ebookcentral.proquest.com/lib/NKNU/detail.action?docID=355990</t>
  </si>
  <si>
    <t>https://ebookcentral.proquest.com/lib/NKNU/detail.action?docID=355993</t>
  </si>
  <si>
    <t>https://ebookcentral.proquest.com/lib/NKNU/detail.action?docID=355997</t>
  </si>
  <si>
    <t>https://ebookcentral.proquest.com/lib/NKNU/detail.action?docID=355999</t>
  </si>
  <si>
    <t>https://ebookcentral.proquest.com/lib/NKNU/detail.action?docID=356003</t>
  </si>
  <si>
    <t>https://ebookcentral.proquest.com/lib/NKNU/detail.action?docID=356004</t>
  </si>
  <si>
    <t>https://ebookcentral.proquest.com/lib/NKNU/detail.action?docID=356006</t>
  </si>
  <si>
    <t>https://ebookcentral.proquest.com/lib/NKNU/detail.action?docID=356007</t>
  </si>
  <si>
    <t>https://ebookcentral.proquest.com/lib/NKNU/detail.action?docID=356010</t>
  </si>
  <si>
    <t>https://ebookcentral.proquest.com/lib/NKNU/detail.action?docID=356012</t>
  </si>
  <si>
    <t>https://ebookcentral.proquest.com/lib/NKNU/detail.action?docID=356015</t>
  </si>
  <si>
    <t>https://ebookcentral.proquest.com/lib/NKNU/detail.action?docID=356017</t>
  </si>
  <si>
    <t>https://ebookcentral.proquest.com/lib/NKNU/detail.action?docID=356018</t>
  </si>
  <si>
    <t>https://ebookcentral.proquest.com/lib/NKNU/detail.action?docID=356021</t>
  </si>
  <si>
    <t>https://ebookcentral.proquest.com/lib/NKNU/detail.action?docID=356022</t>
  </si>
  <si>
    <t>https://ebookcentral.proquest.com/lib/NKNU/detail.action?docID=356024</t>
  </si>
  <si>
    <t>https://ebookcentral.proquest.com/lib/NKNU/detail.action?docID=356027</t>
  </si>
  <si>
    <t>https://ebookcentral.proquest.com/lib/NKNU/detail.action?docID=356037</t>
  </si>
  <si>
    <t>https://ebookcentral.proquest.com/lib/NKNU/detail.action?docID=356039</t>
  </si>
  <si>
    <t>https://ebookcentral.proquest.com/lib/NKNU/detail.action?docID=356042</t>
  </si>
  <si>
    <t>https://ebookcentral.proquest.com/lib/NKNU/detail.action?docID=356043</t>
  </si>
  <si>
    <t>https://ebookcentral.proquest.com/lib/NKNU/detail.action?docID=356045</t>
  </si>
  <si>
    <t>https://ebookcentral.proquest.com/lib/NKNU/detail.action?docID=356047</t>
  </si>
  <si>
    <t>https://ebookcentral.proquest.com/lib/NKNU/detail.action?docID=356049</t>
  </si>
  <si>
    <t>https://ebookcentral.proquest.com/lib/NKNU/detail.action?docID=356050</t>
  </si>
  <si>
    <t>https://ebookcentral.proquest.com/lib/NKNU/detail.action?docID=356051</t>
  </si>
  <si>
    <t>https://ebookcentral.proquest.com/lib/NKNU/detail.action?docID=356060</t>
  </si>
  <si>
    <t>https://ebookcentral.proquest.com/lib/NKNU/detail.action?docID=356061</t>
  </si>
  <si>
    <t>https://ebookcentral.proquest.com/lib/NKNU/detail.action?docID=356065</t>
  </si>
  <si>
    <t>https://ebookcentral.proquest.com/lib/NKNU/detail.action?docID=356067</t>
  </si>
  <si>
    <t>https://ebookcentral.proquest.com/lib/NKNU/detail.action?docID=356068</t>
  </si>
  <si>
    <t>https://ebookcentral.proquest.com/lib/NKNU/detail.action?docID=356073</t>
  </si>
  <si>
    <t>https://ebookcentral.proquest.com/lib/NKNU/detail.action?docID=356074</t>
  </si>
  <si>
    <t>https://ebookcentral.proquest.com/lib/NKNU/detail.action?docID=356075</t>
  </si>
  <si>
    <t>https://ebookcentral.proquest.com/lib/NKNU/detail.action?docID=356076</t>
  </si>
  <si>
    <t>https://ebookcentral.proquest.com/lib/NKNU/detail.action?docID=356078</t>
  </si>
  <si>
    <t>https://ebookcentral.proquest.com/lib/NKNU/detail.action?docID=356081</t>
  </si>
  <si>
    <t>https://ebookcentral.proquest.com/lib/NKNU/detail.action?docID=356082</t>
  </si>
  <si>
    <t>https://ebookcentral.proquest.com/lib/NKNU/detail.action?docID=356083</t>
  </si>
  <si>
    <t>https://ebookcentral.proquest.com/lib/NKNU/detail.action?docID=356085</t>
  </si>
  <si>
    <t>https://ebookcentral.proquest.com/lib/NKNU/detail.action?docID=356086</t>
  </si>
  <si>
    <t>https://ebookcentral.proquest.com/lib/NKNU/detail.action?docID=356087</t>
  </si>
  <si>
    <t>https://ebookcentral.proquest.com/lib/NKNU/detail.action?docID=356088</t>
  </si>
  <si>
    <t>https://ebookcentral.proquest.com/lib/NKNU/detail.action?docID=356097</t>
  </si>
  <si>
    <t>https://ebookcentral.proquest.com/lib/NKNU/detail.action?docID=356099</t>
  </si>
  <si>
    <t>https://ebookcentral.proquest.com/lib/NKNU/detail.action?docID=356103</t>
  </si>
  <si>
    <t>https://ebookcentral.proquest.com/lib/NKNU/detail.action?docID=356111</t>
  </si>
  <si>
    <t>https://ebookcentral.proquest.com/lib/NKNU/detail.action?docID=356112</t>
  </si>
  <si>
    <t>https://ebookcentral.proquest.com/lib/NKNU/detail.action?docID=356113</t>
  </si>
  <si>
    <t>https://ebookcentral.proquest.com/lib/NKNU/detail.action?docID=356114</t>
  </si>
  <si>
    <t>https://ebookcentral.proquest.com/lib/NKNU/detail.action?docID=356117</t>
  </si>
  <si>
    <t>https://ebookcentral.proquest.com/lib/NKNU/detail.action?docID=356118</t>
  </si>
  <si>
    <t>https://ebookcentral.proquest.com/lib/NKNU/detail.action?docID=356120</t>
  </si>
  <si>
    <t>https://ebookcentral.proquest.com/lib/NKNU/detail.action?docID=356124</t>
  </si>
  <si>
    <t>https://ebookcentral.proquest.com/lib/NKNU/detail.action?docID=356133</t>
  </si>
  <si>
    <t>https://ebookcentral.proquest.com/lib/NKNU/detail.action?docID=356137</t>
  </si>
  <si>
    <t>https://ebookcentral.proquest.com/lib/NKNU/detail.action?docID=356140</t>
  </si>
  <si>
    <t>https://ebookcentral.proquest.com/lib/NKNU/detail.action?docID=356145</t>
  </si>
  <si>
    <t>https://ebookcentral.proquest.com/lib/NKNU/detail.action?docID=356147</t>
  </si>
  <si>
    <t>https://ebookcentral.proquest.com/lib/NKNU/detail.action?docID=356148</t>
  </si>
  <si>
    <t>https://ebookcentral.proquest.com/lib/NKNU/detail.action?docID=356152</t>
  </si>
  <si>
    <t>https://ebookcentral.proquest.com/lib/NKNU/detail.action?docID=356157</t>
  </si>
  <si>
    <t>https://ebookcentral.proquest.com/lib/NKNU/detail.action?docID=356164</t>
  </si>
  <si>
    <t>https://ebookcentral.proquest.com/lib/NKNU/detail.action?docID=356168</t>
  </si>
  <si>
    <t>https://ebookcentral.proquest.com/lib/NKNU/detail.action?docID=356176</t>
  </si>
  <si>
    <t>https://ebookcentral.proquest.com/lib/NKNU/detail.action?docID=356181</t>
  </si>
  <si>
    <t>https://ebookcentral.proquest.com/lib/NKNU/detail.action?docID=356184</t>
  </si>
  <si>
    <t>https://ebookcentral.proquest.com/lib/NKNU/detail.action?docID=356196</t>
  </si>
  <si>
    <t>https://ebookcentral.proquest.com/lib/NKNU/detail.action?docID=356200</t>
  </si>
  <si>
    <t>https://ebookcentral.proquest.com/lib/NKNU/detail.action?docID=356201</t>
  </si>
  <si>
    <t>https://ebookcentral.proquest.com/lib/NKNU/detail.action?docID=356202</t>
  </si>
  <si>
    <t>https://ebookcentral.proquest.com/lib/NKNU/detail.action?docID=356203</t>
  </si>
  <si>
    <t>https://ebookcentral.proquest.com/lib/NKNU/detail.action?docID=356210</t>
  </si>
  <si>
    <t>https://ebookcentral.proquest.com/lib/NKNU/detail.action?docID=356211</t>
  </si>
  <si>
    <t>https://ebookcentral.proquest.com/lib/NKNU/detail.action?docID=356214</t>
  </si>
  <si>
    <t>https://ebookcentral.proquest.com/lib/NKNU/detail.action?docID=356227</t>
  </si>
  <si>
    <t>https://ebookcentral.proquest.com/lib/NKNU/detail.action?docID=356237</t>
  </si>
  <si>
    <t>https://ebookcentral.proquest.com/lib/NKNU/detail.action?docID=356241</t>
  </si>
  <si>
    <t>https://ebookcentral.proquest.com/lib/NKNU/detail.action?docID=356244</t>
  </si>
  <si>
    <t>https://ebookcentral.proquest.com/lib/NKNU/detail.action?docID=356246</t>
  </si>
  <si>
    <t>https://ebookcentral.proquest.com/lib/NKNU/detail.action?docID=356247</t>
  </si>
  <si>
    <t>https://ebookcentral.proquest.com/lib/NKNU/detail.action?docID=356250</t>
  </si>
  <si>
    <t>https://ebookcentral.proquest.com/lib/NKNU/detail.action?docID=356253</t>
  </si>
  <si>
    <t>https://ebookcentral.proquest.com/lib/NKNU/detail.action?docID=356254</t>
  </si>
  <si>
    <t>https://ebookcentral.proquest.com/lib/NKNU/detail.action?docID=356257</t>
  </si>
  <si>
    <t>https://ebookcentral.proquest.com/lib/NKNU/detail.action?docID=356258</t>
  </si>
  <si>
    <t>https://ebookcentral.proquest.com/lib/NKNU/detail.action?docID=356262</t>
  </si>
  <si>
    <t>https://ebookcentral.proquest.com/lib/NKNU/detail.action?docID=356269</t>
  </si>
  <si>
    <t>https://ebookcentral.proquest.com/lib/NKNU/detail.action?docID=357981</t>
  </si>
  <si>
    <t>https://ebookcentral.proquest.com/lib/NKNU/detail.action?docID=358038</t>
  </si>
  <si>
    <t>https://ebookcentral.proquest.com/lib/NKNU/detail.action?docID=358595</t>
  </si>
  <si>
    <t>https://ebookcentral.proquest.com/lib/NKNU/detail.action?docID=358622</t>
  </si>
  <si>
    <t>https://ebookcentral.proquest.com/lib/NKNU/detail.action?docID=358626</t>
  </si>
  <si>
    <t>https://ebookcentral.proquest.com/lib/NKNU/detail.action?docID=358627</t>
  </si>
  <si>
    <t>https://ebookcentral.proquest.com/lib/NKNU/detail.action?docID=359844</t>
  </si>
  <si>
    <t>https://ebookcentral.proquest.com/lib/NKNU/detail.action?docID=360048</t>
  </si>
  <si>
    <t>https://ebookcentral.proquest.com/lib/NKNU/detail.action?docID=360117</t>
  </si>
  <si>
    <t>https://ebookcentral.proquest.com/lib/NKNU/detail.action?docID=360936</t>
  </si>
  <si>
    <t>https://ebookcentral.proquest.com/lib/NKNU/detail.action?docID=361660</t>
  </si>
  <si>
    <t>https://ebookcentral.proquest.com/lib/NKNU/detail.action?docID=361748</t>
  </si>
  <si>
    <t>https://ebookcentral.proquest.com/lib/NKNU/detail.action?docID=361751</t>
  </si>
  <si>
    <t>https://ebookcentral.proquest.com/lib/NKNU/detail.action?docID=361886</t>
  </si>
  <si>
    <t>https://ebookcentral.proquest.com/lib/NKNU/detail.action?docID=361902</t>
  </si>
  <si>
    <t>https://ebookcentral.proquest.com/lib/NKNU/detail.action?docID=361909</t>
  </si>
  <si>
    <t>https://ebookcentral.proquest.com/lib/NKNU/detail.action?docID=361911</t>
  </si>
  <si>
    <t>https://ebookcentral.proquest.com/lib/NKNU/detail.action?docID=361913</t>
  </si>
  <si>
    <t>https://ebookcentral.proquest.com/lib/NKNU/detail.action?docID=361915</t>
  </si>
  <si>
    <t>https://ebookcentral.proquest.com/lib/NKNU/detail.action?docID=361916</t>
  </si>
  <si>
    <t>https://ebookcentral.proquest.com/lib/NKNU/detail.action?docID=361936</t>
  </si>
  <si>
    <t>https://ebookcentral.proquest.com/lib/NKNU/detail.action?docID=361937</t>
  </si>
  <si>
    <t>https://ebookcentral.proquest.com/lib/NKNU/detail.action?docID=361939</t>
  </si>
  <si>
    <t>https://ebookcentral.proquest.com/lib/NKNU/detail.action?docID=361951</t>
  </si>
  <si>
    <t>https://ebookcentral.proquest.com/lib/NKNU/detail.action?docID=361954</t>
  </si>
  <si>
    <t>https://ebookcentral.proquest.com/lib/NKNU/detail.action?docID=361959</t>
  </si>
  <si>
    <t>https://ebookcentral.proquest.com/lib/NKNU/detail.action?docID=361960</t>
  </si>
  <si>
    <t>https://ebookcentral.proquest.com/lib/NKNU/detail.action?docID=361962</t>
  </si>
  <si>
    <t>https://ebookcentral.proquest.com/lib/NKNU/detail.action?docID=362054</t>
  </si>
  <si>
    <t>https://ebookcentral.proquest.com/lib/NKNU/detail.action?docID=362089</t>
  </si>
  <si>
    <t>https://ebookcentral.proquest.com/lib/NKNU/detail.action?docID=362538</t>
  </si>
  <si>
    <t>https://ebookcentral.proquest.com/lib/NKNU/detail.action?docID=362558</t>
  </si>
  <si>
    <t>https://ebookcentral.proquest.com/lib/NKNU/detail.action?docID=363237</t>
  </si>
  <si>
    <t>https://ebookcentral.proquest.com/lib/NKNU/detail.action?docID=364649</t>
  </si>
  <si>
    <t>https://ebookcentral.proquest.com/lib/NKNU/detail.action?docID=364657</t>
  </si>
  <si>
    <t>https://ebookcentral.proquest.com/lib/NKNU/detail.action?docID=364658</t>
  </si>
  <si>
    <t>https://ebookcentral.proquest.com/lib/NKNU/detail.action?docID=364659</t>
  </si>
  <si>
    <t>https://ebookcentral.proquest.com/lib/NKNU/detail.action?docID=364663</t>
  </si>
  <si>
    <t>https://ebookcentral.proquest.com/lib/NKNU/detail.action?docID=364665</t>
  </si>
  <si>
    <t>https://ebookcentral.proquest.com/lib/NKNU/detail.action?docID=364667</t>
  </si>
  <si>
    <t>https://ebookcentral.proquest.com/lib/NKNU/detail.action?docID=364672</t>
  </si>
  <si>
    <t>https://ebookcentral.proquest.com/lib/NKNU/detail.action?docID=364674</t>
  </si>
  <si>
    <t>https://ebookcentral.proquest.com/lib/NKNU/detail.action?docID=364685</t>
  </si>
  <si>
    <t>https://ebookcentral.proquest.com/lib/NKNU/detail.action?docID=364686</t>
  </si>
  <si>
    <t>https://ebookcentral.proquest.com/lib/NKNU/detail.action?docID=364692</t>
  </si>
  <si>
    <t>https://ebookcentral.proquest.com/lib/NKNU/detail.action?docID=364693</t>
  </si>
  <si>
    <t>https://ebookcentral.proquest.com/lib/NKNU/detail.action?docID=364700</t>
  </si>
  <si>
    <t>https://ebookcentral.proquest.com/lib/NKNU/detail.action?docID=364701</t>
  </si>
  <si>
    <t>https://ebookcentral.proquest.com/lib/NKNU/detail.action?docID=364715</t>
  </si>
  <si>
    <t>https://ebookcentral.proquest.com/lib/NKNU/detail.action?docID=364733</t>
  </si>
  <si>
    <t>https://ebookcentral.proquest.com/lib/NKNU/detail.action?docID=364735</t>
  </si>
  <si>
    <t>https://ebookcentral.proquest.com/lib/NKNU/detail.action?docID=364821</t>
  </si>
  <si>
    <t>https://ebookcentral.proquest.com/lib/NKNU/detail.action?docID=364822</t>
  </si>
  <si>
    <t>https://ebookcentral.proquest.com/lib/NKNU/detail.action?docID=365058</t>
  </si>
  <si>
    <t>https://ebookcentral.proquest.com/lib/NKNU/detail.action?docID=366045</t>
  </si>
  <si>
    <t>https://ebookcentral.proquest.com/lib/NKNU/detail.action?docID=366064</t>
  </si>
  <si>
    <t>https://ebookcentral.proquest.com/lib/NKNU/detail.action?docID=366080</t>
  </si>
  <si>
    <t>https://ebookcentral.proquest.com/lib/NKNU/detail.action?docID=366083</t>
  </si>
  <si>
    <t>https://ebookcentral.proquest.com/lib/NKNU/detail.action?docID=366084</t>
  </si>
  <si>
    <t>https://ebookcentral.proquest.com/lib/NKNU/detail.action?docID=366085</t>
  </si>
  <si>
    <t>https://ebookcentral.proquest.com/lib/NKNU/detail.action?docID=366119</t>
  </si>
  <si>
    <t>https://ebookcentral.proquest.com/lib/NKNU/detail.action?docID=366122</t>
  </si>
  <si>
    <t>https://ebookcentral.proquest.com/lib/NKNU/detail.action?docID=366146</t>
  </si>
  <si>
    <t>https://ebookcentral.proquest.com/lib/NKNU/detail.action?docID=366150</t>
  </si>
  <si>
    <t>https://ebookcentral.proquest.com/lib/NKNU/detail.action?docID=366166</t>
  </si>
  <si>
    <t>https://ebookcentral.proquest.com/lib/NKNU/detail.action?docID=366201</t>
  </si>
  <si>
    <t>https://ebookcentral.proquest.com/lib/NKNU/detail.action?docID=366209</t>
  </si>
  <si>
    <t>https://ebookcentral.proquest.com/lib/NKNU/detail.action?docID=366218</t>
  </si>
  <si>
    <t>https://ebookcentral.proquest.com/lib/NKNU/detail.action?docID=366244</t>
  </si>
  <si>
    <t>https://ebookcentral.proquest.com/lib/NKNU/detail.action?docID=366245</t>
  </si>
  <si>
    <t>https://ebookcentral.proquest.com/lib/NKNU/detail.action?docID=366256</t>
  </si>
  <si>
    <t>https://ebookcentral.proquest.com/lib/NKNU/detail.action?docID=366257</t>
  </si>
  <si>
    <t>https://ebookcentral.proquest.com/lib/NKNU/detail.action?docID=366302</t>
  </si>
  <si>
    <t>https://ebookcentral.proquest.com/lib/NKNU/detail.action?docID=366379</t>
  </si>
  <si>
    <t>https://ebookcentral.proquest.com/lib/NKNU/detail.action?docID=366393</t>
  </si>
  <si>
    <t>https://ebookcentral.proquest.com/lib/NKNU/detail.action?docID=366394</t>
  </si>
  <si>
    <t>https://ebookcentral.proquest.com/lib/NKNU/detail.action?docID=366412</t>
  </si>
  <si>
    <t>https://ebookcentral.proquest.com/lib/NKNU/detail.action?docID=366414</t>
  </si>
  <si>
    <t>https://ebookcentral.proquest.com/lib/NKNU/detail.action?docID=366415</t>
  </si>
  <si>
    <t>https://ebookcentral.proquest.com/lib/NKNU/detail.action?docID=366419</t>
  </si>
  <si>
    <t>https://ebookcentral.proquest.com/lib/NKNU/detail.action?docID=366420</t>
  </si>
  <si>
    <t>https://ebookcentral.proquest.com/lib/NKNU/detail.action?docID=366421</t>
  </si>
  <si>
    <t>https://ebookcentral.proquest.com/lib/NKNU/detail.action?docID=366423</t>
  </si>
  <si>
    <t>https://ebookcentral.proquest.com/lib/NKNU/detail.action?docID=366430</t>
  </si>
  <si>
    <t>https://ebookcentral.proquest.com/lib/NKNU/detail.action?docID=366455</t>
  </si>
  <si>
    <t>https://ebookcentral.proquest.com/lib/NKNU/detail.action?docID=366460</t>
  </si>
  <si>
    <t>https://ebookcentral.proquest.com/lib/NKNU/detail.action?docID=366480</t>
  </si>
  <si>
    <t>https://ebookcentral.proquest.com/lib/NKNU/detail.action?docID=366482</t>
  </si>
  <si>
    <t>https://ebookcentral.proquest.com/lib/NKNU/detail.action?docID=366495</t>
  </si>
  <si>
    <t>https://ebookcentral.proquest.com/lib/NKNU/detail.action?docID=366522</t>
  </si>
  <si>
    <t>https://ebookcentral.proquest.com/lib/NKNU/detail.action?docID=366523</t>
  </si>
  <si>
    <t>https://ebookcentral.proquest.com/lib/NKNU/detail.action?docID=366539</t>
  </si>
  <si>
    <t>https://ebookcentral.proquest.com/lib/NKNU/detail.action?docID=366542</t>
  </si>
  <si>
    <t>https://ebookcentral.proquest.com/lib/NKNU/detail.action?docID=366689</t>
  </si>
  <si>
    <t>https://ebookcentral.proquest.com/lib/NKNU/detail.action?docID=366875</t>
  </si>
  <si>
    <t>https://ebookcentral.proquest.com/lib/NKNU/detail.action?docID=367138</t>
  </si>
  <si>
    <t>https://ebookcentral.proquest.com/lib/NKNU/detail.action?docID=368495</t>
  </si>
  <si>
    <t>https://ebookcentral.proquest.com/lib/NKNU/detail.action?docID=368672</t>
  </si>
  <si>
    <t>https://ebookcentral.proquest.com/lib/NKNU/detail.action?docID=368681</t>
  </si>
  <si>
    <t>https://ebookcentral.proquest.com/lib/NKNU/detail.action?docID=368715</t>
  </si>
  <si>
    <t>https://ebookcentral.proquest.com/lib/NKNU/detail.action?docID=370266</t>
  </si>
  <si>
    <t>https://ebookcentral.proquest.com/lib/NKNU/detail.action?docID=370282</t>
  </si>
  <si>
    <t>https://ebookcentral.proquest.com/lib/NKNU/detail.action?docID=370283</t>
  </si>
  <si>
    <t>https://ebookcentral.proquest.com/lib/NKNU/detail.action?docID=370284</t>
  </si>
  <si>
    <t>https://ebookcentral.proquest.com/lib/NKNU/detail.action?docID=370288</t>
  </si>
  <si>
    <t>https://ebookcentral.proquest.com/lib/NKNU/detail.action?docID=370296</t>
  </si>
  <si>
    <t>https://ebookcentral.proquest.com/lib/NKNU/detail.action?docID=370301</t>
  </si>
  <si>
    <t>https://ebookcentral.proquest.com/lib/NKNU/detail.action?docID=370493</t>
  </si>
  <si>
    <t>https://ebookcentral.proquest.com/lib/NKNU/detail.action?docID=370494</t>
  </si>
  <si>
    <t>https://ebookcentral.proquest.com/lib/NKNU/detail.action?docID=370499</t>
  </si>
  <si>
    <t>https://ebookcentral.proquest.com/lib/NKNU/detail.action?docID=370500</t>
  </si>
  <si>
    <t>https://ebookcentral.proquest.com/lib/NKNU/detail.action?docID=370507</t>
  </si>
  <si>
    <t>https://ebookcentral.proquest.com/lib/NKNU/detail.action?docID=370508</t>
  </si>
  <si>
    <t>https://ebookcentral.proquest.com/lib/NKNU/detail.action?docID=370525</t>
  </si>
  <si>
    <t>https://ebookcentral.proquest.com/lib/NKNU/detail.action?docID=370528</t>
  </si>
  <si>
    <t>https://ebookcentral.proquest.com/lib/NKNU/detail.action?docID=370540</t>
  </si>
  <si>
    <t>https://ebookcentral.proquest.com/lib/NKNU/detail.action?docID=371186</t>
  </si>
  <si>
    <t>https://ebookcentral.proquest.com/lib/NKNU/detail.action?docID=380340</t>
  </si>
  <si>
    <t>https://ebookcentral.proquest.com/lib/NKNU/detail.action?docID=380378</t>
  </si>
  <si>
    <t>https://ebookcentral.proquest.com/lib/NKNU/detail.action?docID=380381</t>
  </si>
  <si>
    <t>https://ebookcentral.proquest.com/lib/NKNU/detail.action?docID=380393</t>
  </si>
  <si>
    <t>https://ebookcentral.proquest.com/lib/NKNU/detail.action?docID=380394</t>
  </si>
  <si>
    <t>https://ebookcentral.proquest.com/lib/NKNU/detail.action?docID=380395</t>
  </si>
  <si>
    <t>https://ebookcentral.proquest.com/lib/NKNU/detail.action?docID=380396</t>
  </si>
  <si>
    <t>https://ebookcentral.proquest.com/lib/NKNU/detail.action?docID=380399</t>
  </si>
  <si>
    <t>https://ebookcentral.proquest.com/lib/NKNU/detail.action?docID=380806</t>
  </si>
  <si>
    <t>https://ebookcentral.proquest.com/lib/NKNU/detail.action?docID=380807</t>
  </si>
  <si>
    <t>https://ebookcentral.proquest.com/lib/NKNU/detail.action?docID=395560</t>
  </si>
  <si>
    <t>https://ebookcentral.proquest.com/lib/NKNU/detail.action?docID=400844</t>
  </si>
  <si>
    <t>https://ebookcentral.proquest.com/lib/NKNU/detail.action?docID=404323</t>
  </si>
  <si>
    <t>https://ebookcentral.proquest.com/lib/NKNU/detail.action?docID=405972</t>
  </si>
  <si>
    <t>https://ebookcentral.proquest.com/lib/NKNU/detail.action?docID=405976</t>
  </si>
  <si>
    <t>https://ebookcentral.proquest.com/lib/NKNU/detail.action?docID=405984</t>
  </si>
  <si>
    <t>https://ebookcentral.proquest.com/lib/NKNU/detail.action?docID=406004</t>
  </si>
  <si>
    <t>https://ebookcentral.proquest.com/lib/NKNU/detail.action?docID=406027</t>
  </si>
  <si>
    <t>https://ebookcentral.proquest.com/lib/NKNU/detail.action?docID=406030</t>
  </si>
  <si>
    <t>https://ebookcentral.proquest.com/lib/NKNU/detail.action?docID=406035</t>
  </si>
  <si>
    <t>https://ebookcentral.proquest.com/lib/NKNU/detail.action?docID=406357</t>
  </si>
  <si>
    <t>https://ebookcentral.proquest.com/lib/NKNU/detail.action?docID=406360</t>
  </si>
  <si>
    <t>https://ebookcentral.proquest.com/lib/NKNU/detail.action?docID=406361</t>
  </si>
  <si>
    <t>https://ebookcentral.proquest.com/lib/NKNU/detail.action?docID=406379</t>
  </si>
  <si>
    <t>https://ebookcentral.proquest.com/lib/NKNU/detail.action?docID=406380</t>
  </si>
  <si>
    <t>https://ebookcentral.proquest.com/lib/NKNU/detail.action?docID=406381</t>
  </si>
  <si>
    <t>https://ebookcentral.proquest.com/lib/NKNU/detail.action?docID=406387</t>
  </si>
  <si>
    <t>https://ebookcentral.proquest.com/lib/NKNU/detail.action?docID=406401</t>
  </si>
  <si>
    <t>https://ebookcentral.proquest.com/lib/NKNU/detail.action?docID=407889</t>
  </si>
  <si>
    <t>https://ebookcentral.proquest.com/lib/NKNU/detail.action?docID=407905</t>
  </si>
  <si>
    <t>https://ebookcentral.proquest.com/lib/NKNU/detail.action?docID=407919</t>
  </si>
  <si>
    <t>https://ebookcentral.proquest.com/lib/NKNU/detail.action?docID=408160</t>
  </si>
  <si>
    <t>https://ebookcentral.proquest.com/lib/NKNU/detail.action?docID=408167</t>
  </si>
  <si>
    <t>https://ebookcentral.proquest.com/lib/NKNU/detail.action?docID=408169</t>
  </si>
  <si>
    <t>https://ebookcentral.proquest.com/lib/NKNU/detail.action?docID=408171</t>
  </si>
  <si>
    <t>https://ebookcentral.proquest.com/lib/NKNU/detail.action?docID=408177</t>
  </si>
  <si>
    <t>https://ebookcentral.proquest.com/lib/NKNU/detail.action?docID=408178</t>
  </si>
  <si>
    <t>https://ebookcentral.proquest.com/lib/NKNU/detail.action?docID=408183</t>
  </si>
  <si>
    <t>https://ebookcentral.proquest.com/lib/NKNU/detail.action?docID=408184</t>
  </si>
  <si>
    <t>https://ebookcentral.proquest.com/lib/NKNU/detail.action?docID=408192</t>
  </si>
  <si>
    <t>https://ebookcentral.proquest.com/lib/NKNU/detail.action?docID=408204</t>
  </si>
  <si>
    <t>https://ebookcentral.proquest.com/lib/NKNU/detail.action?docID=408205</t>
  </si>
  <si>
    <t>https://ebookcentral.proquest.com/lib/NKNU/detail.action?docID=408210</t>
  </si>
  <si>
    <t>https://ebookcentral.proquest.com/lib/NKNU/detail.action?docID=408235</t>
  </si>
  <si>
    <t>https://ebookcentral.proquest.com/lib/NKNU/detail.action?docID=408239</t>
  </si>
  <si>
    <t>https://ebookcentral.proquest.com/lib/NKNU/detail.action?docID=408247</t>
  </si>
  <si>
    <t>https://ebookcentral.proquest.com/lib/NKNU/detail.action?docID=408248</t>
  </si>
  <si>
    <t>https://ebookcentral.proquest.com/lib/NKNU/detail.action?docID=408250</t>
  </si>
  <si>
    <t>https://ebookcentral.proquest.com/lib/NKNU/detail.action?docID=408271</t>
  </si>
  <si>
    <t>https://ebookcentral.proquest.com/lib/NKNU/detail.action?docID=408279</t>
  </si>
  <si>
    <t>https://ebookcentral.proquest.com/lib/NKNU/detail.action?docID=408283</t>
  </si>
  <si>
    <t>https://ebookcentral.proquest.com/lib/NKNU/detail.action?docID=408292</t>
  </si>
  <si>
    <t>https://ebookcentral.proquest.com/lib/NKNU/detail.action?docID=408300</t>
  </si>
  <si>
    <t>https://ebookcentral.proquest.com/lib/NKNU/detail.action?docID=408305</t>
  </si>
  <si>
    <t>https://ebookcentral.proquest.com/lib/NKNU/detail.action?docID=408310</t>
  </si>
  <si>
    <t>https://ebookcentral.proquest.com/lib/NKNU/detail.action?docID=408315</t>
  </si>
  <si>
    <t>https://ebookcentral.proquest.com/lib/NKNU/detail.action?docID=408337</t>
  </si>
  <si>
    <t>https://ebookcentral.proquest.com/lib/NKNU/detail.action?docID=408347</t>
  </si>
  <si>
    <t>https://ebookcentral.proquest.com/lib/NKNU/detail.action?docID=408352</t>
  </si>
  <si>
    <t>https://ebookcentral.proquest.com/lib/NKNU/detail.action?docID=408371</t>
  </si>
  <si>
    <t>https://ebookcentral.proquest.com/lib/NKNU/detail.action?docID=408380</t>
  </si>
  <si>
    <t>https://ebookcentral.proquest.com/lib/NKNU/detail.action?docID=408398</t>
  </si>
  <si>
    <t>https://ebookcentral.proquest.com/lib/NKNU/detail.action?docID=408404</t>
  </si>
  <si>
    <t>https://ebookcentral.proquest.com/lib/NKNU/detail.action?docID=408413</t>
  </si>
  <si>
    <t>https://ebookcentral.proquest.com/lib/NKNU/detail.action?docID=408434</t>
  </si>
  <si>
    <t>https://ebookcentral.proquest.com/lib/NKNU/detail.action?docID=408449</t>
  </si>
  <si>
    <t>https://ebookcentral.proquest.com/lib/NKNU/detail.action?docID=408462</t>
  </si>
  <si>
    <t>https://ebookcentral.proquest.com/lib/NKNU/detail.action?docID=408464</t>
  </si>
  <si>
    <t>https://ebookcentral.proquest.com/lib/NKNU/detail.action?docID=408481</t>
  </si>
  <si>
    <t>https://ebookcentral.proquest.com/lib/NKNU/detail.action?docID=408484</t>
  </si>
  <si>
    <t>https://ebookcentral.proquest.com/lib/NKNU/detail.action?docID=408498</t>
  </si>
  <si>
    <t>https://ebookcentral.proquest.com/lib/NKNU/detail.action?docID=408513</t>
  </si>
  <si>
    <t>https://ebookcentral.proquest.com/lib/NKNU/detail.action?docID=408517</t>
  </si>
  <si>
    <t>https://ebookcentral.proquest.com/lib/NKNU/detail.action?docID=408520</t>
  </si>
  <si>
    <t>https://ebookcentral.proquest.com/lib/NKNU/detail.action?docID=408521</t>
  </si>
  <si>
    <t>https://ebookcentral.proquest.com/lib/NKNU/detail.action?docID=408538</t>
  </si>
  <si>
    <t>https://ebookcentral.proquest.com/lib/NKNU/detail.action?docID=408566</t>
  </si>
  <si>
    <t>https://ebookcentral.proquest.com/lib/NKNU/detail.action?docID=408579</t>
  </si>
  <si>
    <t>https://ebookcentral.proquest.com/lib/NKNU/detail.action?docID=408614</t>
  </si>
  <si>
    <t>https://ebookcentral.proquest.com/lib/NKNU/detail.action?docID=408620</t>
  </si>
  <si>
    <t>https://ebookcentral.proquest.com/lib/NKNU/detail.action?docID=408631</t>
  </si>
  <si>
    <t>https://ebookcentral.proquest.com/lib/NKNU/detail.action?docID=408636</t>
  </si>
  <si>
    <t>https://ebookcentral.proquest.com/lib/NKNU/detail.action?docID=408661</t>
  </si>
  <si>
    <t>https://ebookcentral.proquest.com/lib/NKNU/detail.action?docID=408664</t>
  </si>
  <si>
    <t>https://ebookcentral.proquest.com/lib/NKNU/detail.action?docID=408671</t>
  </si>
  <si>
    <t>https://ebookcentral.proquest.com/lib/NKNU/detail.action?docID=408730</t>
  </si>
  <si>
    <t>https://ebookcentral.proquest.com/lib/NKNU/detail.action?docID=408732</t>
  </si>
  <si>
    <t>https://ebookcentral.proquest.com/lib/NKNU/detail.action?docID=408733</t>
  </si>
  <si>
    <t>https://ebookcentral.proquest.com/lib/NKNU/detail.action?docID=408736</t>
  </si>
  <si>
    <t>https://ebookcentral.proquest.com/lib/NKNU/detail.action?docID=408747</t>
  </si>
  <si>
    <t>https://ebookcentral.proquest.com/lib/NKNU/detail.action?docID=408749</t>
  </si>
  <si>
    <t>https://ebookcentral.proquest.com/lib/NKNU/detail.action?docID=408752</t>
  </si>
  <si>
    <t>https://ebookcentral.proquest.com/lib/NKNU/detail.action?docID=408758</t>
  </si>
  <si>
    <t>https://ebookcentral.proquest.com/lib/NKNU/detail.action?docID=408762</t>
  </si>
  <si>
    <t>https://ebookcentral.proquest.com/lib/NKNU/detail.action?docID=408764</t>
  </si>
  <si>
    <t>https://ebookcentral.proquest.com/lib/NKNU/detail.action?docID=408766</t>
  </si>
  <si>
    <t>https://ebookcentral.proquest.com/lib/NKNU/detail.action?docID=408768</t>
  </si>
  <si>
    <t>https://ebookcentral.proquest.com/lib/NKNU/detail.action?docID=408772</t>
  </si>
  <si>
    <t>https://ebookcentral.proquest.com/lib/NKNU/detail.action?docID=408774</t>
  </si>
  <si>
    <t>https://ebookcentral.proquest.com/lib/NKNU/detail.action?docID=408777</t>
  </si>
  <si>
    <t>https://ebookcentral.proquest.com/lib/NKNU/detail.action?docID=408778</t>
  </si>
  <si>
    <t>https://ebookcentral.proquest.com/lib/NKNU/detail.action?docID=408779</t>
  </si>
  <si>
    <t>https://ebookcentral.proquest.com/lib/NKNU/detail.action?docID=408780</t>
  </si>
  <si>
    <t>https://ebookcentral.proquest.com/lib/NKNU/detail.action?docID=408782</t>
  </si>
  <si>
    <t>https://ebookcentral.proquest.com/lib/NKNU/detail.action?docID=408783</t>
  </si>
  <si>
    <t>https://ebookcentral.proquest.com/lib/NKNU/detail.action?docID=408791</t>
  </si>
  <si>
    <t>https://ebookcentral.proquest.com/lib/NKNU/detail.action?docID=408793</t>
  </si>
  <si>
    <t>https://ebookcentral.proquest.com/lib/NKNU/detail.action?docID=408794</t>
  </si>
  <si>
    <t>https://ebookcentral.proquest.com/lib/NKNU/detail.action?docID=408795</t>
  </si>
  <si>
    <t>https://ebookcentral.proquest.com/lib/NKNU/detail.action?docID=408796</t>
  </si>
  <si>
    <t>https://ebookcentral.proquest.com/lib/NKNU/detail.action?docID=408800</t>
  </si>
  <si>
    <t>https://ebookcentral.proquest.com/lib/NKNU/detail.action?docID=408801</t>
  </si>
  <si>
    <t>https://ebookcentral.proquest.com/lib/NKNU/detail.action?docID=408806</t>
  </si>
  <si>
    <t>https://ebookcentral.proquest.com/lib/NKNU/detail.action?docID=408809</t>
  </si>
  <si>
    <t>https://ebookcentral.proquest.com/lib/NKNU/detail.action?docID=408815</t>
  </si>
  <si>
    <t>https://ebookcentral.proquest.com/lib/NKNU/detail.action?docID=408821</t>
  </si>
  <si>
    <t>https://ebookcentral.proquest.com/lib/NKNU/detail.action?docID=408994</t>
  </si>
  <si>
    <t>https://ebookcentral.proquest.com/lib/NKNU/detail.action?docID=408999</t>
  </si>
  <si>
    <t>https://ebookcentral.proquest.com/lib/NKNU/detail.action?docID=409007</t>
  </si>
  <si>
    <t>https://ebookcentral.proquest.com/lib/NKNU/detail.action?docID=409041</t>
  </si>
  <si>
    <t>https://ebookcentral.proquest.com/lib/NKNU/detail.action?docID=409056</t>
  </si>
  <si>
    <t>https://ebookcentral.proquest.com/lib/NKNU/detail.action?docID=409117</t>
  </si>
  <si>
    <t>https://ebookcentral.proquest.com/lib/NKNU/detail.action?docID=409118</t>
  </si>
  <si>
    <t>https://ebookcentral.proquest.com/lib/NKNU/detail.action?docID=409119</t>
  </si>
  <si>
    <t>https://ebookcentral.proquest.com/lib/NKNU/detail.action?docID=409120</t>
  </si>
  <si>
    <t>https://ebookcentral.proquest.com/lib/NKNU/detail.action?docID=410643</t>
  </si>
  <si>
    <t>https://ebookcentral.proquest.com/lib/NKNU/detail.action?docID=410649</t>
  </si>
  <si>
    <t>https://ebookcentral.proquest.com/lib/NKNU/detail.action?docID=410676</t>
  </si>
  <si>
    <t>https://ebookcentral.proquest.com/lib/NKNU/detail.action?docID=412846</t>
  </si>
  <si>
    <t>https://ebookcentral.proquest.com/lib/NKNU/detail.action?docID=412849</t>
  </si>
  <si>
    <t>https://ebookcentral.proquest.com/lib/NKNU/detail.action?docID=412855</t>
  </si>
  <si>
    <t>https://ebookcentral.proquest.com/lib/NKNU/detail.action?docID=412859</t>
  </si>
  <si>
    <t>https://ebookcentral.proquest.com/lib/NKNU/detail.action?docID=412866</t>
  </si>
  <si>
    <t>https://ebookcentral.proquest.com/lib/NKNU/detail.action?docID=412873</t>
  </si>
  <si>
    <t>https://ebookcentral.proquest.com/lib/NKNU/detail.action?docID=412874</t>
  </si>
  <si>
    <t>https://ebookcentral.proquest.com/lib/NKNU/detail.action?docID=413472</t>
  </si>
  <si>
    <t>https://ebookcentral.proquest.com/lib/NKNU/detail.action?docID=413877</t>
  </si>
  <si>
    <t>https://ebookcentral.proquest.com/lib/NKNU/detail.action?docID=414238</t>
  </si>
  <si>
    <t>https://ebookcentral.proquest.com/lib/NKNU/detail.action?docID=414248</t>
  </si>
  <si>
    <t>https://ebookcentral.proquest.com/lib/NKNU/detail.action?docID=415058</t>
  </si>
  <si>
    <t>https://ebookcentral.proquest.com/lib/NKNU/detail.action?docID=415069</t>
  </si>
  <si>
    <t>https://ebookcentral.proquest.com/lib/NKNU/detail.action?docID=415080</t>
  </si>
  <si>
    <t>https://ebookcentral.proquest.com/lib/NKNU/detail.action?docID=415093</t>
  </si>
  <si>
    <t>https://ebookcentral.proquest.com/lib/NKNU/detail.action?docID=415100</t>
  </si>
  <si>
    <t>https://ebookcentral.proquest.com/lib/NKNU/detail.action?docID=415104</t>
  </si>
  <si>
    <t>https://ebookcentral.proquest.com/lib/NKNU/detail.action?docID=415122</t>
  </si>
  <si>
    <t>https://ebookcentral.proquest.com/lib/NKNU/detail.action?docID=415123</t>
  </si>
  <si>
    <t>https://ebookcentral.proquest.com/lib/NKNU/detail.action?docID=415126</t>
  </si>
  <si>
    <t>https://ebookcentral.proquest.com/lib/NKNU/detail.action?docID=415149</t>
  </si>
  <si>
    <t>https://ebookcentral.proquest.com/lib/NKNU/detail.action?docID=415150</t>
  </si>
  <si>
    <t>https://ebookcentral.proquest.com/lib/NKNU/detail.action?docID=415151</t>
  </si>
  <si>
    <t>https://ebookcentral.proquest.com/lib/NKNU/detail.action?docID=415154</t>
  </si>
  <si>
    <t>https://ebookcentral.proquest.com/lib/NKNU/detail.action?docID=415163</t>
  </si>
  <si>
    <t>https://ebookcentral.proquest.com/lib/NKNU/detail.action?docID=415166</t>
  </si>
  <si>
    <t>https://ebookcentral.proquest.com/lib/NKNU/detail.action?docID=415169</t>
  </si>
  <si>
    <t>https://ebookcentral.proquest.com/lib/NKNU/detail.action?docID=415188</t>
  </si>
  <si>
    <t>https://ebookcentral.proquest.com/lib/NKNU/detail.action?docID=415219</t>
  </si>
  <si>
    <t>https://ebookcentral.proquest.com/lib/NKNU/detail.action?docID=415225</t>
  </si>
  <si>
    <t>https://ebookcentral.proquest.com/lib/NKNU/detail.action?docID=415239</t>
  </si>
  <si>
    <t>https://ebookcentral.proquest.com/lib/NKNU/detail.action?docID=415263</t>
  </si>
  <si>
    <t>https://ebookcentral.proquest.com/lib/NKNU/detail.action?docID=415270</t>
  </si>
  <si>
    <t>https://ebookcentral.proquest.com/lib/NKNU/detail.action?docID=415272</t>
  </si>
  <si>
    <t>https://ebookcentral.proquest.com/lib/NKNU/detail.action?docID=415275</t>
  </si>
  <si>
    <t>https://ebookcentral.proquest.com/lib/NKNU/detail.action?docID=415278</t>
  </si>
  <si>
    <t>https://ebookcentral.proquest.com/lib/NKNU/detail.action?docID=415283</t>
  </si>
  <si>
    <t>https://ebookcentral.proquest.com/lib/NKNU/detail.action?docID=415301</t>
  </si>
  <si>
    <t>https://ebookcentral.proquest.com/lib/NKNU/detail.action?docID=415304</t>
  </si>
  <si>
    <t>https://ebookcentral.proquest.com/lib/NKNU/detail.action?docID=415305</t>
  </si>
  <si>
    <t>https://ebookcentral.proquest.com/lib/NKNU/detail.action?docID=415316</t>
  </si>
  <si>
    <t>https://ebookcentral.proquest.com/lib/NKNU/detail.action?docID=415321</t>
  </si>
  <si>
    <t>https://ebookcentral.proquest.com/lib/NKNU/detail.action?docID=415338</t>
  </si>
  <si>
    <t>https://ebookcentral.proquest.com/lib/NKNU/detail.action?docID=415351</t>
  </si>
  <si>
    <t>https://ebookcentral.proquest.com/lib/NKNU/detail.action?docID=415391</t>
  </si>
  <si>
    <t>https://ebookcentral.proquest.com/lib/NKNU/detail.action?docID=415415</t>
  </si>
  <si>
    <t>https://ebookcentral.proquest.com/lib/NKNU/detail.action?docID=415436</t>
  </si>
  <si>
    <t>https://ebookcentral.proquest.com/lib/NKNU/detail.action?docID=415437</t>
  </si>
  <si>
    <t>https://ebookcentral.proquest.com/lib/NKNU/detail.action?docID=415438</t>
  </si>
  <si>
    <t>https://ebookcentral.proquest.com/lib/NKNU/detail.action?docID=415439</t>
  </si>
  <si>
    <t>https://ebookcentral.proquest.com/lib/NKNU/detail.action?docID=415450</t>
  </si>
  <si>
    <t>https://ebookcentral.proquest.com/lib/NKNU/detail.action?docID=415467</t>
  </si>
  <si>
    <t>https://ebookcentral.proquest.com/lib/NKNU/detail.action?docID=415471</t>
  </si>
  <si>
    <t>https://ebookcentral.proquest.com/lib/NKNU/detail.action?docID=415480</t>
  </si>
  <si>
    <t>https://ebookcentral.proquest.com/lib/NKNU/detail.action?docID=415481</t>
  </si>
  <si>
    <t>https://ebookcentral.proquest.com/lib/NKNU/detail.action?docID=415490</t>
  </si>
  <si>
    <t>https://ebookcentral.proquest.com/lib/NKNU/detail.action?docID=415515</t>
  </si>
  <si>
    <t>https://ebookcentral.proquest.com/lib/NKNU/detail.action?docID=415544</t>
  </si>
  <si>
    <t>https://ebookcentral.proquest.com/lib/NKNU/detail.action?docID=415552</t>
  </si>
  <si>
    <t>https://ebookcentral.proquest.com/lib/NKNU/detail.action?docID=415558</t>
  </si>
  <si>
    <t>https://ebookcentral.proquest.com/lib/NKNU/detail.action?docID=415574</t>
  </si>
  <si>
    <t>https://ebookcentral.proquest.com/lib/NKNU/detail.action?docID=415590</t>
  </si>
  <si>
    <t>https://ebookcentral.proquest.com/lib/NKNU/detail.action?docID=415608</t>
  </si>
  <si>
    <t>https://ebookcentral.proquest.com/lib/NKNU/detail.action?docID=415614</t>
  </si>
  <si>
    <t>https://ebookcentral.proquest.com/lib/NKNU/detail.action?docID=415656</t>
  </si>
  <si>
    <t>https://ebookcentral.proquest.com/lib/NKNU/detail.action?docID=415707</t>
  </si>
  <si>
    <t>https://ebookcentral.proquest.com/lib/NKNU/detail.action?docID=415714</t>
  </si>
  <si>
    <t>https://ebookcentral.proquest.com/lib/NKNU/detail.action?docID=415721</t>
  </si>
  <si>
    <t>https://ebookcentral.proquest.com/lib/NKNU/detail.action?docID=415743</t>
  </si>
  <si>
    <t>https://ebookcentral.proquest.com/lib/NKNU/detail.action?docID=415763</t>
  </si>
  <si>
    <t>https://ebookcentral.proquest.com/lib/NKNU/detail.action?docID=415813</t>
  </si>
  <si>
    <t>https://ebookcentral.proquest.com/lib/NKNU/detail.action?docID=415819</t>
  </si>
  <si>
    <t>https://ebookcentral.proquest.com/lib/NKNU/detail.action?docID=415857</t>
  </si>
  <si>
    <t>https://ebookcentral.proquest.com/lib/NKNU/detail.action?docID=415867</t>
  </si>
  <si>
    <t>https://ebookcentral.proquest.com/lib/NKNU/detail.action?docID=415889</t>
  </si>
  <si>
    <t>https://ebookcentral.proquest.com/lib/NKNU/detail.action?docID=415911</t>
  </si>
  <si>
    <t>https://ebookcentral.proquest.com/lib/NKNU/detail.action?docID=415917</t>
  </si>
  <si>
    <t>https://ebookcentral.proquest.com/lib/NKNU/detail.action?docID=415932</t>
  </si>
  <si>
    <t>https://ebookcentral.proquest.com/lib/NKNU/detail.action?docID=415933</t>
  </si>
  <si>
    <t>https://ebookcentral.proquest.com/lib/NKNU/detail.action?docID=415944</t>
  </si>
  <si>
    <t>https://ebookcentral.proquest.com/lib/NKNU/detail.action?docID=415985</t>
  </si>
  <si>
    <t>https://ebookcentral.proquest.com/lib/NKNU/detail.action?docID=416045</t>
  </si>
  <si>
    <t>https://ebookcentral.proquest.com/lib/NKNU/detail.action?docID=416046</t>
  </si>
  <si>
    <t>https://ebookcentral.proquest.com/lib/NKNU/detail.action?docID=416048</t>
  </si>
  <si>
    <t>https://ebookcentral.proquest.com/lib/NKNU/detail.action?docID=418811</t>
  </si>
  <si>
    <t>https://ebookcentral.proquest.com/lib/NKNU/detail.action?docID=419242</t>
  </si>
  <si>
    <t>https://ebookcentral.proquest.com/lib/NKNU/detail.action?docID=419252</t>
  </si>
  <si>
    <t>https://ebookcentral.proquest.com/lib/NKNU/detail.action?docID=419257</t>
  </si>
  <si>
    <t>https://ebookcentral.proquest.com/lib/NKNU/detail.action?docID=419258</t>
  </si>
  <si>
    <t>https://ebookcentral.proquest.com/lib/NKNU/detail.action?docID=419268</t>
  </si>
  <si>
    <t>https://ebookcentral.proquest.com/lib/NKNU/detail.action?docID=419275</t>
  </si>
  <si>
    <t>https://ebookcentral.proquest.com/lib/NKNU/detail.action?docID=419278</t>
  </si>
  <si>
    <t>https://ebookcentral.proquest.com/lib/NKNU/detail.action?docID=419286</t>
  </si>
  <si>
    <t>https://ebookcentral.proquest.com/lib/NKNU/detail.action?docID=419294</t>
  </si>
  <si>
    <t>https://ebookcentral.proquest.com/lib/NKNU/detail.action?docID=419295</t>
  </si>
  <si>
    <t>https://ebookcentral.proquest.com/lib/NKNU/detail.action?docID=419302</t>
  </si>
  <si>
    <t>https://ebookcentral.proquest.com/lib/NKNU/detail.action?docID=419313</t>
  </si>
  <si>
    <t>https://ebookcentral.proquest.com/lib/NKNU/detail.action?docID=419315</t>
  </si>
  <si>
    <t>https://ebookcentral.proquest.com/lib/NKNU/detail.action?docID=419319</t>
  </si>
  <si>
    <t>https://ebookcentral.proquest.com/lib/NKNU/detail.action?docID=419337</t>
  </si>
  <si>
    <t>https://ebookcentral.proquest.com/lib/NKNU/detail.action?docID=419338</t>
  </si>
  <si>
    <t>https://ebookcentral.proquest.com/lib/NKNU/detail.action?docID=419339</t>
  </si>
  <si>
    <t>https://ebookcentral.proquest.com/lib/NKNU/detail.action?docID=419346</t>
  </si>
  <si>
    <t>https://ebookcentral.proquest.com/lib/NKNU/detail.action?docID=419348</t>
  </si>
  <si>
    <t>https://ebookcentral.proquest.com/lib/NKNU/detail.action?docID=419351</t>
  </si>
  <si>
    <t>https://ebookcentral.proquest.com/lib/NKNU/detail.action?docID=419357</t>
  </si>
  <si>
    <t>https://ebookcentral.proquest.com/lib/NKNU/detail.action?docID=419359</t>
  </si>
  <si>
    <t>https://ebookcentral.proquest.com/lib/NKNU/detail.action?docID=419748</t>
  </si>
  <si>
    <t>https://ebookcentral.proquest.com/lib/NKNU/detail.action?docID=419749</t>
  </si>
  <si>
    <t>https://ebookcentral.proquest.com/lib/NKNU/detail.action?docID=419751</t>
  </si>
  <si>
    <t>https://ebookcentral.proquest.com/lib/NKNU/detail.action?docID=419755</t>
  </si>
  <si>
    <t>https://ebookcentral.proquest.com/lib/NKNU/detail.action?docID=419759</t>
  </si>
  <si>
    <t>https://ebookcentral.proquest.com/lib/NKNU/detail.action?docID=419760</t>
  </si>
  <si>
    <t>https://ebookcentral.proquest.com/lib/NKNU/detail.action?docID=419761</t>
  </si>
  <si>
    <t>https://ebookcentral.proquest.com/lib/NKNU/detail.action?docID=419763</t>
  </si>
  <si>
    <t>https://ebookcentral.proquest.com/lib/NKNU/detail.action?docID=419766</t>
  </si>
  <si>
    <t>https://ebookcentral.proquest.com/lib/NKNU/detail.action?docID=419767</t>
  </si>
  <si>
    <t>https://ebookcentral.proquest.com/lib/NKNU/detail.action?docID=419768</t>
  </si>
  <si>
    <t>https://ebookcentral.proquest.com/lib/NKNU/detail.action?docID=419773</t>
  </si>
  <si>
    <t>https://ebookcentral.proquest.com/lib/NKNU/detail.action?docID=419775</t>
  </si>
  <si>
    <t>https://ebookcentral.proquest.com/lib/NKNU/detail.action?docID=419844</t>
  </si>
  <si>
    <t>https://ebookcentral.proquest.com/lib/NKNU/detail.action?docID=419858</t>
  </si>
  <si>
    <t>https://ebookcentral.proquest.com/lib/NKNU/detail.action?docID=419860</t>
  </si>
  <si>
    <t>https://ebookcentral.proquest.com/lib/NKNU/detail.action?docID=419939</t>
  </si>
  <si>
    <t>https://ebookcentral.proquest.com/lib/NKNU/detail.action?docID=419996</t>
  </si>
  <si>
    <t>https://ebookcentral.proquest.com/lib/NKNU/detail.action?docID=420067</t>
  </si>
  <si>
    <t>https://ebookcentral.proquest.com/lib/NKNU/detail.action?docID=420068</t>
  </si>
  <si>
    <t>https://ebookcentral.proquest.com/lib/NKNU/detail.action?docID=420077</t>
  </si>
  <si>
    <t>https://ebookcentral.proquest.com/lib/NKNU/detail.action?docID=420088</t>
  </si>
  <si>
    <t>https://ebookcentral.proquest.com/lib/NKNU/detail.action?docID=420130</t>
  </si>
  <si>
    <t>https://ebookcentral.proquest.com/lib/NKNU/detail.action?docID=420247</t>
  </si>
  <si>
    <t>https://ebookcentral.proquest.com/lib/NKNU/detail.action?docID=420250</t>
  </si>
  <si>
    <t>https://ebookcentral.proquest.com/lib/NKNU/detail.action?docID=420268</t>
  </si>
  <si>
    <t>https://ebookcentral.proquest.com/lib/NKNU/detail.action?docID=420273</t>
  </si>
  <si>
    <t>https://ebookcentral.proquest.com/lib/NKNU/detail.action?docID=420283</t>
  </si>
  <si>
    <t>https://ebookcentral.proquest.com/lib/NKNU/detail.action?docID=420297</t>
  </si>
  <si>
    <t>https://ebookcentral.proquest.com/lib/NKNU/detail.action?docID=420301</t>
  </si>
  <si>
    <t>https://ebookcentral.proquest.com/lib/NKNU/detail.action?docID=420303</t>
  </si>
  <si>
    <t>https://ebookcentral.proquest.com/lib/NKNU/detail.action?docID=420304</t>
  </si>
  <si>
    <t>https://ebookcentral.proquest.com/lib/NKNU/detail.action?docID=420305</t>
  </si>
  <si>
    <t>https://ebookcentral.proquest.com/lib/NKNU/detail.action?docID=420308</t>
  </si>
  <si>
    <t>https://ebookcentral.proquest.com/lib/NKNU/detail.action?docID=420674</t>
  </si>
  <si>
    <t>https://ebookcentral.proquest.com/lib/NKNU/detail.action?docID=420675</t>
  </si>
  <si>
    <t>https://ebookcentral.proquest.com/lib/NKNU/detail.action?docID=420676</t>
  </si>
  <si>
    <t>https://ebookcentral.proquest.com/lib/NKNU/detail.action?docID=420680</t>
  </si>
  <si>
    <t>https://ebookcentral.proquest.com/lib/NKNU/detail.action?docID=420798</t>
  </si>
  <si>
    <t>https://ebookcentral.proquest.com/lib/NKNU/detail.action?docID=420800</t>
  </si>
  <si>
    <t>https://ebookcentral.proquest.com/lib/NKNU/detail.action?docID=420812</t>
  </si>
  <si>
    <t>https://ebookcentral.proquest.com/lib/NKNU/detail.action?docID=420842</t>
  </si>
  <si>
    <t>https://ebookcentral.proquest.com/lib/NKNU/detail.action?docID=420851</t>
  </si>
  <si>
    <t>https://ebookcentral.proquest.com/lib/NKNU/detail.action?docID=420855</t>
  </si>
  <si>
    <t>https://ebookcentral.proquest.com/lib/NKNU/detail.action?docID=420857</t>
  </si>
  <si>
    <t>https://ebookcentral.proquest.com/lib/NKNU/detail.action?docID=420865</t>
  </si>
  <si>
    <t>https://ebookcentral.proquest.com/lib/NKNU/detail.action?docID=420883</t>
  </si>
  <si>
    <t>https://ebookcentral.proquest.com/lib/NKNU/detail.action?docID=420884</t>
  </si>
  <si>
    <t>https://ebookcentral.proquest.com/lib/NKNU/detail.action?docID=420903</t>
  </si>
  <si>
    <t>https://ebookcentral.proquest.com/lib/NKNU/detail.action?docID=420914</t>
  </si>
  <si>
    <t>https://ebookcentral.proquest.com/lib/NKNU/detail.action?docID=420916</t>
  </si>
  <si>
    <t>https://ebookcentral.proquest.com/lib/NKNU/detail.action?docID=420942</t>
  </si>
  <si>
    <t>https://ebookcentral.proquest.com/lib/NKNU/detail.action?docID=420953</t>
  </si>
  <si>
    <t>https://ebookcentral.proquest.com/lib/NKNU/detail.action?docID=420956</t>
  </si>
  <si>
    <t>https://ebookcentral.proquest.com/lib/NKNU/detail.action?docID=420957</t>
  </si>
  <si>
    <t>https://ebookcentral.proquest.com/lib/NKNU/detail.action?docID=422371</t>
  </si>
  <si>
    <t>https://ebookcentral.proquest.com/lib/NKNU/detail.action?docID=422375</t>
  </si>
  <si>
    <t>https://ebookcentral.proquest.com/lib/NKNU/detail.action?docID=422407</t>
  </si>
  <si>
    <t>https://ebookcentral.proquest.com/lib/NKNU/detail.action?docID=422426</t>
  </si>
  <si>
    <t>https://ebookcentral.proquest.com/lib/NKNU/detail.action?docID=422432</t>
  </si>
  <si>
    <t>https://ebookcentral.proquest.com/lib/NKNU/detail.action?docID=422440</t>
  </si>
  <si>
    <t>https://ebookcentral.proquest.com/lib/NKNU/detail.action?docID=422453</t>
  </si>
  <si>
    <t>https://ebookcentral.proquest.com/lib/NKNU/detail.action?docID=422492</t>
  </si>
  <si>
    <t>https://ebookcentral.proquest.com/lib/NKNU/detail.action?docID=422522</t>
  </si>
  <si>
    <t>https://ebookcentral.proquest.com/lib/NKNU/detail.action?docID=422525</t>
  </si>
  <si>
    <t>https://ebookcentral.proquest.com/lib/NKNU/detail.action?docID=422526</t>
  </si>
  <si>
    <t>https://ebookcentral.proquest.com/lib/NKNU/detail.action?docID=422556</t>
  </si>
  <si>
    <t>https://ebookcentral.proquest.com/lib/NKNU/detail.action?docID=422562</t>
  </si>
  <si>
    <t>https://ebookcentral.proquest.com/lib/NKNU/detail.action?docID=422569</t>
  </si>
  <si>
    <t>https://ebookcentral.proquest.com/lib/NKNU/detail.action?docID=422580</t>
  </si>
  <si>
    <t>https://ebookcentral.proquest.com/lib/NKNU/detail.action?docID=422592</t>
  </si>
  <si>
    <t>https://ebookcentral.proquest.com/lib/NKNU/detail.action?docID=422593</t>
  </si>
  <si>
    <t>https://ebookcentral.proquest.com/lib/NKNU/detail.action?docID=422600</t>
  </si>
  <si>
    <t>https://ebookcentral.proquest.com/lib/NKNU/detail.action?docID=422635</t>
  </si>
  <si>
    <t>https://ebookcentral.proquest.com/lib/NKNU/detail.action?docID=422637</t>
  </si>
  <si>
    <t>https://ebookcentral.proquest.com/lib/NKNU/detail.action?docID=422656</t>
  </si>
  <si>
    <t>https://ebookcentral.proquest.com/lib/NKNU/detail.action?docID=422665</t>
  </si>
  <si>
    <t>https://ebookcentral.proquest.com/lib/NKNU/detail.action?docID=422693</t>
  </si>
  <si>
    <t>https://ebookcentral.proquest.com/lib/NKNU/detail.action?docID=422697</t>
  </si>
  <si>
    <t>https://ebookcentral.proquest.com/lib/NKNU/detail.action?docID=422701</t>
  </si>
  <si>
    <t>https://ebookcentral.proquest.com/lib/NKNU/detail.action?docID=422714</t>
  </si>
  <si>
    <t>https://ebookcentral.proquest.com/lib/NKNU/detail.action?docID=422718</t>
  </si>
  <si>
    <t>https://ebookcentral.proquest.com/lib/NKNU/detail.action?docID=422724</t>
  </si>
  <si>
    <t>https://ebookcentral.proquest.com/lib/NKNU/detail.action?docID=422728</t>
  </si>
  <si>
    <t>https://ebookcentral.proquest.com/lib/NKNU/detail.action?docID=422746</t>
  </si>
  <si>
    <t>https://ebookcentral.proquest.com/lib/NKNU/detail.action?docID=422747</t>
  </si>
  <si>
    <t>https://ebookcentral.proquest.com/lib/NKNU/detail.action?docID=422758</t>
  </si>
  <si>
    <t>https://ebookcentral.proquest.com/lib/NKNU/detail.action?docID=422772</t>
  </si>
  <si>
    <t>https://ebookcentral.proquest.com/lib/NKNU/detail.action?docID=422785</t>
  </si>
  <si>
    <t>https://ebookcentral.proquest.com/lib/NKNU/detail.action?docID=422806</t>
  </si>
  <si>
    <t>https://ebookcentral.proquest.com/lib/NKNU/detail.action?docID=422815</t>
  </si>
  <si>
    <t>https://ebookcentral.proquest.com/lib/NKNU/detail.action?docID=422816</t>
  </si>
  <si>
    <t>https://ebookcentral.proquest.com/lib/NKNU/detail.action?docID=422845</t>
  </si>
  <si>
    <t>https://ebookcentral.proquest.com/lib/NKNU/detail.action?docID=422846</t>
  </si>
  <si>
    <t>https://ebookcentral.proquest.com/lib/NKNU/detail.action?docID=422860</t>
  </si>
  <si>
    <t>https://ebookcentral.proquest.com/lib/NKNU/detail.action?docID=422879</t>
  </si>
  <si>
    <t>https://ebookcentral.proquest.com/lib/NKNU/detail.action?docID=422893</t>
  </si>
  <si>
    <t>https://ebookcentral.proquest.com/lib/NKNU/detail.action?docID=422934</t>
  </si>
  <si>
    <t>https://ebookcentral.proquest.com/lib/NKNU/detail.action?docID=423112</t>
  </si>
  <si>
    <t>https://ebookcentral.proquest.com/lib/NKNU/detail.action?docID=423160</t>
  </si>
  <si>
    <t>https://ebookcentral.proquest.com/lib/NKNU/detail.action?docID=423162</t>
  </si>
  <si>
    <t>https://ebookcentral.proquest.com/lib/NKNU/detail.action?docID=423167</t>
  </si>
  <si>
    <t>https://ebookcentral.proquest.com/lib/NKNU/detail.action?docID=423172</t>
  </si>
  <si>
    <t>https://ebookcentral.proquest.com/lib/NKNU/detail.action?docID=423236</t>
  </si>
  <si>
    <t>https://ebookcentral.proquest.com/lib/NKNU/detail.action?docID=423237</t>
  </si>
  <si>
    <t>https://ebookcentral.proquest.com/lib/NKNU/detail.action?docID=423263</t>
  </si>
  <si>
    <t>https://ebookcentral.proquest.com/lib/NKNU/detail.action?docID=423281</t>
  </si>
  <si>
    <t>https://ebookcentral.proquest.com/lib/NKNU/detail.action?docID=423303</t>
  </si>
  <si>
    <t>https://ebookcentral.proquest.com/lib/NKNU/detail.action?docID=423316</t>
  </si>
  <si>
    <t>https://ebookcentral.proquest.com/lib/NKNU/detail.action?docID=423404</t>
  </si>
  <si>
    <t>https://ebookcentral.proquest.com/lib/NKNU/detail.action?docID=423446</t>
  </si>
  <si>
    <t>https://ebookcentral.proquest.com/lib/NKNU/detail.action?docID=423485</t>
  </si>
  <si>
    <t>https://ebookcentral.proquest.com/lib/NKNU/detail.action?docID=423540</t>
  </si>
  <si>
    <t>https://ebookcentral.proquest.com/lib/NKNU/detail.action?docID=423561</t>
  </si>
  <si>
    <t>https://ebookcentral.proquest.com/lib/NKNU/detail.action?docID=423597</t>
  </si>
  <si>
    <t>https://ebookcentral.proquest.com/lib/NKNU/detail.action?docID=423626</t>
  </si>
  <si>
    <t>https://ebookcentral.proquest.com/lib/NKNU/detail.action?docID=424087</t>
  </si>
  <si>
    <t>https://ebookcentral.proquest.com/lib/NKNU/detail.action?docID=424093</t>
  </si>
  <si>
    <t>https://ebookcentral.proquest.com/lib/NKNU/detail.action?docID=424102</t>
  </si>
  <si>
    <t>https://ebookcentral.proquest.com/lib/NKNU/detail.action?docID=425921</t>
  </si>
  <si>
    <t>https://ebookcentral.proquest.com/lib/NKNU/detail.action?docID=425922</t>
  </si>
  <si>
    <t>https://ebookcentral.proquest.com/lib/NKNU/detail.action?docID=425923</t>
  </si>
  <si>
    <t>https://ebookcentral.proquest.com/lib/NKNU/detail.action?docID=425926</t>
  </si>
  <si>
    <t>https://ebookcentral.proquest.com/lib/NKNU/detail.action?docID=425927</t>
  </si>
  <si>
    <t>https://ebookcentral.proquest.com/lib/NKNU/detail.action?docID=425929</t>
  </si>
  <si>
    <t>https://ebookcentral.proquest.com/lib/NKNU/detail.action?docID=425930</t>
  </si>
  <si>
    <t>https://ebookcentral.proquest.com/lib/NKNU/detail.action?docID=426097</t>
  </si>
  <si>
    <t>https://ebookcentral.proquest.com/lib/NKNU/detail.action?docID=427711</t>
  </si>
  <si>
    <t>https://ebookcentral.proquest.com/lib/NKNU/detail.action?docID=427810</t>
  </si>
  <si>
    <t>https://ebookcentral.proquest.com/lib/NKNU/detail.action?docID=429245</t>
  </si>
  <si>
    <t>https://ebookcentral.proquest.com/lib/NKNU/detail.action?docID=429246</t>
  </si>
  <si>
    <t>https://ebookcentral.proquest.com/lib/NKNU/detail.action?docID=429256</t>
  </si>
  <si>
    <t>https://ebookcentral.proquest.com/lib/NKNU/detail.action?docID=429294</t>
  </si>
  <si>
    <t>https://ebookcentral.proquest.com/lib/NKNU/detail.action?docID=429319</t>
  </si>
  <si>
    <t>https://ebookcentral.proquest.com/lib/NKNU/detail.action?docID=429326</t>
  </si>
  <si>
    <t>https://ebookcentral.proquest.com/lib/NKNU/detail.action?docID=429327</t>
  </si>
  <si>
    <t>https://ebookcentral.proquest.com/lib/NKNU/detail.action?docID=429404</t>
  </si>
  <si>
    <t>https://ebookcentral.proquest.com/lib/NKNU/detail.action?docID=429406</t>
  </si>
  <si>
    <t>https://ebookcentral.proquest.com/lib/NKNU/detail.action?docID=429440</t>
  </si>
  <si>
    <t>https://ebookcentral.proquest.com/lib/NKNU/detail.action?docID=429551</t>
  </si>
  <si>
    <t>https://ebookcentral.proquest.com/lib/NKNU/detail.action?docID=429558</t>
  </si>
  <si>
    <t>https://ebookcentral.proquest.com/lib/NKNU/detail.action?docID=429561</t>
  </si>
  <si>
    <t>https://ebookcentral.proquest.com/lib/NKNU/detail.action?docID=429566</t>
  </si>
  <si>
    <t>https://ebookcentral.proquest.com/lib/NKNU/detail.action?docID=429568</t>
  </si>
  <si>
    <t>https://ebookcentral.proquest.com/lib/NKNU/detail.action?docID=429571</t>
  </si>
  <si>
    <t>https://ebookcentral.proquest.com/lib/NKNU/detail.action?docID=429594</t>
  </si>
  <si>
    <t>https://ebookcentral.proquest.com/lib/NKNU/detail.action?docID=429595</t>
  </si>
  <si>
    <t>https://ebookcentral.proquest.com/lib/NKNU/detail.action?docID=429599</t>
  </si>
  <si>
    <t>https://ebookcentral.proquest.com/lib/NKNU/detail.action?docID=429615</t>
  </si>
  <si>
    <t>https://ebookcentral.proquest.com/lib/NKNU/detail.action?docID=429618</t>
  </si>
  <si>
    <t>https://ebookcentral.proquest.com/lib/NKNU/detail.action?docID=429619</t>
  </si>
  <si>
    <t>https://ebookcentral.proquest.com/lib/NKNU/detail.action?docID=429624</t>
  </si>
  <si>
    <t>https://ebookcentral.proquest.com/lib/NKNU/detail.action?docID=429639</t>
  </si>
  <si>
    <t>https://ebookcentral.proquest.com/lib/NKNU/detail.action?docID=429644</t>
  </si>
  <si>
    <t>https://ebookcentral.proquest.com/lib/NKNU/detail.action?docID=429653</t>
  </si>
  <si>
    <t>https://ebookcentral.proquest.com/lib/NKNU/detail.action?docID=429659</t>
  </si>
  <si>
    <t>https://ebookcentral.proquest.com/lib/NKNU/detail.action?docID=429665</t>
  </si>
  <si>
    <t>https://ebookcentral.proquest.com/lib/NKNU/detail.action?docID=429688</t>
  </si>
  <si>
    <t>https://ebookcentral.proquest.com/lib/NKNU/detail.action?docID=429689</t>
  </si>
  <si>
    <t>https://ebookcentral.proquest.com/lib/NKNU/detail.action?docID=429691</t>
  </si>
  <si>
    <t>https://ebookcentral.proquest.com/lib/NKNU/detail.action?docID=429696</t>
  </si>
  <si>
    <t>https://ebookcentral.proquest.com/lib/NKNU/detail.action?docID=429697</t>
  </si>
  <si>
    <t>https://ebookcentral.proquest.com/lib/NKNU/detail.action?docID=429721</t>
  </si>
  <si>
    <t>https://ebookcentral.proquest.com/lib/NKNU/detail.action?docID=429731</t>
  </si>
  <si>
    <t>https://ebookcentral.proquest.com/lib/NKNU/detail.action?docID=429732</t>
  </si>
  <si>
    <t>https://ebookcentral.proquest.com/lib/NKNU/detail.action?docID=429738</t>
  </si>
  <si>
    <t>https://ebookcentral.proquest.com/lib/NKNU/detail.action?docID=429739</t>
  </si>
  <si>
    <t>https://ebookcentral.proquest.com/lib/NKNU/detail.action?docID=429747</t>
  </si>
  <si>
    <t>https://ebookcentral.proquest.com/lib/NKNU/detail.action?docID=429756</t>
  </si>
  <si>
    <t>https://ebookcentral.proquest.com/lib/NKNU/detail.action?docID=429780</t>
  </si>
  <si>
    <t>https://ebookcentral.proquest.com/lib/NKNU/detail.action?docID=429785</t>
  </si>
  <si>
    <t>https://ebookcentral.proquest.com/lib/NKNU/detail.action?docID=429810</t>
  </si>
  <si>
    <t>https://ebookcentral.proquest.com/lib/NKNU/detail.action?docID=429813</t>
  </si>
  <si>
    <t>https://ebookcentral.proquest.com/lib/NKNU/detail.action?docID=429825</t>
  </si>
  <si>
    <t>https://ebookcentral.proquest.com/lib/NKNU/detail.action?docID=429829</t>
  </si>
  <si>
    <t>https://ebookcentral.proquest.com/lib/NKNU/detail.action?docID=429832</t>
  </si>
  <si>
    <t>https://ebookcentral.proquest.com/lib/NKNU/detail.action?docID=429848</t>
  </si>
  <si>
    <t>https://ebookcentral.proquest.com/lib/NKNU/detail.action?docID=429854</t>
  </si>
  <si>
    <t>https://ebookcentral.proquest.com/lib/NKNU/detail.action?docID=429867</t>
  </si>
  <si>
    <t>https://ebookcentral.proquest.com/lib/NKNU/detail.action?docID=429880</t>
  </si>
  <si>
    <t>https://ebookcentral.proquest.com/lib/NKNU/detail.action?docID=429885</t>
  </si>
  <si>
    <t>https://ebookcentral.proquest.com/lib/NKNU/detail.action?docID=429890</t>
  </si>
  <si>
    <t>https://ebookcentral.proquest.com/lib/NKNU/detail.action?docID=429901</t>
  </si>
  <si>
    <t>https://ebookcentral.proquest.com/lib/NKNU/detail.action?docID=429903</t>
  </si>
  <si>
    <t>https://ebookcentral.proquest.com/lib/NKNU/detail.action?docID=429908</t>
  </si>
  <si>
    <t>https://ebookcentral.proquest.com/lib/NKNU/detail.action?docID=429911</t>
  </si>
  <si>
    <t>https://ebookcentral.proquest.com/lib/NKNU/detail.action?docID=429915</t>
  </si>
  <si>
    <t>https://ebookcentral.proquest.com/lib/NKNU/detail.action?docID=429921</t>
  </si>
  <si>
    <t>https://ebookcentral.proquest.com/lib/NKNU/detail.action?docID=429931</t>
  </si>
  <si>
    <t>https://ebookcentral.proquest.com/lib/NKNU/detail.action?docID=429940</t>
  </si>
  <si>
    <t>https://ebookcentral.proquest.com/lib/NKNU/detail.action?docID=429941</t>
  </si>
  <si>
    <t>https://ebookcentral.proquest.com/lib/NKNU/detail.action?docID=429946</t>
  </si>
  <si>
    <t>https://ebookcentral.proquest.com/lib/NKNU/detail.action?docID=429955</t>
  </si>
  <si>
    <t>https://ebookcentral.proquest.com/lib/NKNU/detail.action?docID=429960</t>
  </si>
  <si>
    <t>https://ebookcentral.proquest.com/lib/NKNU/detail.action?docID=429989</t>
  </si>
  <si>
    <t>https://ebookcentral.proquest.com/lib/NKNU/detail.action?docID=429994</t>
  </si>
  <si>
    <t>https://ebookcentral.proquest.com/lib/NKNU/detail.action?docID=430020</t>
  </si>
  <si>
    <t>https://ebookcentral.proquest.com/lib/NKNU/detail.action?docID=430023</t>
  </si>
  <si>
    <t>https://ebookcentral.proquest.com/lib/NKNU/detail.action?docID=430056</t>
  </si>
  <si>
    <t>https://ebookcentral.proquest.com/lib/NKNU/detail.action?docID=430057</t>
  </si>
  <si>
    <t>https://ebookcentral.proquest.com/lib/NKNU/detail.action?docID=430063</t>
  </si>
  <si>
    <t>https://ebookcentral.proquest.com/lib/NKNU/detail.action?docID=430087</t>
  </si>
  <si>
    <t>https://ebookcentral.proquest.com/lib/NKNU/detail.action?docID=430088</t>
  </si>
  <si>
    <t>https://ebookcentral.proquest.com/lib/NKNU/detail.action?docID=430099</t>
  </si>
  <si>
    <t>https://ebookcentral.proquest.com/lib/NKNU/detail.action?docID=430103</t>
  </si>
  <si>
    <t>https://ebookcentral.proquest.com/lib/NKNU/detail.action?docID=430105</t>
  </si>
  <si>
    <t>https://ebookcentral.proquest.com/lib/NKNU/detail.action?docID=430108</t>
  </si>
  <si>
    <t>https://ebookcentral.proquest.com/lib/NKNU/detail.action?docID=430116</t>
  </si>
  <si>
    <t>https://ebookcentral.proquest.com/lib/NKNU/detail.action?docID=430117</t>
  </si>
  <si>
    <t>https://ebookcentral.proquest.com/lib/NKNU/detail.action?docID=430119</t>
  </si>
  <si>
    <t>https://ebookcentral.proquest.com/lib/NKNU/detail.action?docID=430124</t>
  </si>
  <si>
    <t>https://ebookcentral.proquest.com/lib/NKNU/detail.action?docID=430128</t>
  </si>
  <si>
    <t>https://ebookcentral.proquest.com/lib/NKNU/detail.action?docID=430142</t>
  </si>
  <si>
    <t>https://ebookcentral.proquest.com/lib/NKNU/detail.action?docID=430149</t>
  </si>
  <si>
    <t>https://ebookcentral.proquest.com/lib/NKNU/detail.action?docID=430162</t>
  </si>
  <si>
    <t>https://ebookcentral.proquest.com/lib/NKNU/detail.action?docID=430163</t>
  </si>
  <si>
    <t>https://ebookcentral.proquest.com/lib/NKNU/detail.action?docID=430172</t>
  </si>
  <si>
    <t>https://ebookcentral.proquest.com/lib/NKNU/detail.action?docID=430173</t>
  </si>
  <si>
    <t>https://ebookcentral.proquest.com/lib/NKNU/detail.action?docID=430174</t>
  </si>
  <si>
    <t>https://ebookcentral.proquest.com/lib/NKNU/detail.action?docID=430176</t>
  </si>
  <si>
    <t>https://ebookcentral.proquest.com/lib/NKNU/detail.action?docID=430178</t>
  </si>
  <si>
    <t>https://ebookcentral.proquest.com/lib/NKNU/detail.action?docID=430180</t>
  </si>
  <si>
    <t>https://ebookcentral.proquest.com/lib/NKNU/detail.action?docID=430183</t>
  </si>
  <si>
    <t>https://ebookcentral.proquest.com/lib/NKNU/detail.action?docID=430211</t>
  </si>
  <si>
    <t>https://ebookcentral.proquest.com/lib/NKNU/detail.action?docID=430223</t>
  </si>
  <si>
    <t>https://ebookcentral.proquest.com/lib/NKNU/detail.action?docID=430302</t>
  </si>
  <si>
    <t>https://ebookcentral.proquest.com/lib/NKNU/detail.action?docID=430342</t>
  </si>
  <si>
    <t>https://ebookcentral.proquest.com/lib/NKNU/detail.action?docID=430385</t>
  </si>
  <si>
    <t>https://ebookcentral.proquest.com/lib/NKNU/detail.action?docID=430467</t>
  </si>
  <si>
    <t>https://ebookcentral.proquest.com/lib/NKNU/detail.action?docID=430751</t>
  </si>
  <si>
    <t>https://ebookcentral.proquest.com/lib/NKNU/detail.action?docID=430845</t>
  </si>
  <si>
    <t>https://ebookcentral.proquest.com/lib/NKNU/detail.action?docID=430850</t>
  </si>
  <si>
    <t>https://ebookcentral.proquest.com/lib/NKNU/detail.action?docID=430917</t>
  </si>
  <si>
    <t>https://ebookcentral.proquest.com/lib/NKNU/detail.action?docID=430943</t>
  </si>
  <si>
    <t>https://ebookcentral.proquest.com/lib/NKNU/detail.action?docID=431026</t>
  </si>
  <si>
    <t>https://ebookcentral.proquest.com/lib/NKNU/detail.action?docID=431093</t>
  </si>
  <si>
    <t>https://ebookcentral.proquest.com/lib/NKNU/detail.action?docID=431135</t>
  </si>
  <si>
    <t>https://ebookcentral.proquest.com/lib/NKNU/detail.action?docID=431213</t>
  </si>
  <si>
    <t>https://ebookcentral.proquest.com/lib/NKNU/detail.action?docID=431246</t>
  </si>
  <si>
    <t>https://ebookcentral.proquest.com/lib/NKNU/detail.action?docID=431282</t>
  </si>
  <si>
    <t>https://ebookcentral.proquest.com/lib/NKNU/detail.action?docID=431299</t>
  </si>
  <si>
    <t>https://ebookcentral.proquest.com/lib/NKNU/detail.action?docID=431352</t>
  </si>
  <si>
    <t>https://ebookcentral.proquest.com/lib/NKNU/detail.action?docID=431359</t>
  </si>
  <si>
    <t>https://ebookcentral.proquest.com/lib/NKNU/detail.action?docID=431878</t>
  </si>
  <si>
    <t>https://ebookcentral.proquest.com/lib/NKNU/detail.action?docID=432139</t>
  </si>
  <si>
    <t>https://ebookcentral.proquest.com/lib/NKNU/detail.action?docID=432160</t>
  </si>
  <si>
    <t>https://ebookcentral.proquest.com/lib/NKNU/detail.action?docID=432161</t>
  </si>
  <si>
    <t>https://ebookcentral.proquest.com/lib/NKNU/detail.action?docID=432185</t>
  </si>
  <si>
    <t>https://ebookcentral.proquest.com/lib/NKNU/detail.action?docID=432209</t>
  </si>
  <si>
    <t>https://ebookcentral.proquest.com/lib/NKNU/detail.action?docID=432253</t>
  </si>
  <si>
    <t>https://ebookcentral.proquest.com/lib/NKNU/detail.action?docID=432257</t>
  </si>
  <si>
    <t>https://ebookcentral.proquest.com/lib/NKNU/detail.action?docID=432262</t>
  </si>
  <si>
    <t>https://ebookcentral.proquest.com/lib/NKNU/detail.action?docID=432268</t>
  </si>
  <si>
    <t>https://ebookcentral.proquest.com/lib/NKNU/detail.action?docID=432280</t>
  </si>
  <si>
    <t>https://ebookcentral.proquest.com/lib/NKNU/detail.action?docID=432299</t>
  </si>
  <si>
    <t>https://ebookcentral.proquest.com/lib/NKNU/detail.action?docID=432302</t>
  </si>
  <si>
    <t>https://ebookcentral.proquest.com/lib/NKNU/detail.action?docID=432307</t>
  </si>
  <si>
    <t>https://ebookcentral.proquest.com/lib/NKNU/detail.action?docID=432842</t>
  </si>
  <si>
    <t>https://ebookcentral.proquest.com/lib/NKNU/detail.action?docID=433152</t>
  </si>
  <si>
    <t>https://ebookcentral.proquest.com/lib/NKNU/detail.action?docID=433159</t>
  </si>
  <si>
    <t>https://ebookcentral.proquest.com/lib/NKNU/detail.action?docID=433165</t>
  </si>
  <si>
    <t>https://ebookcentral.proquest.com/lib/NKNU/detail.action?docID=433188</t>
  </si>
  <si>
    <t>https://ebookcentral.proquest.com/lib/NKNU/detail.action?docID=433193</t>
  </si>
  <si>
    <t>https://ebookcentral.proquest.com/lib/NKNU/detail.action?docID=433383</t>
  </si>
  <si>
    <t>https://ebookcentral.proquest.com/lib/NKNU/detail.action?docID=433398</t>
  </si>
  <si>
    <t>https://ebookcentral.proquest.com/lib/NKNU/detail.action?docID=433407</t>
  </si>
  <si>
    <t>https://ebookcentral.proquest.com/lib/NKNU/detail.action?docID=433622</t>
  </si>
  <si>
    <t>https://ebookcentral.proquest.com/lib/NKNU/detail.action?docID=433628</t>
  </si>
  <si>
    <t>https://ebookcentral.proquest.com/lib/NKNU/detail.action?docID=433641</t>
  </si>
  <si>
    <t>https://ebookcentral.proquest.com/lib/NKNU/detail.action?docID=433972</t>
  </si>
  <si>
    <t>https://ebookcentral.proquest.com/lib/NKNU/detail.action?docID=434115</t>
  </si>
  <si>
    <t>https://ebookcentral.proquest.com/lib/NKNU/detail.action?docID=434174</t>
  </si>
  <si>
    <t>https://ebookcentral.proquest.com/lib/NKNU/detail.action?docID=434179</t>
  </si>
  <si>
    <t>https://ebookcentral.proquest.com/lib/NKNU/detail.action?docID=434212</t>
  </si>
  <si>
    <t>https://ebookcentral.proquest.com/lib/NKNU/detail.action?docID=434300</t>
  </si>
  <si>
    <t>https://ebookcentral.proquest.com/lib/NKNU/detail.action?docID=434304</t>
  </si>
  <si>
    <t>https://ebookcentral.proquest.com/lib/NKNU/detail.action?docID=434305</t>
  </si>
  <si>
    <t>https://ebookcentral.proquest.com/lib/NKNU/detail.action?docID=434310</t>
  </si>
  <si>
    <t>https://ebookcentral.proquest.com/lib/NKNU/detail.action?docID=434312</t>
  </si>
  <si>
    <t>https://ebookcentral.proquest.com/lib/NKNU/detail.action?docID=434397</t>
  </si>
  <si>
    <t>https://ebookcentral.proquest.com/lib/NKNU/detail.action?docID=434423</t>
  </si>
  <si>
    <t>https://ebookcentral.proquest.com/lib/NKNU/detail.action?docID=434434</t>
  </si>
  <si>
    <t>https://ebookcentral.proquest.com/lib/NKNU/detail.action?docID=434476</t>
  </si>
  <si>
    <t>https://ebookcentral.proquest.com/lib/NKNU/detail.action?docID=434507</t>
  </si>
  <si>
    <t>https://ebookcentral.proquest.com/lib/NKNU/detail.action?docID=434508</t>
  </si>
  <si>
    <t>https://ebookcentral.proquest.com/lib/NKNU/detail.action?docID=434948</t>
  </si>
  <si>
    <t>https://ebookcentral.proquest.com/lib/NKNU/detail.action?docID=434959</t>
  </si>
  <si>
    <t>https://ebookcentral.proquest.com/lib/NKNU/detail.action?docID=434971</t>
  </si>
  <si>
    <t>https://ebookcentral.proquest.com/lib/NKNU/detail.action?docID=434976</t>
  </si>
  <si>
    <t>https://ebookcentral.proquest.com/lib/NKNU/detail.action?docID=434979</t>
  </si>
  <si>
    <t>https://ebookcentral.proquest.com/lib/NKNU/detail.action?docID=434981</t>
  </si>
  <si>
    <t>https://ebookcentral.proquest.com/lib/NKNU/detail.action?docID=434988</t>
  </si>
  <si>
    <t>https://ebookcentral.proquest.com/lib/NKNU/detail.action?docID=434991</t>
  </si>
  <si>
    <t>https://ebookcentral.proquest.com/lib/NKNU/detail.action?docID=434992</t>
  </si>
  <si>
    <t>https://ebookcentral.proquest.com/lib/NKNU/detail.action?docID=434996</t>
  </si>
  <si>
    <t>https://ebookcentral.proquest.com/lib/NKNU/detail.action?docID=435000</t>
  </si>
  <si>
    <t>https://ebookcentral.proquest.com/lib/NKNU/detail.action?docID=435002</t>
  </si>
  <si>
    <t>https://ebookcentral.proquest.com/lib/NKNU/detail.action?docID=435003</t>
  </si>
  <si>
    <t>https://ebookcentral.proquest.com/lib/NKNU/detail.action?docID=435046</t>
  </si>
  <si>
    <t>https://ebookcentral.proquest.com/lib/NKNU/detail.action?docID=435051</t>
  </si>
  <si>
    <t>https://ebookcentral.proquest.com/lib/NKNU/detail.action?docID=435061</t>
  </si>
  <si>
    <t>https://ebookcentral.proquest.com/lib/NKNU/detail.action?docID=435187</t>
  </si>
  <si>
    <t>https://ebookcentral.proquest.com/lib/NKNU/detail.action?docID=435193</t>
  </si>
  <si>
    <t>https://ebookcentral.proquest.com/lib/NKNU/detail.action?docID=435249</t>
  </si>
  <si>
    <t>https://ebookcentral.proquest.com/lib/NKNU/detail.action?docID=435379</t>
  </si>
  <si>
    <t>https://ebookcentral.proquest.com/lib/NKNU/detail.action?docID=435380</t>
  </si>
  <si>
    <t>https://ebookcentral.proquest.com/lib/NKNU/detail.action?docID=435381</t>
  </si>
  <si>
    <t>https://ebookcentral.proquest.com/lib/NKNU/detail.action?docID=435383</t>
  </si>
  <si>
    <t>https://ebookcentral.proquest.com/lib/NKNU/detail.action?docID=435388</t>
  </si>
  <si>
    <t>https://ebookcentral.proquest.com/lib/NKNU/detail.action?docID=435389</t>
  </si>
  <si>
    <t>https://ebookcentral.proquest.com/lib/NKNU/detail.action?docID=435487</t>
  </si>
  <si>
    <t>https://ebookcentral.proquest.com/lib/NKNU/detail.action?docID=435501</t>
  </si>
  <si>
    <t>https://ebookcentral.proquest.com/lib/NKNU/detail.action?docID=435515</t>
  </si>
  <si>
    <t>https://ebookcentral.proquest.com/lib/NKNU/detail.action?docID=435529</t>
  </si>
  <si>
    <t>https://ebookcentral.proquest.com/lib/NKNU/detail.action?docID=435550</t>
  </si>
  <si>
    <t>https://ebookcentral.proquest.com/lib/NKNU/detail.action?docID=435582</t>
  </si>
  <si>
    <t>https://ebookcentral.proquest.com/lib/NKNU/detail.action?docID=435588</t>
  </si>
  <si>
    <t>https://ebookcentral.proquest.com/lib/NKNU/detail.action?docID=436204</t>
  </si>
  <si>
    <t>https://ebookcentral.proquest.com/lib/NKNU/detail.action?docID=437059</t>
  </si>
  <si>
    <t>https://ebookcentral.proquest.com/lib/NKNU/detail.action?docID=437060</t>
  </si>
  <si>
    <t>https://ebookcentral.proquest.com/lib/NKNU/detail.action?docID=437361</t>
  </si>
  <si>
    <t>https://ebookcentral.proquest.com/lib/NKNU/detail.action?docID=437570</t>
  </si>
  <si>
    <t>https://ebookcentral.proquest.com/lib/NKNU/detail.action?docID=437582</t>
  </si>
  <si>
    <t>https://ebookcentral.proquest.com/lib/NKNU/detail.action?docID=437592</t>
  </si>
  <si>
    <t>https://ebookcentral.proquest.com/lib/NKNU/detail.action?docID=437611</t>
  </si>
  <si>
    <t>https://ebookcentral.proquest.com/lib/NKNU/detail.action?docID=437619</t>
  </si>
  <si>
    <t>https://ebookcentral.proquest.com/lib/NKNU/detail.action?docID=437714</t>
  </si>
  <si>
    <t>https://ebookcentral.proquest.com/lib/NKNU/detail.action?docID=437718</t>
  </si>
  <si>
    <t>https://ebookcentral.proquest.com/lib/NKNU/detail.action?docID=437762</t>
  </si>
  <si>
    <t>https://ebookcentral.proquest.com/lib/NKNU/detail.action?docID=438117</t>
  </si>
  <si>
    <t>https://ebookcentral.proquest.com/lib/NKNU/detail.action?docID=438124</t>
  </si>
  <si>
    <t>https://ebookcentral.proquest.com/lib/NKNU/detail.action?docID=438150</t>
  </si>
  <si>
    <t>https://ebookcentral.proquest.com/lib/NKNU/detail.action?docID=438154</t>
  </si>
  <si>
    <t>https://ebookcentral.proquest.com/lib/NKNU/detail.action?docID=438156</t>
  </si>
  <si>
    <t>https://ebookcentral.proquest.com/lib/NKNU/detail.action?docID=438302</t>
  </si>
  <si>
    <t>https://ebookcentral.proquest.com/lib/NKNU/detail.action?docID=438336</t>
  </si>
  <si>
    <t>https://ebookcentral.proquest.com/lib/NKNU/detail.action?docID=438377</t>
  </si>
  <si>
    <t>https://ebookcentral.proquest.com/lib/NKNU/detail.action?docID=438386</t>
  </si>
  <si>
    <t>https://ebookcentral.proquest.com/lib/NKNU/detail.action?docID=438404</t>
  </si>
  <si>
    <t>https://ebookcentral.proquest.com/lib/NKNU/detail.action?docID=438407</t>
  </si>
  <si>
    <t>https://ebookcentral.proquest.com/lib/NKNU/detail.action?docID=438421</t>
  </si>
  <si>
    <t>https://ebookcentral.proquest.com/lib/NKNU/detail.action?docID=438430</t>
  </si>
  <si>
    <t>https://ebookcentral.proquest.com/lib/NKNU/detail.action?docID=438440</t>
  </si>
  <si>
    <t>https://ebookcentral.proquest.com/lib/NKNU/detail.action?docID=438466</t>
  </si>
  <si>
    <t>https://ebookcentral.proquest.com/lib/NKNU/detail.action?docID=438478</t>
  </si>
  <si>
    <t>https://ebookcentral.proquest.com/lib/NKNU/detail.action?docID=438481</t>
  </si>
  <si>
    <t>https://ebookcentral.proquest.com/lib/NKNU/detail.action?docID=438487</t>
  </si>
  <si>
    <t>https://ebookcentral.proquest.com/lib/NKNU/detail.action?docID=438494</t>
  </si>
  <si>
    <t>https://ebookcentral.proquest.com/lib/NKNU/detail.action?docID=438496</t>
  </si>
  <si>
    <t>https://ebookcentral.proquest.com/lib/NKNU/detail.action?docID=438509</t>
  </si>
  <si>
    <t>https://ebookcentral.proquest.com/lib/NKNU/detail.action?docID=438522</t>
  </si>
  <si>
    <t>https://ebookcentral.proquest.com/lib/NKNU/detail.action?docID=438542</t>
  </si>
  <si>
    <t>https://ebookcentral.proquest.com/lib/NKNU/detail.action?docID=438543</t>
  </si>
  <si>
    <t>https://ebookcentral.proquest.com/lib/NKNU/detail.action?docID=438551</t>
  </si>
  <si>
    <t>https://ebookcentral.proquest.com/lib/NKNU/detail.action?docID=438573</t>
  </si>
  <si>
    <t>https://ebookcentral.proquest.com/lib/NKNU/detail.action?docID=438576</t>
  </si>
  <si>
    <t>https://ebookcentral.proquest.com/lib/NKNU/detail.action?docID=438597</t>
  </si>
  <si>
    <t>https://ebookcentral.proquest.com/lib/NKNU/detail.action?docID=438605</t>
  </si>
  <si>
    <t>https://ebookcentral.proquest.com/lib/NKNU/detail.action?docID=438618</t>
  </si>
  <si>
    <t>https://ebookcentral.proquest.com/lib/NKNU/detail.action?docID=438623</t>
  </si>
  <si>
    <t>https://ebookcentral.proquest.com/lib/NKNU/detail.action?docID=438630</t>
  </si>
  <si>
    <t>https://ebookcentral.proquest.com/lib/NKNU/detail.action?docID=438646</t>
  </si>
  <si>
    <t>https://ebookcentral.proquest.com/lib/NKNU/detail.action?docID=438717</t>
  </si>
  <si>
    <t>https://ebookcentral.proquest.com/lib/NKNU/detail.action?docID=438740</t>
  </si>
  <si>
    <t>https://ebookcentral.proquest.com/lib/NKNU/detail.action?docID=438754</t>
  </si>
  <si>
    <t>https://ebookcentral.proquest.com/lib/NKNU/detail.action?docID=438775</t>
  </si>
  <si>
    <t>https://ebookcentral.proquest.com/lib/NKNU/detail.action?docID=438781</t>
  </si>
  <si>
    <t>https://ebookcentral.proquest.com/lib/NKNU/detail.action?docID=438785</t>
  </si>
  <si>
    <t>https://ebookcentral.proquest.com/lib/NKNU/detail.action?docID=438823</t>
  </si>
  <si>
    <t>https://ebookcentral.proquest.com/lib/NKNU/detail.action?docID=438840</t>
  </si>
  <si>
    <t>https://ebookcentral.proquest.com/lib/NKNU/detail.action?docID=438852</t>
  </si>
  <si>
    <t>https://ebookcentral.proquest.com/lib/NKNU/detail.action?docID=438865</t>
  </si>
  <si>
    <t>https://ebookcentral.proquest.com/lib/NKNU/detail.action?docID=438871</t>
  </si>
  <si>
    <t>https://ebookcentral.proquest.com/lib/NKNU/detail.action?docID=438905</t>
  </si>
  <si>
    <t>https://ebookcentral.proquest.com/lib/NKNU/detail.action?docID=438913</t>
  </si>
  <si>
    <t>https://ebookcentral.proquest.com/lib/NKNU/detail.action?docID=438934</t>
  </si>
  <si>
    <t>https://ebookcentral.proquest.com/lib/NKNU/detail.action?docID=438937</t>
  </si>
  <si>
    <t>https://ebookcentral.proquest.com/lib/NKNU/detail.action?docID=438969</t>
  </si>
  <si>
    <t>https://ebookcentral.proquest.com/lib/NKNU/detail.action?docID=438992</t>
  </si>
  <si>
    <t>https://ebookcentral.proquest.com/lib/NKNU/detail.action?docID=438993</t>
  </si>
  <si>
    <t>https://ebookcentral.proquest.com/lib/NKNU/detail.action?docID=439044</t>
  </si>
  <si>
    <t>https://ebookcentral.proquest.com/lib/NKNU/detail.action?docID=439045</t>
  </si>
  <si>
    <t>https://ebookcentral.proquest.com/lib/NKNU/detail.action?docID=439046</t>
  </si>
  <si>
    <t>https://ebookcentral.proquest.com/lib/NKNU/detail.action?docID=439047</t>
  </si>
  <si>
    <t>https://ebookcentral.proquest.com/lib/NKNU/detail.action?docID=439050</t>
  </si>
  <si>
    <t>https://ebookcentral.proquest.com/lib/NKNU/detail.action?docID=439390</t>
  </si>
  <si>
    <t>https://ebookcentral.proquest.com/lib/NKNU/detail.action?docID=439426</t>
  </si>
  <si>
    <t>https://ebookcentral.proquest.com/lib/NKNU/detail.action?docID=439427</t>
  </si>
  <si>
    <t>https://ebookcentral.proquest.com/lib/NKNU/detail.action?docID=439430</t>
  </si>
  <si>
    <t>https://ebookcentral.proquest.com/lib/NKNU/detail.action?docID=439433</t>
  </si>
  <si>
    <t>https://ebookcentral.proquest.com/lib/NKNU/detail.action?docID=439435</t>
  </si>
  <si>
    <t>https://ebookcentral.proquest.com/lib/NKNU/detail.action?docID=439436</t>
  </si>
  <si>
    <t>https://ebookcentral.proquest.com/lib/NKNU/detail.action?docID=442130</t>
  </si>
  <si>
    <t>https://ebookcentral.proquest.com/lib/NKNU/detail.action?docID=442132</t>
  </si>
  <si>
    <t>https://ebookcentral.proquest.com/lib/NKNU/detail.action?docID=442140</t>
  </si>
  <si>
    <t>https://ebookcentral.proquest.com/lib/NKNU/detail.action?docID=443680</t>
  </si>
  <si>
    <t>https://ebookcentral.proquest.com/lib/NKNU/detail.action?docID=443682</t>
  </si>
  <si>
    <t>https://ebookcentral.proquest.com/lib/NKNU/detail.action?docID=443686</t>
  </si>
  <si>
    <t>https://ebookcentral.proquest.com/lib/NKNU/detail.action?docID=443690</t>
  </si>
  <si>
    <t>https://ebookcentral.proquest.com/lib/NKNU/detail.action?docID=445247</t>
  </si>
  <si>
    <t>https://ebookcentral.proquest.com/lib/NKNU/detail.action?docID=445253</t>
  </si>
  <si>
    <t>https://ebookcentral.proquest.com/lib/NKNU/detail.action?docID=445258</t>
  </si>
  <si>
    <t>https://ebookcentral.proquest.com/lib/NKNU/detail.action?docID=445264</t>
  </si>
  <si>
    <t>https://ebookcentral.proquest.com/lib/NKNU/detail.action?docID=445265</t>
  </si>
  <si>
    <t>https://ebookcentral.proquest.com/lib/NKNU/detail.action?docID=445291</t>
  </si>
  <si>
    <t>https://ebookcentral.proquest.com/lib/NKNU/detail.action?docID=445296</t>
  </si>
  <si>
    <t>https://ebookcentral.proquest.com/lib/NKNU/detail.action?docID=445302</t>
  </si>
  <si>
    <t>https://ebookcentral.proquest.com/lib/NKNU/detail.action?docID=445394</t>
  </si>
  <si>
    <t>https://ebookcentral.proquest.com/lib/NKNU/detail.action?docID=445487</t>
  </si>
  <si>
    <t>https://ebookcentral.proquest.com/lib/NKNU/detail.action?docID=445508</t>
  </si>
  <si>
    <t>https://ebookcentral.proquest.com/lib/NKNU/detail.action?docID=445539</t>
  </si>
  <si>
    <t>https://ebookcentral.proquest.com/lib/NKNU/detail.action?docID=445544</t>
  </si>
  <si>
    <t>https://ebookcentral.proquest.com/lib/NKNU/detail.action?docID=445587</t>
  </si>
  <si>
    <t>https://ebookcentral.proquest.com/lib/NKNU/detail.action?docID=445592</t>
  </si>
  <si>
    <t>https://ebookcentral.proquest.com/lib/NKNU/detail.action?docID=446400</t>
  </si>
  <si>
    <t>https://ebookcentral.proquest.com/lib/NKNU/detail.action?docID=446402</t>
  </si>
  <si>
    <t>https://ebookcentral.proquest.com/lib/NKNU/detail.action?docID=446611</t>
  </si>
  <si>
    <t>https://ebookcentral.proquest.com/lib/NKNU/detail.action?docID=446659</t>
  </si>
  <si>
    <t>https://ebookcentral.proquest.com/lib/NKNU/detail.action?docID=448458</t>
  </si>
  <si>
    <t>https://ebookcentral.proquest.com/lib/NKNU/detail.action?docID=448461</t>
  </si>
  <si>
    <t>https://ebookcentral.proquest.com/lib/NKNU/detail.action?docID=448513</t>
  </si>
  <si>
    <t>https://ebookcentral.proquest.com/lib/NKNU/detail.action?docID=448516</t>
  </si>
  <si>
    <t>https://ebookcentral.proquest.com/lib/NKNU/detail.action?docID=448519</t>
  </si>
  <si>
    <t>https://ebookcentral.proquest.com/lib/NKNU/detail.action?docID=448522</t>
  </si>
  <si>
    <t>https://ebookcentral.proquest.com/lib/NKNU/detail.action?docID=448525</t>
  </si>
  <si>
    <t>https://ebookcentral.proquest.com/lib/NKNU/detail.action?docID=448527</t>
  </si>
  <si>
    <t>https://ebookcentral.proquest.com/lib/NKNU/detail.action?docID=448531</t>
  </si>
  <si>
    <t>https://ebookcentral.proquest.com/lib/NKNU/detail.action?docID=448534</t>
  </si>
  <si>
    <t>https://ebookcentral.proquest.com/lib/NKNU/detail.action?docID=448536</t>
  </si>
  <si>
    <t>https://ebookcentral.proquest.com/lib/NKNU/detail.action?docID=448539</t>
  </si>
  <si>
    <t>https://ebookcentral.proquest.com/lib/NKNU/detail.action?docID=448540</t>
  </si>
  <si>
    <t>https://ebookcentral.proquest.com/lib/NKNU/detail.action?docID=448547</t>
  </si>
  <si>
    <t>https://ebookcentral.proquest.com/lib/NKNU/detail.action?docID=448549</t>
  </si>
  <si>
    <t>https://ebookcentral.proquest.com/lib/NKNU/detail.action?docID=448564</t>
  </si>
  <si>
    <t>https://ebookcentral.proquest.com/lib/NKNU/detail.action?docID=448565</t>
  </si>
  <si>
    <t>https://ebookcentral.proquest.com/lib/NKNU/detail.action?docID=448572</t>
  </si>
  <si>
    <t>https://ebookcentral.proquest.com/lib/NKNU/detail.action?docID=448576</t>
  </si>
  <si>
    <t>https://ebookcentral.proquest.com/lib/NKNU/detail.action?docID=448577</t>
  </si>
  <si>
    <t>https://ebookcentral.proquest.com/lib/NKNU/detail.action?docID=448578</t>
  </si>
  <si>
    <t>https://ebookcentral.proquest.com/lib/NKNU/detail.action?docID=448580</t>
  </si>
  <si>
    <t>https://ebookcentral.proquest.com/lib/NKNU/detail.action?docID=448581</t>
  </si>
  <si>
    <t>https://ebookcentral.proquest.com/lib/NKNU/detail.action?docID=448584</t>
  </si>
  <si>
    <t>https://ebookcentral.proquest.com/lib/NKNU/detail.action?docID=448589</t>
  </si>
  <si>
    <t>https://ebookcentral.proquest.com/lib/NKNU/detail.action?docID=448593</t>
  </si>
  <si>
    <t>https://ebookcentral.proquest.com/lib/NKNU/detail.action?docID=448735</t>
  </si>
  <si>
    <t>https://ebookcentral.proquest.com/lib/NKNU/detail.action?docID=448737</t>
  </si>
  <si>
    <t>https://ebookcentral.proquest.com/lib/NKNU/detail.action?docID=448756</t>
  </si>
  <si>
    <t>https://ebookcentral.proquest.com/lib/NKNU/detail.action?docID=449268</t>
  </si>
  <si>
    <t>https://ebookcentral.proquest.com/lib/NKNU/detail.action?docID=449270</t>
  </si>
  <si>
    <t>https://ebookcentral.proquest.com/lib/NKNU/detail.action?docID=449273</t>
  </si>
  <si>
    <t>https://ebookcentral.proquest.com/lib/NKNU/detail.action?docID=449330</t>
  </si>
  <si>
    <t>https://ebookcentral.proquest.com/lib/NKNU/detail.action?docID=449387</t>
  </si>
  <si>
    <t>https://ebookcentral.proquest.com/lib/NKNU/detail.action?docID=449388</t>
  </si>
  <si>
    <t>https://ebookcentral.proquest.com/lib/NKNU/detail.action?docID=449396</t>
  </si>
  <si>
    <t>https://ebookcentral.proquest.com/lib/NKNU/detail.action?docID=449404</t>
  </si>
  <si>
    <t>https://ebookcentral.proquest.com/lib/NKNU/detail.action?docID=449421</t>
  </si>
  <si>
    <t>https://ebookcentral.proquest.com/lib/NKNU/detail.action?docID=449429</t>
  </si>
  <si>
    <t>https://ebookcentral.proquest.com/lib/NKNU/detail.action?docID=449627</t>
  </si>
  <si>
    <t>https://ebookcentral.proquest.com/lib/NKNU/detail.action?docID=449701</t>
  </si>
  <si>
    <t>https://ebookcentral.proquest.com/lib/NKNU/detail.action?docID=449806</t>
  </si>
  <si>
    <t>https://ebookcentral.proquest.com/lib/NKNU/detail.action?docID=449813</t>
  </si>
  <si>
    <t>https://ebookcentral.proquest.com/lib/NKNU/detail.action?docID=449821</t>
  </si>
  <si>
    <t>https://ebookcentral.proquest.com/lib/NKNU/detail.action?docID=449825</t>
  </si>
  <si>
    <t>https://ebookcentral.proquest.com/lib/NKNU/detail.action?docID=449826</t>
  </si>
  <si>
    <t>https://ebookcentral.proquest.com/lib/NKNU/detail.action?docID=449872</t>
  </si>
  <si>
    <t>https://ebookcentral.proquest.com/lib/NKNU/detail.action?docID=449874</t>
  </si>
  <si>
    <t>https://ebookcentral.proquest.com/lib/NKNU/detail.action?docID=449875</t>
  </si>
  <si>
    <t>https://ebookcentral.proquest.com/lib/NKNU/detail.action?docID=449876</t>
  </si>
  <si>
    <t>https://ebookcentral.proquest.com/lib/NKNU/detail.action?docID=449877</t>
  </si>
  <si>
    <t>https://ebookcentral.proquest.com/lib/NKNU/detail.action?docID=449878</t>
  </si>
  <si>
    <t>https://ebookcentral.proquest.com/lib/NKNU/detail.action?docID=449879</t>
  </si>
  <si>
    <t>https://ebookcentral.proquest.com/lib/NKNU/detail.action?docID=449881</t>
  </si>
  <si>
    <t>https://ebookcentral.proquest.com/lib/NKNU/detail.action?docID=449882</t>
  </si>
  <si>
    <t>https://ebookcentral.proquest.com/lib/NKNU/detail.action?docID=449883</t>
  </si>
  <si>
    <t>https://ebookcentral.proquest.com/lib/NKNU/detail.action?docID=449885</t>
  </si>
  <si>
    <t>https://ebookcentral.proquest.com/lib/NKNU/detail.action?docID=449886</t>
  </si>
  <si>
    <t>https://ebookcentral.proquest.com/lib/NKNU/detail.action?docID=449888</t>
  </si>
  <si>
    <t>https://ebookcentral.proquest.com/lib/NKNU/detail.action?docID=449892</t>
  </si>
  <si>
    <t>https://ebookcentral.proquest.com/lib/NKNU/detail.action?docID=449893</t>
  </si>
  <si>
    <t>https://ebookcentral.proquest.com/lib/NKNU/detail.action?docID=449896</t>
  </si>
  <si>
    <t>https://ebookcentral.proquest.com/lib/NKNU/detail.action?docID=452126</t>
  </si>
  <si>
    <t>https://ebookcentral.proquest.com/lib/NKNU/detail.action?docID=452146</t>
  </si>
  <si>
    <t>https://ebookcentral.proquest.com/lib/NKNU/detail.action?docID=452159</t>
  </si>
  <si>
    <t>https://ebookcentral.proquest.com/lib/NKNU/detail.action?docID=452180</t>
  </si>
  <si>
    <t>https://ebookcentral.proquest.com/lib/NKNU/detail.action?docID=452192</t>
  </si>
  <si>
    <t>https://ebookcentral.proquest.com/lib/NKNU/detail.action?docID=452197</t>
  </si>
  <si>
    <t>https://ebookcentral.proquest.com/lib/NKNU/detail.action?docID=452199</t>
  </si>
  <si>
    <t>https://ebookcentral.proquest.com/lib/NKNU/detail.action?docID=452546</t>
  </si>
  <si>
    <t>https://ebookcentral.proquest.com/lib/NKNU/detail.action?docID=452584</t>
  </si>
  <si>
    <t>https://ebookcentral.proquest.com/lib/NKNU/detail.action?docID=452588</t>
  </si>
  <si>
    <t>https://ebookcentral.proquest.com/lib/NKNU/detail.action?docID=452590</t>
  </si>
  <si>
    <t>https://ebookcentral.proquest.com/lib/NKNU/detail.action?docID=452595</t>
  </si>
  <si>
    <t>https://ebookcentral.proquest.com/lib/NKNU/detail.action?docID=452597</t>
  </si>
  <si>
    <t>https://ebookcentral.proquest.com/lib/NKNU/detail.action?docID=452599</t>
  </si>
  <si>
    <t>https://ebookcentral.proquest.com/lib/NKNU/detail.action?docID=452607</t>
  </si>
  <si>
    <t>https://ebookcentral.proquest.com/lib/NKNU/detail.action?docID=452609</t>
  </si>
  <si>
    <t>https://ebookcentral.proquest.com/lib/NKNU/detail.action?docID=452614</t>
  </si>
  <si>
    <t>https://ebookcentral.proquest.com/lib/NKNU/detail.action?docID=453193</t>
  </si>
  <si>
    <t>https://ebookcentral.proquest.com/lib/NKNU/detail.action?docID=453205</t>
  </si>
  <si>
    <t>https://ebookcentral.proquest.com/lib/NKNU/detail.action?docID=453219</t>
  </si>
  <si>
    <t>https://ebookcentral.proquest.com/lib/NKNU/detail.action?docID=453226</t>
  </si>
  <si>
    <t>https://ebookcentral.proquest.com/lib/NKNU/detail.action?docID=453230</t>
  </si>
  <si>
    <t>https://ebookcentral.proquest.com/lib/NKNU/detail.action?docID=453270</t>
  </si>
  <si>
    <t>https://ebookcentral.proquest.com/lib/NKNU/detail.action?docID=453329</t>
  </si>
  <si>
    <t>https://ebookcentral.proquest.com/lib/NKNU/detail.action?docID=453674</t>
  </si>
  <si>
    <t>https://ebookcentral.proquest.com/lib/NKNU/detail.action?docID=453676</t>
  </si>
  <si>
    <t>https://ebookcentral.proquest.com/lib/NKNU/detail.action?docID=453696</t>
  </si>
  <si>
    <t>https://ebookcentral.proquest.com/lib/NKNU/detail.action?docID=453705</t>
  </si>
  <si>
    <t>https://ebookcentral.proquest.com/lib/NKNU/detail.action?docID=453750</t>
  </si>
  <si>
    <t>https://ebookcentral.proquest.com/lib/NKNU/detail.action?docID=453791</t>
  </si>
  <si>
    <t>https://ebookcentral.proquest.com/lib/NKNU/detail.action?docID=453802</t>
  </si>
  <si>
    <t>https://ebookcentral.proquest.com/lib/NKNU/detail.action?docID=453816</t>
  </si>
  <si>
    <t>https://ebookcentral.proquest.com/lib/NKNU/detail.action?docID=453823</t>
  </si>
  <si>
    <t>https://ebookcentral.proquest.com/lib/NKNU/detail.action?docID=453831</t>
  </si>
  <si>
    <t>https://ebookcentral.proquest.com/lib/NKNU/detail.action?docID=453833</t>
  </si>
  <si>
    <t>https://ebookcentral.proquest.com/lib/NKNU/detail.action?docID=453835</t>
  </si>
  <si>
    <t>https://ebookcentral.proquest.com/lib/NKNU/detail.action?docID=453847</t>
  </si>
  <si>
    <t>https://ebookcentral.proquest.com/lib/NKNU/detail.action?docID=453851</t>
  </si>
  <si>
    <t>https://ebookcentral.proquest.com/lib/NKNU/detail.action?docID=453858</t>
  </si>
  <si>
    <t>https://ebookcentral.proquest.com/lib/NKNU/detail.action?docID=453873</t>
  </si>
  <si>
    <t>https://ebookcentral.proquest.com/lib/NKNU/detail.action?docID=453878</t>
  </si>
  <si>
    <t>https://ebookcentral.proquest.com/lib/NKNU/detail.action?docID=453899</t>
  </si>
  <si>
    <t>https://ebookcentral.proquest.com/lib/NKNU/detail.action?docID=453911</t>
  </si>
  <si>
    <t>https://ebookcentral.proquest.com/lib/NKNU/detail.action?docID=453912</t>
  </si>
  <si>
    <t>https://ebookcentral.proquest.com/lib/NKNU/detail.action?docID=453917</t>
  </si>
  <si>
    <t>https://ebookcentral.proquest.com/lib/NKNU/detail.action?docID=453932</t>
  </si>
  <si>
    <t>https://ebookcentral.proquest.com/lib/NKNU/detail.action?docID=453936</t>
  </si>
  <si>
    <t>https://ebookcentral.proquest.com/lib/NKNU/detail.action?docID=453940</t>
  </si>
  <si>
    <t>https://ebookcentral.proquest.com/lib/NKNU/detail.action?docID=453953</t>
  </si>
  <si>
    <t>https://ebookcentral.proquest.com/lib/NKNU/detail.action?docID=453957</t>
  </si>
  <si>
    <t>https://ebookcentral.proquest.com/lib/NKNU/detail.action?docID=453975</t>
  </si>
  <si>
    <t>https://ebookcentral.proquest.com/lib/NKNU/detail.action?docID=453982</t>
  </si>
  <si>
    <t>https://ebookcentral.proquest.com/lib/NKNU/detail.action?docID=453984</t>
  </si>
  <si>
    <t>https://ebookcentral.proquest.com/lib/NKNU/detail.action?docID=453985</t>
  </si>
  <si>
    <t>https://ebookcentral.proquest.com/lib/NKNU/detail.action?docID=453986</t>
  </si>
  <si>
    <t>https://ebookcentral.proquest.com/lib/NKNU/detail.action?docID=453995</t>
  </si>
  <si>
    <t>https://ebookcentral.proquest.com/lib/NKNU/detail.action?docID=453997</t>
  </si>
  <si>
    <t>https://ebookcentral.proquest.com/lib/NKNU/detail.action?docID=454001</t>
  </si>
  <si>
    <t>https://ebookcentral.proquest.com/lib/NKNU/detail.action?docID=454004</t>
  </si>
  <si>
    <t>https://ebookcentral.proquest.com/lib/NKNU/detail.action?docID=454482</t>
  </si>
  <si>
    <t>https://ebookcentral.proquest.com/lib/NKNU/detail.action?docID=454506</t>
  </si>
  <si>
    <t>https://ebookcentral.proquest.com/lib/NKNU/detail.action?docID=454511</t>
  </si>
  <si>
    <t>https://ebookcentral.proquest.com/lib/NKNU/detail.action?docID=454530</t>
  </si>
  <si>
    <t>https://ebookcentral.proquest.com/lib/NKNU/detail.action?docID=454555</t>
  </si>
  <si>
    <t>https://ebookcentral.proquest.com/lib/NKNU/detail.action?docID=454563</t>
  </si>
  <si>
    <t>https://ebookcentral.proquest.com/lib/NKNU/detail.action?docID=454577</t>
  </si>
  <si>
    <t>https://ebookcentral.proquest.com/lib/NKNU/detail.action?docID=454588</t>
  </si>
  <si>
    <t>https://ebookcentral.proquest.com/lib/NKNU/detail.action?docID=454590</t>
  </si>
  <si>
    <t>https://ebookcentral.proquest.com/lib/NKNU/detail.action?docID=454771</t>
  </si>
  <si>
    <t>https://ebookcentral.proquest.com/lib/NKNU/detail.action?docID=454774</t>
  </si>
  <si>
    <t>https://ebookcentral.proquest.com/lib/NKNU/detail.action?docID=454780</t>
  </si>
  <si>
    <t>https://ebookcentral.proquest.com/lib/NKNU/detail.action?docID=454781</t>
  </si>
  <si>
    <t>https://ebookcentral.proquest.com/lib/NKNU/detail.action?docID=454782</t>
  </si>
  <si>
    <t>https://ebookcentral.proquest.com/lib/NKNU/detail.action?docID=454787</t>
  </si>
  <si>
    <t>https://ebookcentral.proquest.com/lib/NKNU/detail.action?docID=454788</t>
  </si>
  <si>
    <t>https://ebookcentral.proquest.com/lib/NKNU/detail.action?docID=454794</t>
  </si>
  <si>
    <t>https://ebookcentral.proquest.com/lib/NKNU/detail.action?docID=455790</t>
  </si>
  <si>
    <t>https://ebookcentral.proquest.com/lib/NKNU/detail.action?docID=455796</t>
  </si>
  <si>
    <t>https://ebookcentral.proquest.com/lib/NKNU/detail.action?docID=455829</t>
  </si>
  <si>
    <t>https://ebookcentral.proquest.com/lib/NKNU/detail.action?docID=455845</t>
  </si>
  <si>
    <t>https://ebookcentral.proquest.com/lib/NKNU/detail.action?docID=456024</t>
  </si>
  <si>
    <t>https://ebookcentral.proquest.com/lib/NKNU/detail.action?docID=456680</t>
  </si>
  <si>
    <t>https://ebookcentral.proquest.com/lib/NKNU/detail.action?docID=456724</t>
  </si>
  <si>
    <t>https://ebookcentral.proquest.com/lib/NKNU/detail.action?docID=456727</t>
  </si>
  <si>
    <t>https://ebookcentral.proquest.com/lib/NKNU/detail.action?docID=456739</t>
  </si>
  <si>
    <t>https://ebookcentral.proquest.com/lib/NKNU/detail.action?docID=456740</t>
  </si>
  <si>
    <t>https://ebookcentral.proquest.com/lib/NKNU/detail.action?docID=456748</t>
  </si>
  <si>
    <t>https://ebookcentral.proquest.com/lib/NKNU/detail.action?docID=456763</t>
  </si>
  <si>
    <t>https://ebookcentral.proquest.com/lib/NKNU/detail.action?docID=456860</t>
  </si>
  <si>
    <t>https://ebookcentral.proquest.com/lib/NKNU/detail.action?docID=456873</t>
  </si>
  <si>
    <t>https://ebookcentral.proquest.com/lib/NKNU/detail.action?docID=456877</t>
  </si>
  <si>
    <t>https://ebookcentral.proquest.com/lib/NKNU/detail.action?docID=456954</t>
  </si>
  <si>
    <t>https://ebookcentral.proquest.com/lib/NKNU/detail.action?docID=456962</t>
  </si>
  <si>
    <t>https://ebookcentral.proquest.com/lib/NKNU/detail.action?docID=456988</t>
  </si>
  <si>
    <t>https://ebookcentral.proquest.com/lib/NKNU/detail.action?docID=456998</t>
  </si>
  <si>
    <t>https://ebookcentral.proquest.com/lib/NKNU/detail.action?docID=457023</t>
  </si>
  <si>
    <t>https://ebookcentral.proquest.com/lib/NKNU/detail.action?docID=457025</t>
  </si>
  <si>
    <t>https://ebookcentral.proquest.com/lib/NKNU/detail.action?docID=457028</t>
  </si>
  <si>
    <t>https://ebookcentral.proquest.com/lib/NKNU/detail.action?docID=457049</t>
  </si>
  <si>
    <t>https://ebookcentral.proquest.com/lib/NKNU/detail.action?docID=457054</t>
  </si>
  <si>
    <t>https://ebookcentral.proquest.com/lib/NKNU/detail.action?docID=457085</t>
  </si>
  <si>
    <t>https://ebookcentral.proquest.com/lib/NKNU/detail.action?docID=457194</t>
  </si>
  <si>
    <t>https://ebookcentral.proquest.com/lib/NKNU/detail.action?docID=457197</t>
  </si>
  <si>
    <t>https://ebookcentral.proquest.com/lib/NKNU/detail.action?docID=457202</t>
  </si>
  <si>
    <t>https://ebookcentral.proquest.com/lib/NKNU/detail.action?docID=457247</t>
  </si>
  <si>
    <t>https://ebookcentral.proquest.com/lib/NKNU/detail.action?docID=457277</t>
  </si>
  <si>
    <t>https://ebookcentral.proquest.com/lib/NKNU/detail.action?docID=457295</t>
  </si>
  <si>
    <t>https://ebookcentral.proquest.com/lib/NKNU/detail.action?docID=457296</t>
  </si>
  <si>
    <t>https://ebookcentral.proquest.com/lib/NKNU/detail.action?docID=457307</t>
  </si>
  <si>
    <t>https://ebookcentral.proquest.com/lib/NKNU/detail.action?docID=457371</t>
  </si>
  <si>
    <t>https://ebookcentral.proquest.com/lib/NKNU/detail.action?docID=457396</t>
  </si>
  <si>
    <t>https://ebookcentral.proquest.com/lib/NKNU/detail.action?docID=457397</t>
  </si>
  <si>
    <t>https://ebookcentral.proquest.com/lib/NKNU/detail.action?docID=457555</t>
  </si>
  <si>
    <t>https://ebookcentral.proquest.com/lib/NKNU/detail.action?docID=457558</t>
  </si>
  <si>
    <t>https://ebookcentral.proquest.com/lib/NKNU/detail.action?docID=457559</t>
  </si>
  <si>
    <t>https://ebookcentral.proquest.com/lib/NKNU/detail.action?docID=457565</t>
  </si>
  <si>
    <t>https://ebookcentral.proquest.com/lib/NKNU/detail.action?docID=457570</t>
  </si>
  <si>
    <t>https://ebookcentral.proquest.com/lib/NKNU/detail.action?docID=457578</t>
  </si>
  <si>
    <t>https://ebookcentral.proquest.com/lib/NKNU/detail.action?docID=457729</t>
  </si>
  <si>
    <t>https://ebookcentral.proquest.com/lib/NKNU/detail.action?docID=457745</t>
  </si>
  <si>
    <t>https://ebookcentral.proquest.com/lib/NKNU/detail.action?docID=457761</t>
  </si>
  <si>
    <t>https://ebookcentral.proquest.com/lib/NKNU/detail.action?docID=457794</t>
  </si>
  <si>
    <t>https://ebookcentral.proquest.com/lib/NKNU/detail.action?docID=457813</t>
  </si>
  <si>
    <t>https://ebookcentral.proquest.com/lib/NKNU/detail.action?docID=457824</t>
  </si>
  <si>
    <t>https://ebookcentral.proquest.com/lib/NKNU/detail.action?docID=457929</t>
  </si>
  <si>
    <t>https://ebookcentral.proquest.com/lib/NKNU/detail.action?docID=457947</t>
  </si>
  <si>
    <t>https://ebookcentral.proquest.com/lib/NKNU/detail.action?docID=458396</t>
  </si>
  <si>
    <t>https://ebookcentral.proquest.com/lib/NKNU/detail.action?docID=460058</t>
  </si>
  <si>
    <t>https://ebookcentral.proquest.com/lib/NKNU/detail.action?docID=460059</t>
  </si>
  <si>
    <t>https://ebookcentral.proquest.com/lib/NKNU/detail.action?docID=460404</t>
  </si>
  <si>
    <t>https://ebookcentral.proquest.com/lib/NKNU/detail.action?docID=460405</t>
  </si>
  <si>
    <t>https://ebookcentral.proquest.com/lib/NKNU/detail.action?docID=460412</t>
  </si>
  <si>
    <t>https://ebookcentral.proquest.com/lib/NKNU/detail.action?docID=465114</t>
  </si>
  <si>
    <t>https://ebookcentral.proquest.com/lib/NKNU/detail.action?docID=465117</t>
  </si>
  <si>
    <t>https://ebookcentral.proquest.com/lib/NKNU/detail.action?docID=465120</t>
  </si>
  <si>
    <t>https://ebookcentral.proquest.com/lib/NKNU/detail.action?docID=465121</t>
  </si>
  <si>
    <t>https://ebookcentral.proquest.com/lib/NKNU/detail.action?docID=465123</t>
  </si>
  <si>
    <t>https://ebookcentral.proquest.com/lib/NKNU/detail.action?docID=465754</t>
  </si>
  <si>
    <t>https://ebookcentral.proquest.com/lib/NKNU/detail.action?docID=465758</t>
  </si>
  <si>
    <t>https://ebookcentral.proquest.com/lib/NKNU/detail.action?docID=465766</t>
  </si>
  <si>
    <t>https://ebookcentral.proquest.com/lib/NKNU/detail.action?docID=465770</t>
  </si>
  <si>
    <t>https://ebookcentral.proquest.com/lib/NKNU/detail.action?docID=465774</t>
  </si>
  <si>
    <t>https://ebookcentral.proquest.com/lib/NKNU/detail.action?docID=465775</t>
  </si>
  <si>
    <t>https://ebookcentral.proquest.com/lib/NKNU/detail.action?docID=465776</t>
  </si>
  <si>
    <t>https://ebookcentral.proquest.com/lib/NKNU/detail.action?docID=465782</t>
  </si>
  <si>
    <t>https://ebookcentral.proquest.com/lib/NKNU/detail.action?docID=465791</t>
  </si>
  <si>
    <t>https://ebookcentral.proquest.com/lib/NKNU/detail.action?docID=465792</t>
  </si>
  <si>
    <t>https://ebookcentral.proquest.com/lib/NKNU/detail.action?docID=465795</t>
  </si>
  <si>
    <t>https://ebookcentral.proquest.com/lib/NKNU/detail.action?docID=465796</t>
  </si>
  <si>
    <t>https://ebookcentral.proquest.com/lib/NKNU/detail.action?docID=465803</t>
  </si>
  <si>
    <t>https://ebookcentral.proquest.com/lib/NKNU/detail.action?docID=465805</t>
  </si>
  <si>
    <t>https://ebookcentral.proquest.com/lib/NKNU/detail.action?docID=465808</t>
  </si>
  <si>
    <t>https://ebookcentral.proquest.com/lib/NKNU/detail.action?docID=465812</t>
  </si>
  <si>
    <t>https://ebookcentral.proquest.com/lib/NKNU/detail.action?docID=465815</t>
  </si>
  <si>
    <t>https://ebookcentral.proquest.com/lib/NKNU/detail.action?docID=465818</t>
  </si>
  <si>
    <t>https://ebookcentral.proquest.com/lib/NKNU/detail.action?docID=465820</t>
  </si>
  <si>
    <t>https://ebookcentral.proquest.com/lib/NKNU/detail.action?docID=465824</t>
  </si>
  <si>
    <t>https://ebookcentral.proquest.com/lib/NKNU/detail.action?docID=466770</t>
  </si>
  <si>
    <t>https://ebookcentral.proquest.com/lib/NKNU/detail.action?docID=467113</t>
  </si>
  <si>
    <t>https://ebookcentral.proquest.com/lib/NKNU/detail.action?docID=467893</t>
  </si>
  <si>
    <t>https://ebookcentral.proquest.com/lib/NKNU/detail.action?docID=467997</t>
  </si>
  <si>
    <t>https://ebookcentral.proquest.com/lib/NKNU/detail.action?docID=468149</t>
  </si>
  <si>
    <t>https://ebookcentral.proquest.com/lib/NKNU/detail.action?docID=471048</t>
  </si>
  <si>
    <t>https://ebookcentral.proquest.com/lib/NKNU/detail.action?docID=471091</t>
  </si>
  <si>
    <t>https://ebookcentral.proquest.com/lib/NKNU/detail.action?docID=471315</t>
  </si>
  <si>
    <t>https://ebookcentral.proquest.com/lib/NKNU/detail.action?docID=471707</t>
  </si>
  <si>
    <t>https://ebookcentral.proquest.com/lib/NKNU/detail.action?docID=471709</t>
  </si>
  <si>
    <t>https://ebookcentral.proquest.com/lib/NKNU/detail.action?docID=471772</t>
  </si>
  <si>
    <t>https://ebookcentral.proquest.com/lib/NKNU/detail.action?docID=471784</t>
  </si>
  <si>
    <t>https://ebookcentral.proquest.com/lib/NKNU/detail.action?docID=471788</t>
  </si>
  <si>
    <t>https://ebookcentral.proquest.com/lib/NKNU/detail.action?docID=471795</t>
  </si>
  <si>
    <t>https://ebookcentral.proquest.com/lib/NKNU/detail.action?docID=471797</t>
  </si>
  <si>
    <t>https://ebookcentral.proquest.com/lib/NKNU/detail.action?docID=471822</t>
  </si>
  <si>
    <t>https://ebookcentral.proquest.com/lib/NKNU/detail.action?docID=472575</t>
  </si>
  <si>
    <t>https://ebookcentral.proquest.com/lib/NKNU/detail.action?docID=472579</t>
  </si>
  <si>
    <t>https://ebookcentral.proquest.com/lib/NKNU/detail.action?docID=472585</t>
  </si>
  <si>
    <t>https://ebookcentral.proquest.com/lib/NKNU/detail.action?docID=472586</t>
  </si>
  <si>
    <t>https://ebookcentral.proquest.com/lib/NKNU/detail.action?docID=472588</t>
  </si>
  <si>
    <t>https://ebookcentral.proquest.com/lib/NKNU/detail.action?docID=472590</t>
  </si>
  <si>
    <t>https://ebookcentral.proquest.com/lib/NKNU/detail.action?docID=472591</t>
  </si>
  <si>
    <t>https://ebookcentral.proquest.com/lib/NKNU/detail.action?docID=472671</t>
  </si>
  <si>
    <t>https://ebookcentral.proquest.com/lib/NKNU/detail.action?docID=472672</t>
  </si>
  <si>
    <t>https://ebookcentral.proquest.com/lib/NKNU/detail.action?docID=472700</t>
  </si>
  <si>
    <t>https://ebookcentral.proquest.com/lib/NKNU/detail.action?docID=472728</t>
  </si>
  <si>
    <t>https://ebookcentral.proquest.com/lib/NKNU/detail.action?docID=472735</t>
  </si>
  <si>
    <t>https://ebookcentral.proquest.com/lib/NKNU/detail.action?docID=472760</t>
  </si>
  <si>
    <t>https://ebookcentral.proquest.com/lib/NKNU/detail.action?docID=472769</t>
  </si>
  <si>
    <t>https://ebookcentral.proquest.com/lib/NKNU/detail.action?docID=473680</t>
  </si>
  <si>
    <t>https://ebookcentral.proquest.com/lib/NKNU/detail.action?docID=473728</t>
  </si>
  <si>
    <t>https://ebookcentral.proquest.com/lib/NKNU/detail.action?docID=474051</t>
  </si>
  <si>
    <t>https://ebookcentral.proquest.com/lib/NKNU/detail.action?docID=474166</t>
  </si>
  <si>
    <t>https://ebookcentral.proquest.com/lib/NKNU/detail.action?docID=474182</t>
  </si>
  <si>
    <t>https://ebookcentral.proquest.com/lib/NKNU/detail.action?docID=474207</t>
  </si>
  <si>
    <t>https://ebookcentral.proquest.com/lib/NKNU/detail.action?docID=474257</t>
  </si>
  <si>
    <t>https://ebookcentral.proquest.com/lib/NKNU/detail.action?docID=474347</t>
  </si>
  <si>
    <t>https://ebookcentral.proquest.com/lib/NKNU/detail.action?docID=474442</t>
  </si>
  <si>
    <t>https://ebookcentral.proquest.com/lib/NKNU/detail.action?docID=474443</t>
  </si>
  <si>
    <t>https://ebookcentral.proquest.com/lib/NKNU/detail.action?docID=474444</t>
  </si>
  <si>
    <t>https://ebookcentral.proquest.com/lib/NKNU/detail.action?docID=474446</t>
  </si>
  <si>
    <t>https://ebookcentral.proquest.com/lib/NKNU/detail.action?docID=474447</t>
  </si>
  <si>
    <t>https://ebookcentral.proquest.com/lib/NKNU/detail.action?docID=474449</t>
  </si>
  <si>
    <t>https://ebookcentral.proquest.com/lib/NKNU/detail.action?docID=474452</t>
  </si>
  <si>
    <t>https://ebookcentral.proquest.com/lib/NKNU/detail.action?docID=474659</t>
  </si>
  <si>
    <t>https://ebookcentral.proquest.com/lib/NKNU/detail.action?docID=474668</t>
  </si>
  <si>
    <t>https://ebookcentral.proquest.com/lib/NKNU/detail.action?docID=474672</t>
  </si>
  <si>
    <t>https://ebookcentral.proquest.com/lib/NKNU/detail.action?docID=474676</t>
  </si>
  <si>
    <t>https://ebookcentral.proquest.com/lib/NKNU/detail.action?docID=474730</t>
  </si>
  <si>
    <t>https://ebookcentral.proquest.com/lib/NKNU/detail.action?docID=474796</t>
  </si>
  <si>
    <t>https://ebookcentral.proquest.com/lib/NKNU/detail.action?docID=475846</t>
  </si>
  <si>
    <t>https://ebookcentral.proquest.com/lib/NKNU/detail.action?docID=476004</t>
  </si>
  <si>
    <t>https://ebookcentral.proquest.com/lib/NKNU/detail.action?docID=476023</t>
  </si>
  <si>
    <t>https://ebookcentral.proquest.com/lib/NKNU/detail.action?docID=476030</t>
  </si>
  <si>
    <t>https://ebookcentral.proquest.com/lib/NKNU/detail.action?docID=476034</t>
  </si>
  <si>
    <t>https://ebookcentral.proquest.com/lib/NKNU/detail.action?docID=476043</t>
  </si>
  <si>
    <t>https://ebookcentral.proquest.com/lib/NKNU/detail.action?docID=476047</t>
  </si>
  <si>
    <t>https://ebookcentral.proquest.com/lib/NKNU/detail.action?docID=476090</t>
  </si>
  <si>
    <t>https://ebookcentral.proquest.com/lib/NKNU/detail.action?docID=476127</t>
  </si>
  <si>
    <t>https://ebookcentral.proquest.com/lib/NKNU/detail.action?docID=476464</t>
  </si>
  <si>
    <t>https://ebookcentral.proquest.com/lib/NKNU/detail.action?docID=476470</t>
  </si>
  <si>
    <t>https://ebookcentral.proquest.com/lib/NKNU/detail.action?docID=476514</t>
  </si>
  <si>
    <t>https://ebookcentral.proquest.com/lib/NKNU/detail.action?docID=476515</t>
  </si>
  <si>
    <t>https://ebookcentral.proquest.com/lib/NKNU/detail.action?docID=476530</t>
  </si>
  <si>
    <t>https://ebookcentral.proquest.com/lib/NKNU/detail.action?docID=476537</t>
  </si>
  <si>
    <t>https://ebookcentral.proquest.com/lib/NKNU/detail.action?docID=476562</t>
  </si>
  <si>
    <t>https://ebookcentral.proquest.com/lib/NKNU/detail.action?docID=476576</t>
  </si>
  <si>
    <t>https://ebookcentral.proquest.com/lib/NKNU/detail.action?docID=476579</t>
  </si>
  <si>
    <t>https://ebookcentral.proquest.com/lib/NKNU/detail.action?docID=476985</t>
  </si>
  <si>
    <t>https://ebookcentral.proquest.com/lib/NKNU/detail.action?docID=477241</t>
  </si>
  <si>
    <t>https://ebookcentral.proquest.com/lib/NKNU/detail.action?docID=477262</t>
  </si>
  <si>
    <t>https://ebookcentral.proquest.com/lib/NKNU/detail.action?docID=477271</t>
  </si>
  <si>
    <t>https://ebookcentral.proquest.com/lib/NKNU/detail.action?docID=477449</t>
  </si>
  <si>
    <t>https://ebookcentral.proquest.com/lib/NKNU/detail.action?docID=477465</t>
  </si>
  <si>
    <t>https://ebookcentral.proquest.com/lib/NKNU/detail.action?docID=477563</t>
  </si>
  <si>
    <t>https://ebookcentral.proquest.com/lib/NKNU/detail.action?docID=477564</t>
  </si>
  <si>
    <t>https://ebookcentral.proquest.com/lib/NKNU/detail.action?docID=477578</t>
  </si>
  <si>
    <t>https://ebookcentral.proquest.com/lib/NKNU/detail.action?docID=477606</t>
  </si>
  <si>
    <t>https://ebookcentral.proquest.com/lib/NKNU/detail.action?docID=477610</t>
  </si>
  <si>
    <t>https://ebookcentral.proquest.com/lib/NKNU/detail.action?docID=478828</t>
  </si>
  <si>
    <t>https://ebookcentral.proquest.com/lib/NKNU/detail.action?docID=478849</t>
  </si>
  <si>
    <t>https://ebookcentral.proquest.com/lib/NKNU/detail.action?docID=478954</t>
  </si>
  <si>
    <t>https://ebookcentral.proquest.com/lib/NKNU/detail.action?docID=479209</t>
  </si>
  <si>
    <t>https://ebookcentral.proquest.com/lib/NKNU/detail.action?docID=479227</t>
  </si>
  <si>
    <t>https://ebookcentral.proquest.com/lib/NKNU/detail.action?docID=479231</t>
  </si>
  <si>
    <t>https://ebookcentral.proquest.com/lib/NKNU/detail.action?docID=479898</t>
  </si>
  <si>
    <t>https://ebookcentral.proquest.com/lib/NKNU/detail.action?docID=479921</t>
  </si>
  <si>
    <t>https://ebookcentral.proquest.com/lib/NKNU/detail.action?docID=479924</t>
  </si>
  <si>
    <t>https://ebookcentral.proquest.com/lib/NKNU/detail.action?docID=480059</t>
  </si>
  <si>
    <t>https://ebookcentral.proquest.com/lib/NKNU/detail.action?docID=480074</t>
  </si>
  <si>
    <t>https://ebookcentral.proquest.com/lib/NKNU/detail.action?docID=480471</t>
  </si>
  <si>
    <t>https://ebookcentral.proquest.com/lib/NKNU/detail.action?docID=480546</t>
  </si>
  <si>
    <t>https://ebookcentral.proquest.com/lib/NKNU/detail.action?docID=480633</t>
  </si>
  <si>
    <t>https://ebookcentral.proquest.com/lib/NKNU/detail.action?docID=480976</t>
  </si>
  <si>
    <t>https://ebookcentral.proquest.com/lib/NKNU/detail.action?docID=480991</t>
  </si>
  <si>
    <t>https://ebookcentral.proquest.com/lib/NKNU/detail.action?docID=481233</t>
  </si>
  <si>
    <t>https://ebookcentral.proquest.com/lib/NKNU/detail.action?docID=483310</t>
  </si>
  <si>
    <t>https://ebookcentral.proquest.com/lib/NKNU/detail.action?docID=483323</t>
  </si>
  <si>
    <t>https://ebookcentral.proquest.com/lib/NKNU/detail.action?docID=483327</t>
  </si>
  <si>
    <t>https://ebookcentral.proquest.com/lib/NKNU/detail.action?docID=483356</t>
  </si>
  <si>
    <t>https://ebookcentral.proquest.com/lib/NKNU/detail.action?docID=483386</t>
  </si>
  <si>
    <t>https://ebookcentral.proquest.com/lib/NKNU/detail.action?docID=483392</t>
  </si>
  <si>
    <t>https://ebookcentral.proquest.com/lib/NKNU/detail.action?docID=483494</t>
  </si>
  <si>
    <t>https://ebookcentral.proquest.com/lib/NKNU/detail.action?docID=483499</t>
  </si>
  <si>
    <t>https://ebookcentral.proquest.com/lib/NKNU/detail.action?docID=483512</t>
  </si>
  <si>
    <t>https://ebookcentral.proquest.com/lib/NKNU/detail.action?docID=483587</t>
  </si>
  <si>
    <t>https://ebookcentral.proquest.com/lib/NKNU/detail.action?docID=483737</t>
  </si>
  <si>
    <t>https://ebookcentral.proquest.com/lib/NKNU/detail.action?docID=483740</t>
  </si>
  <si>
    <t>https://ebookcentral.proquest.com/lib/NKNU/detail.action?docID=483750</t>
  </si>
  <si>
    <t>https://ebookcentral.proquest.com/lib/NKNU/detail.action?docID=483752</t>
  </si>
  <si>
    <t>https://ebookcentral.proquest.com/lib/NKNU/detail.action?docID=483823</t>
  </si>
  <si>
    <t>https://ebookcentral.proquest.com/lib/NKNU/detail.action?docID=483835</t>
  </si>
  <si>
    <t>https://ebookcentral.proquest.com/lib/NKNU/detail.action?docID=483900</t>
  </si>
  <si>
    <t>https://ebookcentral.proquest.com/lib/NKNU/detail.action?docID=484824</t>
  </si>
  <si>
    <t>https://ebookcentral.proquest.com/lib/NKNU/detail.action?docID=484889</t>
  </si>
  <si>
    <t>https://ebookcentral.proquest.com/lib/NKNU/detail.action?docID=485195</t>
  </si>
  <si>
    <t>https://ebookcentral.proquest.com/lib/NKNU/detail.action?docID=485284</t>
  </si>
  <si>
    <t>https://ebookcentral.proquest.com/lib/NKNU/detail.action?docID=485431</t>
  </si>
  <si>
    <t>https://ebookcentral.proquest.com/lib/NKNU/detail.action?docID=485496</t>
  </si>
  <si>
    <t>https://ebookcentral.proquest.com/lib/NKNU/detail.action?docID=485499</t>
  </si>
  <si>
    <t>https://ebookcentral.proquest.com/lib/NKNU/detail.action?docID=485503</t>
  </si>
  <si>
    <t>https://ebookcentral.proquest.com/lib/NKNU/detail.action?docID=485718</t>
  </si>
  <si>
    <t>https://ebookcentral.proquest.com/lib/NKNU/detail.action?docID=485759</t>
  </si>
  <si>
    <t>https://ebookcentral.proquest.com/lib/NKNU/detail.action?docID=485763</t>
  </si>
  <si>
    <t>https://ebookcentral.proquest.com/lib/NKNU/detail.action?docID=485774</t>
  </si>
  <si>
    <t>https://ebookcentral.proquest.com/lib/NKNU/detail.action?docID=485778</t>
  </si>
  <si>
    <t>https://ebookcentral.proquest.com/lib/NKNU/detail.action?docID=485779</t>
  </si>
  <si>
    <t>https://ebookcentral.proquest.com/lib/NKNU/detail.action?docID=485781</t>
  </si>
  <si>
    <t>https://ebookcentral.proquest.com/lib/NKNU/detail.action?docID=485801</t>
  </si>
  <si>
    <t>https://ebookcentral.proquest.com/lib/NKNU/detail.action?docID=485967</t>
  </si>
  <si>
    <t>https://ebookcentral.proquest.com/lib/NKNU/detail.action?docID=485976</t>
  </si>
  <si>
    <t>https://ebookcentral.proquest.com/lib/NKNU/detail.action?docID=487177</t>
  </si>
  <si>
    <t>https://ebookcentral.proquest.com/lib/NKNU/detail.action?docID=487619</t>
  </si>
  <si>
    <t>https://ebookcentral.proquest.com/lib/NKNU/detail.action?docID=487638</t>
  </si>
  <si>
    <t>https://ebookcentral.proquest.com/lib/NKNU/detail.action?docID=487673</t>
  </si>
  <si>
    <t>https://ebookcentral.proquest.com/lib/NKNU/detail.action?docID=487961</t>
  </si>
  <si>
    <t>https://ebookcentral.proquest.com/lib/NKNU/detail.action?docID=488078</t>
  </si>
  <si>
    <t>https://ebookcentral.proquest.com/lib/NKNU/detail.action?docID=488117</t>
  </si>
  <si>
    <t>https://ebookcentral.proquest.com/lib/NKNU/detail.action?docID=491263</t>
  </si>
  <si>
    <t>https://ebookcentral.proquest.com/lib/NKNU/detail.action?docID=491493</t>
  </si>
  <si>
    <t>https://ebookcentral.proquest.com/lib/NKNU/detail.action?docID=492025</t>
  </si>
  <si>
    <t>https://ebookcentral.proquest.com/lib/NKNU/detail.action?docID=495073</t>
  </si>
  <si>
    <t>https://ebookcentral.proquest.com/lib/NKNU/detail.action?docID=495280</t>
  </si>
  <si>
    <t>https://ebookcentral.proquest.com/lib/NKNU/detail.action?docID=495281</t>
  </si>
  <si>
    <t>https://ebookcentral.proquest.com/lib/NKNU/detail.action?docID=495336</t>
  </si>
  <si>
    <t>https://ebookcentral.proquest.com/lib/NKNU/detail.action?docID=495339</t>
  </si>
  <si>
    <t>https://ebookcentral.proquest.com/lib/NKNU/detail.action?docID=495342</t>
  </si>
  <si>
    <t>https://ebookcentral.proquest.com/lib/NKNU/detail.action?docID=495343</t>
  </si>
  <si>
    <t>https://ebookcentral.proquest.com/lib/NKNU/detail.action?docID=495347</t>
  </si>
  <si>
    <t>https://ebookcentral.proquest.com/lib/NKNU/detail.action?docID=495350</t>
  </si>
  <si>
    <t>https://ebookcentral.proquest.com/lib/NKNU/detail.action?docID=495355</t>
  </si>
  <si>
    <t>https://ebookcentral.proquest.com/lib/NKNU/detail.action?docID=496103</t>
  </si>
  <si>
    <t>https://ebookcentral.proquest.com/lib/NKNU/detail.action?docID=496489</t>
  </si>
  <si>
    <t>https://ebookcentral.proquest.com/lib/NKNU/detail.action?docID=496610</t>
  </si>
  <si>
    <t>https://ebookcentral.proquest.com/lib/NKNU/detail.action?docID=497162</t>
  </si>
  <si>
    <t>https://ebookcentral.proquest.com/lib/NKNU/detail.action?docID=497228</t>
  </si>
  <si>
    <t>https://ebookcentral.proquest.com/lib/NKNU/detail.action?docID=497278</t>
  </si>
  <si>
    <t>https://ebookcentral.proquest.com/lib/NKNU/detail.action?docID=500794</t>
  </si>
  <si>
    <t>https://ebookcentral.proquest.com/lib/NKNU/detail.action?docID=500851</t>
  </si>
  <si>
    <t>https://ebookcentral.proquest.com/lib/NKNU/detail.action?docID=500853</t>
  </si>
  <si>
    <t>https://ebookcentral.proquest.com/lib/NKNU/detail.action?docID=500867</t>
  </si>
  <si>
    <t>https://ebookcentral.proquest.com/lib/NKNU/detail.action?docID=500875</t>
  </si>
  <si>
    <t>https://ebookcentral.proquest.com/lib/NKNU/detail.action?docID=500895</t>
  </si>
  <si>
    <t>https://ebookcentral.proquest.com/lib/NKNU/detail.action?docID=500926</t>
  </si>
  <si>
    <t>https://ebookcentral.proquest.com/lib/NKNU/detail.action?docID=500960</t>
  </si>
  <si>
    <t>https://ebookcentral.proquest.com/lib/NKNU/detail.action?docID=501495</t>
  </si>
  <si>
    <t>https://ebookcentral.proquest.com/lib/NKNU/detail.action?docID=501520</t>
  </si>
  <si>
    <t>https://ebookcentral.proquest.com/lib/NKNU/detail.action?docID=510065</t>
  </si>
  <si>
    <t>https://ebookcentral.proquest.com/lib/NKNU/detail.action?docID=510110</t>
  </si>
  <si>
    <t>https://ebookcentral.proquest.com/lib/NKNU/detail.action?docID=510118</t>
  </si>
  <si>
    <t>https://ebookcentral.proquest.com/lib/NKNU/detail.action?docID=510139</t>
  </si>
  <si>
    <t>https://ebookcentral.proquest.com/lib/NKNU/detail.action?docID=510240</t>
  </si>
  <si>
    <t>https://ebookcentral.proquest.com/lib/NKNU/detail.action?docID=510248</t>
  </si>
  <si>
    <t>https://ebookcentral.proquest.com/lib/NKNU/detail.action?docID=510404</t>
  </si>
  <si>
    <t>https://ebookcentral.proquest.com/lib/NKNU/detail.action?docID=512029</t>
  </si>
  <si>
    <t>https://ebookcentral.proquest.com/lib/NKNU/detail.action?docID=513964</t>
  </si>
  <si>
    <t>https://ebookcentral.proquest.com/lib/NKNU/detail.action?docID=513966</t>
  </si>
  <si>
    <t>https://ebookcentral.proquest.com/lib/NKNU/detail.action?docID=513968</t>
  </si>
  <si>
    <t>https://ebookcentral.proquest.com/lib/NKNU/detail.action?docID=513972</t>
  </si>
  <si>
    <t>https://ebookcentral.proquest.com/lib/NKNU/detail.action?docID=514000</t>
  </si>
  <si>
    <t>https://ebookcentral.proquest.com/lib/NKNU/detail.action?docID=514081</t>
  </si>
  <si>
    <t>https://ebookcentral.proquest.com/lib/NKNU/detail.action?docID=514584</t>
  </si>
  <si>
    <t>https://ebookcentral.proquest.com/lib/NKNU/detail.action?docID=514587</t>
  </si>
  <si>
    <t>https://ebookcentral.proquest.com/lib/NKNU/detail.action?docID=514636</t>
  </si>
  <si>
    <t>https://ebookcentral.proquest.com/lib/NKNU/detail.action?docID=514685</t>
  </si>
  <si>
    <t>https://ebookcentral.proquest.com/lib/NKNU/detail.action?docID=514711</t>
  </si>
  <si>
    <t>https://ebookcentral.proquest.com/lib/NKNU/detail.action?docID=514746</t>
  </si>
  <si>
    <t>https://ebookcentral.proquest.com/lib/NKNU/detail.action?docID=514767</t>
  </si>
  <si>
    <t>https://ebookcentral.proquest.com/lib/NKNU/detail.action?docID=514771</t>
  </si>
  <si>
    <t>https://ebookcentral.proquest.com/lib/NKNU/detail.action?docID=514776</t>
  </si>
  <si>
    <t>https://ebookcentral.proquest.com/lib/NKNU/detail.action?docID=514891</t>
  </si>
  <si>
    <t>https://ebookcentral.proquest.com/lib/NKNU/detail.action?docID=514896</t>
  </si>
  <si>
    <t>https://ebookcentral.proquest.com/lib/NKNU/detail.action?docID=514915</t>
  </si>
  <si>
    <t>https://ebookcentral.proquest.com/lib/NKNU/detail.action?docID=515523</t>
  </si>
  <si>
    <t>https://ebookcentral.proquest.com/lib/NKNU/detail.action?docID=515552</t>
  </si>
  <si>
    <t>https://ebookcentral.proquest.com/lib/NKNU/detail.action?docID=515577</t>
  </si>
  <si>
    <t>https://ebookcentral.proquest.com/lib/NKNU/detail.action?docID=515591</t>
  </si>
  <si>
    <t>https://ebookcentral.proquest.com/lib/NKNU/detail.action?docID=515594</t>
  </si>
  <si>
    <t>https://ebookcentral.proquest.com/lib/NKNU/detail.action?docID=515604</t>
  </si>
  <si>
    <t>https://ebookcentral.proquest.com/lib/NKNU/detail.action?docID=515614</t>
  </si>
  <si>
    <t>https://ebookcentral.proquest.com/lib/NKNU/detail.action?docID=515636</t>
  </si>
  <si>
    <t>https://ebookcentral.proquest.com/lib/NKNU/detail.action?docID=515660</t>
  </si>
  <si>
    <t>https://ebookcentral.proquest.com/lib/NKNU/detail.action?docID=515728</t>
  </si>
  <si>
    <t>https://ebookcentral.proquest.com/lib/NKNU/detail.action?docID=515736</t>
  </si>
  <si>
    <t>https://ebookcentral.proquest.com/lib/NKNU/detail.action?docID=515751</t>
  </si>
  <si>
    <t>https://ebookcentral.proquest.com/lib/NKNU/detail.action?docID=516756</t>
  </si>
  <si>
    <t>https://ebookcentral.proquest.com/lib/NKNU/detail.action?docID=516776</t>
  </si>
  <si>
    <t>https://ebookcentral.proquest.com/lib/NKNU/detail.action?docID=516801</t>
  </si>
  <si>
    <t>https://ebookcentral.proquest.com/lib/NKNU/detail.action?docID=516874</t>
  </si>
  <si>
    <t>https://ebookcentral.proquest.com/lib/NKNU/detail.action?docID=516945</t>
  </si>
  <si>
    <t>https://ebookcentral.proquest.com/lib/NKNU/detail.action?docID=516952</t>
  </si>
  <si>
    <t>https://ebookcentral.proquest.com/lib/NKNU/detail.action?docID=517130</t>
  </si>
  <si>
    <t>https://ebookcentral.proquest.com/lib/NKNU/detail.action?docID=517143</t>
  </si>
  <si>
    <t>https://ebookcentral.proquest.com/lib/NKNU/detail.action?docID=517145</t>
  </si>
  <si>
    <t>https://ebookcentral.proquest.com/lib/NKNU/detail.action?docID=517148</t>
  </si>
  <si>
    <t>https://ebookcentral.proquest.com/lib/NKNU/detail.action?docID=529947</t>
  </si>
  <si>
    <t>https://ebookcentral.proquest.com/lib/NKNU/detail.action?docID=529956</t>
  </si>
  <si>
    <t>https://ebookcentral.proquest.com/lib/NKNU/detail.action?docID=529979</t>
  </si>
  <si>
    <t>https://ebookcentral.proquest.com/lib/NKNU/detail.action?docID=530027</t>
  </si>
  <si>
    <t>https://ebookcentral.proquest.com/lib/NKNU/detail.action?docID=533012</t>
  </si>
  <si>
    <t>https://ebookcentral.proquest.com/lib/NKNU/detail.action?docID=533059</t>
  </si>
  <si>
    <t>https://ebookcentral.proquest.com/lib/NKNU/detail.action?docID=533163</t>
  </si>
  <si>
    <t>https://ebookcentral.proquest.com/lib/NKNU/detail.action?docID=533846</t>
  </si>
  <si>
    <t>https://ebookcentral.proquest.com/lib/NKNU/detail.action?docID=535348</t>
  </si>
  <si>
    <t>https://ebookcentral.proquest.com/lib/NKNU/detail.action?docID=535350</t>
  </si>
  <si>
    <t>https://ebookcentral.proquest.com/lib/NKNU/detail.action?docID=537002</t>
  </si>
  <si>
    <t>https://ebookcentral.proquest.com/lib/NKNU/detail.action?docID=537007</t>
  </si>
  <si>
    <t>https://ebookcentral.proquest.com/lib/NKNU/detail.action?docID=537014</t>
  </si>
  <si>
    <t>https://ebookcentral.proquest.com/lib/NKNU/detail.action?docID=537027</t>
  </si>
  <si>
    <t>https://ebookcentral.proquest.com/lib/NKNU/detail.action?docID=537035</t>
  </si>
  <si>
    <t>https://ebookcentral.proquest.com/lib/NKNU/detail.action?docID=537633</t>
  </si>
  <si>
    <t>https://ebookcentral.proquest.com/lib/NKNU/detail.action?docID=537669</t>
  </si>
  <si>
    <t>https://ebookcentral.proquest.com/lib/NKNU/detail.action?docID=537678</t>
  </si>
  <si>
    <t>https://ebookcentral.proquest.com/lib/NKNU/detail.action?docID=537706</t>
  </si>
  <si>
    <t>https://ebookcentral.proquest.com/lib/NKNU/detail.action?docID=537708</t>
  </si>
  <si>
    <t>https://ebookcentral.proquest.com/lib/NKNU/detail.action?docID=537731</t>
  </si>
  <si>
    <t>https://ebookcentral.proquest.com/lib/NKNU/detail.action?docID=537748</t>
  </si>
  <si>
    <t>https://ebookcentral.proquest.com/lib/NKNU/detail.action?docID=537752</t>
  </si>
  <si>
    <t>https://ebookcentral.proquest.com/lib/NKNU/detail.action?docID=537756</t>
  </si>
  <si>
    <t>https://ebookcentral.proquest.com/lib/NKNU/detail.action?docID=537762</t>
  </si>
  <si>
    <t>https://ebookcentral.proquest.com/lib/NKNU/detail.action?docID=537795</t>
  </si>
  <si>
    <t>https://ebookcentral.proquest.com/lib/NKNU/detail.action?docID=537808</t>
  </si>
  <si>
    <t>https://ebookcentral.proquest.com/lib/NKNU/detail.action?docID=537817</t>
  </si>
  <si>
    <t>https://ebookcentral.proquest.com/lib/NKNU/detail.action?docID=537829</t>
  </si>
  <si>
    <t>https://ebookcentral.proquest.com/lib/NKNU/detail.action?docID=537851</t>
  </si>
  <si>
    <t>https://ebookcentral.proquest.com/lib/NKNU/detail.action?docID=539801</t>
  </si>
  <si>
    <t>https://ebookcentral.proquest.com/lib/NKNU/detail.action?docID=539854</t>
  </si>
  <si>
    <t>https://ebookcentral.proquest.com/lib/NKNU/detail.action?docID=540033</t>
  </si>
  <si>
    <t>https://ebookcentral.proquest.com/lib/NKNU/detail.action?docID=540098</t>
  </si>
  <si>
    <t>https://ebookcentral.proquest.com/lib/NKNU/detail.action?docID=540156</t>
  </si>
  <si>
    <t>https://ebookcentral.proquest.com/lib/NKNU/detail.action?docID=540262</t>
  </si>
  <si>
    <t>https://ebookcentral.proquest.com/lib/NKNU/detail.action?docID=542921</t>
  </si>
  <si>
    <t>https://ebookcentral.proquest.com/lib/NKNU/detail.action?docID=542922</t>
  </si>
  <si>
    <t>https://ebookcentral.proquest.com/lib/NKNU/detail.action?docID=543879</t>
  </si>
  <si>
    <t>https://ebookcentral.proquest.com/lib/NKNU/detail.action?docID=543882</t>
  </si>
  <si>
    <t>https://ebookcentral.proquest.com/lib/NKNU/detail.action?docID=543884</t>
  </si>
  <si>
    <t>https://ebookcentral.proquest.com/lib/NKNU/detail.action?docID=543885</t>
  </si>
  <si>
    <t>https://ebookcentral.proquest.com/lib/NKNU/detail.action?docID=543886</t>
  </si>
  <si>
    <t>https://ebookcentral.proquest.com/lib/NKNU/detail.action?docID=543887</t>
  </si>
  <si>
    <t>https://ebookcentral.proquest.com/lib/NKNU/detail.action?docID=543891</t>
  </si>
  <si>
    <t>https://ebookcentral.proquest.com/lib/NKNU/detail.action?docID=543894</t>
  </si>
  <si>
    <t>https://ebookcentral.proquest.com/lib/NKNU/detail.action?docID=543896</t>
  </si>
  <si>
    <t>https://ebookcentral.proquest.com/lib/NKNU/detail.action?docID=543898</t>
  </si>
  <si>
    <t>https://ebookcentral.proquest.com/lib/NKNU/detail.action?docID=543900</t>
  </si>
  <si>
    <t>https://ebookcentral.proquest.com/lib/NKNU/detail.action?docID=543902</t>
  </si>
  <si>
    <t>https://ebookcentral.proquest.com/lib/NKNU/detail.action?docID=543905</t>
  </si>
  <si>
    <t>https://ebookcentral.proquest.com/lib/NKNU/detail.action?docID=543908</t>
  </si>
  <si>
    <t>https://ebookcentral.proquest.com/lib/NKNU/detail.action?docID=543909</t>
  </si>
  <si>
    <t>https://ebookcentral.proquest.com/lib/NKNU/detail.action?docID=543911</t>
  </si>
  <si>
    <t>https://ebookcentral.proquest.com/lib/NKNU/detail.action?docID=543912</t>
  </si>
  <si>
    <t>https://ebookcentral.proquest.com/lib/NKNU/detail.action?docID=543913</t>
  </si>
  <si>
    <t>https://ebookcentral.proquest.com/lib/NKNU/detail.action?docID=543959</t>
  </si>
  <si>
    <t>https://ebookcentral.proquest.com/lib/NKNU/detail.action?docID=543971</t>
  </si>
  <si>
    <t>https://ebookcentral.proquest.com/lib/NKNU/detail.action?docID=543972</t>
  </si>
  <si>
    <t>https://ebookcentral.proquest.com/lib/NKNU/detail.action?docID=543989</t>
  </si>
  <si>
    <t>https://ebookcentral.proquest.com/lib/NKNU/detail.action?docID=544004</t>
  </si>
  <si>
    <t>https://ebookcentral.proquest.com/lib/NKNU/detail.action?docID=544301</t>
  </si>
  <si>
    <t>https://ebookcentral.proquest.com/lib/NKNU/detail.action?docID=544303</t>
  </si>
  <si>
    <t>https://ebookcentral.proquest.com/lib/NKNU/detail.action?docID=544334</t>
  </si>
  <si>
    <t>https://ebookcentral.proquest.com/lib/NKNU/detail.action?docID=544583</t>
  </si>
  <si>
    <t>https://ebookcentral.proquest.com/lib/NKNU/detail.action?docID=546500</t>
  </si>
  <si>
    <t>https://ebookcentral.proquest.com/lib/NKNU/detail.action?docID=547517</t>
  </si>
  <si>
    <t>https://ebookcentral.proquest.com/lib/NKNU/detail.action?docID=547564</t>
  </si>
  <si>
    <t>https://ebookcentral.proquest.com/lib/NKNU/detail.action?docID=547581</t>
  </si>
  <si>
    <t>https://ebookcentral.proquest.com/lib/NKNU/detail.action?docID=547584</t>
  </si>
  <si>
    <t>https://ebookcentral.proquest.com/lib/NKNU/detail.action?docID=547731</t>
  </si>
  <si>
    <t>https://ebookcentral.proquest.com/lib/NKNU/detail.action?docID=547772</t>
  </si>
  <si>
    <t>https://ebookcentral.proquest.com/lib/NKNU/detail.action?docID=547815</t>
  </si>
  <si>
    <t>https://ebookcentral.proquest.com/lib/NKNU/detail.action?docID=547823</t>
  </si>
  <si>
    <t>https://ebookcentral.proquest.com/lib/NKNU/detail.action?docID=547853</t>
  </si>
  <si>
    <t>https://ebookcentral.proquest.com/lib/NKNU/detail.action?docID=547862</t>
  </si>
  <si>
    <t>https://ebookcentral.proquest.com/lib/NKNU/detail.action?docID=547873</t>
  </si>
  <si>
    <t>https://ebookcentral.proquest.com/lib/NKNU/detail.action?docID=547881</t>
  </si>
  <si>
    <t>https://ebookcentral.proquest.com/lib/NKNU/detail.action?docID=547882</t>
  </si>
  <si>
    <t>https://ebookcentral.proquest.com/lib/NKNU/detail.action?docID=547885</t>
  </si>
  <si>
    <t>https://ebookcentral.proquest.com/lib/NKNU/detail.action?docID=547891</t>
  </si>
  <si>
    <t>https://ebookcentral.proquest.com/lib/NKNU/detail.action?docID=548070</t>
  </si>
  <si>
    <t>https://ebookcentral.proquest.com/lib/NKNU/detail.action?docID=548139</t>
  </si>
  <si>
    <t>https://ebookcentral.proquest.com/lib/NKNU/detail.action?docID=554822</t>
  </si>
  <si>
    <t>https://ebookcentral.proquest.com/lib/NKNU/detail.action?docID=554887</t>
  </si>
  <si>
    <t>https://ebookcentral.proquest.com/lib/NKNU/detail.action?docID=554975</t>
  </si>
  <si>
    <t>https://ebookcentral.proquest.com/lib/NKNU/detail.action?docID=556579</t>
  </si>
  <si>
    <t>https://ebookcentral.proquest.com/lib/NKNU/detail.action?docID=556738</t>
  </si>
  <si>
    <t>https://ebookcentral.proquest.com/lib/NKNU/detail.action?docID=556936</t>
  </si>
  <si>
    <t>https://ebookcentral.proquest.com/lib/NKNU/detail.action?docID=557010</t>
  </si>
  <si>
    <t>https://ebookcentral.proquest.com/lib/NKNU/detail.action?docID=557062</t>
  </si>
  <si>
    <t>https://ebookcentral.proquest.com/lib/NKNU/detail.action?docID=557069</t>
  </si>
  <si>
    <t>https://ebookcentral.proquest.com/lib/NKNU/detail.action?docID=557127</t>
  </si>
  <si>
    <t>https://ebookcentral.proquest.com/lib/NKNU/detail.action?docID=557159</t>
  </si>
  <si>
    <t>https://ebookcentral.proquest.com/lib/NKNU/detail.action?docID=564073</t>
  </si>
  <si>
    <t>https://ebookcentral.proquest.com/lib/NKNU/detail.action?docID=564145</t>
  </si>
  <si>
    <t>https://ebookcentral.proquest.com/lib/NKNU/detail.action?docID=564190</t>
  </si>
  <si>
    <t>https://ebookcentral.proquest.com/lib/NKNU/detail.action?docID=564218</t>
  </si>
  <si>
    <t>https://ebookcentral.proquest.com/lib/NKNU/detail.action?docID=564220</t>
  </si>
  <si>
    <t>https://ebookcentral.proquest.com/lib/NKNU/detail.action?docID=564237</t>
  </si>
  <si>
    <t>https://ebookcentral.proquest.com/lib/NKNU/detail.action?docID=564244</t>
  </si>
  <si>
    <t>https://ebookcentral.proquest.com/lib/NKNU/detail.action?docID=564264</t>
  </si>
  <si>
    <t>https://ebookcentral.proquest.com/lib/NKNU/detail.action?docID=564269</t>
  </si>
  <si>
    <t>https://ebookcentral.proquest.com/lib/NKNU/detail.action?docID=564275</t>
  </si>
  <si>
    <t>https://ebookcentral.proquest.com/lib/NKNU/detail.action?docID=564278</t>
  </si>
  <si>
    <t>https://ebookcentral.proquest.com/lib/NKNU/detail.action?docID=564280</t>
  </si>
  <si>
    <t>https://ebookcentral.proquest.com/lib/NKNU/detail.action?docID=564286</t>
  </si>
  <si>
    <t>https://ebookcentral.proquest.com/lib/NKNU/detail.action?docID=564291</t>
  </si>
  <si>
    <t>https://ebookcentral.proquest.com/lib/NKNU/detail.action?docID=564294</t>
  </si>
  <si>
    <t>https://ebookcentral.proquest.com/lib/NKNU/detail.action?docID=564295</t>
  </si>
  <si>
    <t>https://ebookcentral.proquest.com/lib/NKNU/detail.action?docID=564302</t>
  </si>
  <si>
    <t>https://ebookcentral.proquest.com/lib/NKNU/detail.action?docID=564310</t>
  </si>
  <si>
    <t>https://ebookcentral.proquest.com/lib/NKNU/detail.action?docID=564889</t>
  </si>
  <si>
    <t>https://ebookcentral.proquest.com/lib/NKNU/detail.action?docID=564920</t>
  </si>
  <si>
    <t>https://ebookcentral.proquest.com/lib/NKNU/detail.action?docID=565107</t>
  </si>
  <si>
    <t>https://ebookcentral.proquest.com/lib/NKNU/detail.action?docID=565295</t>
  </si>
  <si>
    <t>https://ebookcentral.proquest.com/lib/NKNU/detail.action?docID=565571</t>
  </si>
  <si>
    <t>https://ebookcentral.proquest.com/lib/NKNU/detail.action?docID=565635</t>
  </si>
  <si>
    <t>https://ebookcentral.proquest.com/lib/NKNU/detail.action?docID=565685</t>
  </si>
  <si>
    <t>https://ebookcentral.proquest.com/lib/NKNU/detail.action?docID=565686</t>
  </si>
  <si>
    <t>https://ebookcentral.proquest.com/lib/NKNU/detail.action?docID=566749</t>
  </si>
  <si>
    <t>https://ebookcentral.proquest.com/lib/NKNU/detail.action?docID=566761</t>
  </si>
  <si>
    <t>https://ebookcentral.proquest.com/lib/NKNU/detail.action?docID=573783</t>
  </si>
  <si>
    <t>https://ebookcentral.proquest.com/lib/NKNU/detail.action?docID=574188</t>
  </si>
  <si>
    <t>https://ebookcentral.proquest.com/lib/NKNU/detail.action?docID=574195</t>
  </si>
  <si>
    <t>https://ebookcentral.proquest.com/lib/NKNU/detail.action?docID=581676</t>
  </si>
  <si>
    <t>https://ebookcentral.proquest.com/lib/NKNU/detail.action?docID=581736</t>
  </si>
  <si>
    <t>https://ebookcentral.proquest.com/lib/NKNU/detail.action?docID=583550</t>
  </si>
  <si>
    <t>https://ebookcentral.proquest.com/lib/NKNU/detail.action?docID=583552</t>
  </si>
  <si>
    <t>https://ebookcentral.proquest.com/lib/NKNU/detail.action?docID=583649</t>
  </si>
  <si>
    <t>https://ebookcentral.proquest.com/lib/NKNU/detail.action?docID=583677</t>
  </si>
  <si>
    <t>https://ebookcentral.proquest.com/lib/NKNU/detail.action?docID=583721</t>
  </si>
  <si>
    <t>https://ebookcentral.proquest.com/lib/NKNU/detail.action?docID=583728</t>
  </si>
  <si>
    <t>https://ebookcentral.proquest.com/lib/NKNU/detail.action?docID=583770</t>
  </si>
  <si>
    <t>https://ebookcentral.proquest.com/lib/NKNU/detail.action?docID=583788</t>
  </si>
  <si>
    <t>https://ebookcentral.proquest.com/lib/NKNU/detail.action?docID=583790</t>
  </si>
  <si>
    <t>https://ebookcentral.proquest.com/lib/NKNU/detail.action?docID=583793</t>
  </si>
  <si>
    <t>https://ebookcentral.proquest.com/lib/NKNU/detail.action?docID=583872</t>
  </si>
  <si>
    <t>https://ebookcentral.proquest.com/lib/NKNU/detail.action?docID=583917</t>
  </si>
  <si>
    <t>https://ebookcentral.proquest.com/lib/NKNU/detail.action?docID=584439</t>
  </si>
  <si>
    <t>https://ebookcentral.proquest.com/lib/NKNU/detail.action?docID=584715</t>
  </si>
  <si>
    <t>https://ebookcentral.proquest.com/lib/NKNU/detail.action?docID=584716</t>
  </si>
  <si>
    <t>https://ebookcentral.proquest.com/lib/NKNU/detail.action?docID=584721</t>
  </si>
  <si>
    <t>https://ebookcentral.proquest.com/lib/NKNU/detail.action?docID=584768</t>
  </si>
  <si>
    <t>https://ebookcentral.proquest.com/lib/NKNU/detail.action?docID=584864</t>
  </si>
  <si>
    <t>https://ebookcentral.proquest.com/lib/NKNU/detail.action?docID=585028</t>
  </si>
  <si>
    <t>https://ebookcentral.proquest.com/lib/NKNU/detail.action?docID=587924</t>
  </si>
  <si>
    <t>https://ebookcentral.proquest.com/lib/NKNU/detail.action?docID=587933</t>
  </si>
  <si>
    <t>https://ebookcentral.proquest.com/lib/NKNU/detail.action?docID=587944</t>
  </si>
  <si>
    <t>https://ebookcentral.proquest.com/lib/NKNU/detail.action?docID=587952</t>
  </si>
  <si>
    <t>https://ebookcentral.proquest.com/lib/NKNU/detail.action?docID=587968</t>
  </si>
  <si>
    <t>https://ebookcentral.proquest.com/lib/NKNU/detail.action?docID=588003</t>
  </si>
  <si>
    <t>https://ebookcentral.proquest.com/lib/NKNU/detail.action?docID=588038</t>
  </si>
  <si>
    <t>https://ebookcentral.proquest.com/lib/NKNU/detail.action?docID=588039</t>
  </si>
  <si>
    <t>https://ebookcentral.proquest.com/lib/NKNU/detail.action?docID=588044</t>
  </si>
  <si>
    <t>https://ebookcentral.proquest.com/lib/NKNU/detail.action?docID=588056</t>
  </si>
  <si>
    <t>https://ebookcentral.proquest.com/lib/NKNU/detail.action?docID=588059</t>
  </si>
  <si>
    <t>https://ebookcentral.proquest.com/lib/NKNU/detail.action?docID=588078</t>
  </si>
  <si>
    <t>https://ebookcentral.proquest.com/lib/NKNU/detail.action?docID=588114</t>
  </si>
  <si>
    <t>https://ebookcentral.proquest.com/lib/NKNU/detail.action?docID=588120</t>
  </si>
  <si>
    <t>https://ebookcentral.proquest.com/lib/NKNU/detail.action?docID=588205</t>
  </si>
  <si>
    <t>https://ebookcentral.proquest.com/lib/NKNU/detail.action?docID=588235</t>
  </si>
  <si>
    <t>https://ebookcentral.proquest.com/lib/NKNU/detail.action?docID=588257</t>
  </si>
  <si>
    <t>https://ebookcentral.proquest.com/lib/NKNU/detail.action?docID=588282</t>
  </si>
  <si>
    <t>https://ebookcentral.proquest.com/lib/NKNU/detail.action?docID=588359</t>
  </si>
  <si>
    <t>https://ebookcentral.proquest.com/lib/NKNU/detail.action?docID=588363</t>
  </si>
  <si>
    <t>https://ebookcentral.proquest.com/lib/NKNU/detail.action?docID=588387</t>
  </si>
  <si>
    <t>https://ebookcentral.proquest.com/lib/NKNU/detail.action?docID=588395</t>
  </si>
  <si>
    <t>https://ebookcentral.proquest.com/lib/NKNU/detail.action?docID=588428</t>
  </si>
  <si>
    <t>https://ebookcentral.proquest.com/lib/NKNU/detail.action?docID=588466</t>
  </si>
  <si>
    <t>https://ebookcentral.proquest.com/lib/NKNU/detail.action?docID=588470</t>
  </si>
  <si>
    <t>https://ebookcentral.proquest.com/lib/NKNU/detail.action?docID=588540</t>
  </si>
  <si>
    <t>https://ebookcentral.proquest.com/lib/NKNU/detail.action?docID=588551</t>
  </si>
  <si>
    <t>https://ebookcentral.proquest.com/lib/NKNU/detail.action?docID=588553</t>
  </si>
  <si>
    <t>https://ebookcentral.proquest.com/lib/NKNU/detail.action?docID=588569</t>
  </si>
  <si>
    <t>https://ebookcentral.proquest.com/lib/NKNU/detail.action?docID=588573</t>
  </si>
  <si>
    <t>https://ebookcentral.proquest.com/lib/NKNU/detail.action?docID=588583</t>
  </si>
  <si>
    <t>https://ebookcentral.proquest.com/lib/NKNU/detail.action?docID=588592</t>
  </si>
  <si>
    <t>https://ebookcentral.proquest.com/lib/NKNU/detail.action?docID=588601</t>
  </si>
  <si>
    <t>https://ebookcentral.proquest.com/lib/NKNU/detail.action?docID=588610</t>
  </si>
  <si>
    <t>https://ebookcentral.proquest.com/lib/NKNU/detail.action?docID=588637</t>
  </si>
  <si>
    <t>https://ebookcentral.proquest.com/lib/NKNU/detail.action?docID=588639</t>
  </si>
  <si>
    <t>https://ebookcentral.proquest.com/lib/NKNU/detail.action?docID=588675</t>
  </si>
  <si>
    <t>https://ebookcentral.proquest.com/lib/NKNU/detail.action?docID=588699</t>
  </si>
  <si>
    <t>https://ebookcentral.proquest.com/lib/NKNU/detail.action?docID=588719</t>
  </si>
  <si>
    <t>https://ebookcentral.proquest.com/lib/NKNU/detail.action?docID=588722</t>
  </si>
  <si>
    <t>https://ebookcentral.proquest.com/lib/NKNU/detail.action?docID=588768</t>
  </si>
  <si>
    <t>https://ebookcentral.proquest.com/lib/NKNU/detail.action?docID=588769</t>
  </si>
  <si>
    <t>https://ebookcentral.proquest.com/lib/NKNU/detail.action?docID=588798</t>
  </si>
  <si>
    <t>https://ebookcentral.proquest.com/lib/NKNU/detail.action?docID=588999</t>
  </si>
  <si>
    <t>https://ebookcentral.proquest.com/lib/NKNU/detail.action?docID=589056</t>
  </si>
  <si>
    <t>https://ebookcentral.proquest.com/lib/NKNU/detail.action?docID=589113</t>
  </si>
  <si>
    <t>https://ebookcentral.proquest.com/lib/NKNU/detail.action?docID=589119</t>
  </si>
  <si>
    <t>https://ebookcentral.proquest.com/lib/NKNU/detail.action?docID=589133</t>
  </si>
  <si>
    <t>https://ebookcentral.proquest.com/lib/NKNU/detail.action?docID=589380</t>
  </si>
  <si>
    <t>https://ebookcentral.proquest.com/lib/NKNU/detail.action?docID=589737</t>
  </si>
  <si>
    <t>https://ebookcentral.proquest.com/lib/NKNU/detail.action?docID=589750</t>
  </si>
  <si>
    <t>https://ebookcentral.proquest.com/lib/NKNU/detail.action?docID=590816</t>
  </si>
  <si>
    <t>https://ebookcentral.proquest.com/lib/NKNU/detail.action?docID=590823</t>
  </si>
  <si>
    <t>https://ebookcentral.proquest.com/lib/NKNU/detail.action?docID=590826</t>
  </si>
  <si>
    <t>https://ebookcentral.proquest.com/lib/NKNU/detail.action?docID=591093</t>
  </si>
  <si>
    <t>https://ebookcentral.proquest.com/lib/NKNU/detail.action?docID=592408</t>
  </si>
  <si>
    <t>https://ebookcentral.proquest.com/lib/NKNU/detail.action?docID=592419</t>
  </si>
  <si>
    <t>https://ebookcentral.proquest.com/lib/NKNU/detail.action?docID=592424</t>
  </si>
  <si>
    <t>https://ebookcentral.proquest.com/lib/NKNU/detail.action?docID=592426</t>
  </si>
  <si>
    <t>https://ebookcentral.proquest.com/lib/NKNU/detail.action?docID=592435</t>
  </si>
  <si>
    <t>https://ebookcentral.proquest.com/lib/NKNU/detail.action?docID=592439</t>
  </si>
  <si>
    <t>https://ebookcentral.proquest.com/lib/NKNU/detail.action?docID=592469</t>
  </si>
  <si>
    <t>https://ebookcentral.proquest.com/lib/NKNU/detail.action?docID=592474</t>
  </si>
  <si>
    <t>https://ebookcentral.proquest.com/lib/NKNU/detail.action?docID=592567</t>
  </si>
  <si>
    <t>https://ebookcentral.proquest.com/lib/NKNU/detail.action?docID=592584</t>
  </si>
  <si>
    <t>https://ebookcentral.proquest.com/lib/NKNU/detail.action?docID=592619</t>
  </si>
  <si>
    <t>https://ebookcentral.proquest.com/lib/NKNU/detail.action?docID=592799</t>
  </si>
  <si>
    <t>https://ebookcentral.proquest.com/lib/NKNU/detail.action?docID=592804</t>
  </si>
  <si>
    <t>https://ebookcentral.proquest.com/lib/NKNU/detail.action?docID=592807</t>
  </si>
  <si>
    <t>https://ebookcentral.proquest.com/lib/NKNU/detail.action?docID=592856</t>
  </si>
  <si>
    <t>https://ebookcentral.proquest.com/lib/NKNU/detail.action?docID=592864</t>
  </si>
  <si>
    <t>https://ebookcentral.proquest.com/lib/NKNU/detail.action?docID=592868</t>
  </si>
  <si>
    <t>https://ebookcentral.proquest.com/lib/NKNU/detail.action?docID=592873</t>
  </si>
  <si>
    <t>https://ebookcentral.proquest.com/lib/NKNU/detail.action?docID=595197</t>
  </si>
  <si>
    <t>https://ebookcentral.proquest.com/lib/NKNU/detail.action?docID=595233</t>
  </si>
  <si>
    <t>https://ebookcentral.proquest.com/lib/NKNU/detail.action?docID=595277</t>
  </si>
  <si>
    <t>https://ebookcentral.proquest.com/lib/NKNU/detail.action?docID=597863</t>
  </si>
  <si>
    <t>https://ebookcentral.proquest.com/lib/NKNU/detail.action?docID=601472</t>
  </si>
  <si>
    <t>https://ebookcentral.proquest.com/lib/NKNU/detail.action?docID=601474</t>
  </si>
  <si>
    <t>https://ebookcentral.proquest.com/lib/NKNU/detail.action?docID=601482</t>
  </si>
  <si>
    <t>https://ebookcentral.proquest.com/lib/NKNU/detail.action?docID=601491</t>
  </si>
  <si>
    <t>https://ebookcentral.proquest.com/lib/NKNU/detail.action?docID=601497</t>
  </si>
  <si>
    <t>https://ebookcentral.proquest.com/lib/NKNU/detail.action?docID=601498</t>
  </si>
  <si>
    <t>https://ebookcentral.proquest.com/lib/NKNU/detail.action?docID=601502</t>
  </si>
  <si>
    <t>https://ebookcentral.proquest.com/lib/NKNU/detail.action?docID=601512</t>
  </si>
  <si>
    <t>https://ebookcentral.proquest.com/lib/NKNU/detail.action?docID=601516</t>
  </si>
  <si>
    <t>https://ebookcentral.proquest.com/lib/NKNU/detail.action?docID=601519</t>
  </si>
  <si>
    <t>https://ebookcentral.proquest.com/lib/NKNU/detail.action?docID=601522</t>
  </si>
  <si>
    <t>https://ebookcentral.proquest.com/lib/NKNU/detail.action?docID=601532</t>
  </si>
  <si>
    <t>https://ebookcentral.proquest.com/lib/NKNU/detail.action?docID=601533</t>
  </si>
  <si>
    <t>https://ebookcentral.proquest.com/lib/NKNU/detail.action?docID=601534</t>
  </si>
  <si>
    <t>https://ebookcentral.proquest.com/lib/NKNU/detail.action?docID=601542</t>
  </si>
  <si>
    <t>https://ebookcentral.proquest.com/lib/NKNU/detail.action?docID=601547</t>
  </si>
  <si>
    <t>https://ebookcentral.proquest.com/lib/NKNU/detail.action?docID=601552</t>
  </si>
  <si>
    <t>https://ebookcentral.proquest.com/lib/NKNU/detail.action?docID=601579</t>
  </si>
  <si>
    <t>https://ebookcentral.proquest.com/lib/NKNU/detail.action?docID=601581</t>
  </si>
  <si>
    <t>https://ebookcentral.proquest.com/lib/NKNU/detail.action?docID=601590</t>
  </si>
  <si>
    <t>https://ebookcentral.proquest.com/lib/NKNU/detail.action?docID=601592</t>
  </si>
  <si>
    <t>https://ebookcentral.proquest.com/lib/NKNU/detail.action?docID=601605</t>
  </si>
  <si>
    <t>https://ebookcentral.proquest.com/lib/NKNU/detail.action?docID=601609</t>
  </si>
  <si>
    <t>https://ebookcentral.proquest.com/lib/NKNU/detail.action?docID=601631</t>
  </si>
  <si>
    <t>https://ebookcentral.proquest.com/lib/NKNU/detail.action?docID=601661</t>
  </si>
  <si>
    <t>https://ebookcentral.proquest.com/lib/NKNU/detail.action?docID=601664</t>
  </si>
  <si>
    <t>https://ebookcentral.proquest.com/lib/NKNU/detail.action?docID=601667</t>
  </si>
  <si>
    <t>https://ebookcentral.proquest.com/lib/NKNU/detail.action?docID=601671</t>
  </si>
  <si>
    <t>https://ebookcentral.proquest.com/lib/NKNU/detail.action?docID=601675</t>
  </si>
  <si>
    <t>https://ebookcentral.proquest.com/lib/NKNU/detail.action?docID=601683</t>
  </si>
  <si>
    <t>https://ebookcentral.proquest.com/lib/NKNU/detail.action?docID=601699</t>
  </si>
  <si>
    <t>https://ebookcentral.proquest.com/lib/NKNU/detail.action?docID=601717</t>
  </si>
  <si>
    <t>https://ebookcentral.proquest.com/lib/NKNU/detail.action?docID=601725</t>
  </si>
  <si>
    <t>https://ebookcentral.proquest.com/lib/NKNU/detail.action?docID=601746</t>
  </si>
  <si>
    <t>https://ebookcentral.proquest.com/lib/NKNU/detail.action?docID=601786</t>
  </si>
  <si>
    <t>https://ebookcentral.proquest.com/lib/NKNU/detail.action?docID=601795</t>
  </si>
  <si>
    <t>https://ebookcentral.proquest.com/lib/NKNU/detail.action?docID=601817</t>
  </si>
  <si>
    <t>https://ebookcentral.proquest.com/lib/NKNU/detail.action?docID=601824</t>
  </si>
  <si>
    <t>https://ebookcentral.proquest.com/lib/NKNU/detail.action?docID=601831</t>
  </si>
  <si>
    <t>https://ebookcentral.proquest.com/lib/NKNU/detail.action?docID=601834</t>
  </si>
  <si>
    <t>https://ebookcentral.proquest.com/lib/NKNU/detail.action?docID=601855</t>
  </si>
  <si>
    <t>https://ebookcentral.proquest.com/lib/NKNU/detail.action?docID=601904</t>
  </si>
  <si>
    <t>https://ebookcentral.proquest.com/lib/NKNU/detail.action?docID=601907</t>
  </si>
  <si>
    <t>https://ebookcentral.proquest.com/lib/NKNU/detail.action?docID=601912</t>
  </si>
  <si>
    <t>https://ebookcentral.proquest.com/lib/NKNU/detail.action?docID=601914</t>
  </si>
  <si>
    <t>https://ebookcentral.proquest.com/lib/NKNU/detail.action?docID=601919</t>
  </si>
  <si>
    <t>https://ebookcentral.proquest.com/lib/NKNU/detail.action?docID=601923</t>
  </si>
  <si>
    <t>https://ebookcentral.proquest.com/lib/NKNU/detail.action?docID=601937</t>
  </si>
  <si>
    <t>https://ebookcentral.proquest.com/lib/NKNU/detail.action?docID=601942</t>
  </si>
  <si>
    <t>https://ebookcentral.proquest.com/lib/NKNU/detail.action?docID=601981</t>
  </si>
  <si>
    <t>https://ebookcentral.proquest.com/lib/NKNU/detail.action?docID=602007</t>
  </si>
  <si>
    <t>https://ebookcentral.proquest.com/lib/NKNU/detail.action?docID=602011</t>
  </si>
  <si>
    <t>https://ebookcentral.proquest.com/lib/NKNU/detail.action?docID=602012</t>
  </si>
  <si>
    <t>https://ebookcentral.proquest.com/lib/NKNU/detail.action?docID=603497</t>
  </si>
  <si>
    <t>https://ebookcentral.proquest.com/lib/NKNU/detail.action?docID=605161</t>
  </si>
  <si>
    <t>https://ebookcentral.proquest.com/lib/NKNU/detail.action?docID=605162</t>
  </si>
  <si>
    <t>https://ebookcentral.proquest.com/lib/NKNU/detail.action?docID=605167</t>
  </si>
  <si>
    <t>https://ebookcentral.proquest.com/lib/NKNU/detail.action?docID=605169</t>
  </si>
  <si>
    <t>https://ebookcentral.proquest.com/lib/NKNU/detail.action?docID=605170</t>
  </si>
  <si>
    <t>https://ebookcentral.proquest.com/lib/NKNU/detail.action?docID=605178</t>
  </si>
  <si>
    <t>https://ebookcentral.proquest.com/lib/NKNU/detail.action?docID=605277</t>
  </si>
  <si>
    <t>https://ebookcentral.proquest.com/lib/NKNU/detail.action?docID=605306</t>
  </si>
  <si>
    <t>https://ebookcentral.proquest.com/lib/NKNU/detail.action?docID=606038</t>
  </si>
  <si>
    <t>https://ebookcentral.proquest.com/lib/NKNU/detail.action?docID=616042</t>
  </si>
  <si>
    <t>https://ebookcentral.proquest.com/lib/NKNU/detail.action?docID=616055</t>
  </si>
  <si>
    <t>https://ebookcentral.proquest.com/lib/NKNU/detail.action?docID=616227</t>
  </si>
  <si>
    <t>https://ebookcentral.proquest.com/lib/NKNU/detail.action?docID=616236</t>
  </si>
  <si>
    <t>https://ebookcentral.proquest.com/lib/NKNU/detail.action?docID=616242</t>
  </si>
  <si>
    <t>https://ebookcentral.proquest.com/lib/NKNU/detail.action?docID=616247</t>
  </si>
  <si>
    <t>https://ebookcentral.proquest.com/lib/NKNU/detail.action?docID=616304</t>
  </si>
  <si>
    <t>https://ebookcentral.proquest.com/lib/NKNU/detail.action?docID=616335</t>
  </si>
  <si>
    <t>https://ebookcentral.proquest.com/lib/NKNU/detail.action?docID=616354</t>
  </si>
  <si>
    <t>https://ebookcentral.proquest.com/lib/NKNU/detail.action?docID=616366</t>
  </si>
  <si>
    <t>https://ebookcentral.proquest.com/lib/NKNU/detail.action?docID=616409</t>
  </si>
  <si>
    <t>https://ebookcentral.proquest.com/lib/NKNU/detail.action?docID=616439</t>
  </si>
  <si>
    <t>https://ebookcentral.proquest.com/lib/NKNU/detail.action?docID=617172</t>
  </si>
  <si>
    <t>https://ebookcentral.proquest.com/lib/NKNU/detail.action?docID=617751</t>
  </si>
  <si>
    <t>https://ebookcentral.proquest.com/lib/NKNU/detail.action?docID=617756</t>
  </si>
  <si>
    <t>https://ebookcentral.proquest.com/lib/NKNU/detail.action?docID=618176</t>
  </si>
  <si>
    <t>https://ebookcentral.proquest.com/lib/NKNU/detail.action?docID=618199</t>
  </si>
  <si>
    <t>https://ebookcentral.proquest.com/lib/NKNU/detail.action?docID=618213</t>
  </si>
  <si>
    <t>https://ebookcentral.proquest.com/lib/NKNU/detail.action?docID=618233</t>
  </si>
  <si>
    <t>https://ebookcentral.proquest.com/lib/NKNU/detail.action?docID=618235</t>
  </si>
  <si>
    <t>https://ebookcentral.proquest.com/lib/NKNU/detail.action?docID=618239</t>
  </si>
  <si>
    <t>https://ebookcentral.proquest.com/lib/NKNU/detail.action?docID=618260</t>
  </si>
  <si>
    <t>https://ebookcentral.proquest.com/lib/NKNU/detail.action?docID=618267</t>
  </si>
  <si>
    <t>https://ebookcentral.proquest.com/lib/NKNU/detail.action?docID=618269</t>
  </si>
  <si>
    <t>https://ebookcentral.proquest.com/lib/NKNU/detail.action?docID=618713</t>
  </si>
  <si>
    <t>https://ebookcentral.proquest.com/lib/NKNU/detail.action?docID=618756</t>
  </si>
  <si>
    <t>https://ebookcentral.proquest.com/lib/NKNU/detail.action?docID=618766</t>
  </si>
  <si>
    <t>https://ebookcentral.proquest.com/lib/NKNU/detail.action?docID=618845</t>
  </si>
  <si>
    <t>https://ebookcentral.proquest.com/lib/NKNU/detail.action?docID=618847</t>
  </si>
  <si>
    <t>https://ebookcentral.proquest.com/lib/NKNU/detail.action?docID=618864</t>
  </si>
  <si>
    <t>https://ebookcentral.proquest.com/lib/NKNU/detail.action?docID=619085</t>
  </si>
  <si>
    <t>https://ebookcentral.proquest.com/lib/NKNU/detail.action?docID=619250</t>
  </si>
  <si>
    <t>https://ebookcentral.proquest.com/lib/NKNU/detail.action?docID=619334</t>
  </si>
  <si>
    <t>https://ebookcentral.proquest.com/lib/NKNU/detail.action?docID=622191</t>
  </si>
  <si>
    <t>https://ebookcentral.proquest.com/lib/NKNU/detail.action?docID=622192</t>
  </si>
  <si>
    <t>https://ebookcentral.proquest.com/lib/NKNU/detail.action?docID=622196</t>
  </si>
  <si>
    <t>https://ebookcentral.proquest.com/lib/NKNU/detail.action?docID=622216</t>
  </si>
  <si>
    <t>https://ebookcentral.proquest.com/lib/NKNU/detail.action?docID=622220</t>
  </si>
  <si>
    <t>https://ebookcentral.proquest.com/lib/NKNU/detail.action?docID=622223</t>
  </si>
  <si>
    <t>https://ebookcentral.proquest.com/lib/NKNU/detail.action?docID=622234</t>
  </si>
  <si>
    <t>https://ebookcentral.proquest.com/lib/NKNU/detail.action?docID=622244</t>
  </si>
  <si>
    <t>https://ebookcentral.proquest.com/lib/NKNU/detail.action?docID=622251</t>
  </si>
  <si>
    <t>https://ebookcentral.proquest.com/lib/NKNU/detail.action?docID=622256</t>
  </si>
  <si>
    <t>https://ebookcentral.proquest.com/lib/NKNU/detail.action?docID=622269</t>
  </si>
  <si>
    <t>https://ebookcentral.proquest.com/lib/NKNU/detail.action?docID=622275</t>
  </si>
  <si>
    <t>https://ebookcentral.proquest.com/lib/NKNU/detail.action?docID=622276</t>
  </si>
  <si>
    <t>https://ebookcentral.proquest.com/lib/NKNU/detail.action?docID=622295</t>
  </si>
  <si>
    <t>https://ebookcentral.proquest.com/lib/NKNU/detail.action?docID=622302</t>
  </si>
  <si>
    <t>https://ebookcentral.proquest.com/lib/NKNU/detail.action?docID=622311</t>
  </si>
  <si>
    <t>https://ebookcentral.proquest.com/lib/NKNU/detail.action?docID=622317</t>
  </si>
  <si>
    <t>https://ebookcentral.proquest.com/lib/NKNU/detail.action?docID=622323</t>
  </si>
  <si>
    <t>https://ebookcentral.proquest.com/lib/NKNU/detail.action?docID=622342</t>
  </si>
  <si>
    <t>https://ebookcentral.proquest.com/lib/NKNU/detail.action?docID=622346</t>
  </si>
  <si>
    <t>https://ebookcentral.proquest.com/lib/NKNU/detail.action?docID=622355</t>
  </si>
  <si>
    <t>https://ebookcentral.proquest.com/lib/NKNU/detail.action?docID=622360</t>
  </si>
  <si>
    <t>https://ebookcentral.proquest.com/lib/NKNU/detail.action?docID=622364</t>
  </si>
  <si>
    <t>https://ebookcentral.proquest.com/lib/NKNU/detail.action?docID=622368</t>
  </si>
  <si>
    <t>https://ebookcentral.proquest.com/lib/NKNU/detail.action?docID=622378</t>
  </si>
  <si>
    <t>https://ebookcentral.proquest.com/lib/NKNU/detail.action?docID=622379</t>
  </si>
  <si>
    <t>https://ebookcentral.proquest.com/lib/NKNU/detail.action?docID=622382</t>
  </si>
  <si>
    <t>https://ebookcentral.proquest.com/lib/NKNU/detail.action?docID=622390</t>
  </si>
  <si>
    <t>https://ebookcentral.proquest.com/lib/NKNU/detail.action?docID=622394</t>
  </si>
  <si>
    <t>https://ebookcentral.proquest.com/lib/NKNU/detail.action?docID=622401</t>
  </si>
  <si>
    <t>https://ebookcentral.proquest.com/lib/NKNU/detail.action?docID=622406</t>
  </si>
  <si>
    <t>https://ebookcentral.proquest.com/lib/NKNU/detail.action?docID=622407</t>
  </si>
  <si>
    <t>https://ebookcentral.proquest.com/lib/NKNU/detail.action?docID=622423</t>
  </si>
  <si>
    <t>https://ebookcentral.proquest.com/lib/NKNU/detail.action?docID=622445</t>
  </si>
  <si>
    <t>https://ebookcentral.proquest.com/lib/NKNU/detail.action?docID=622468</t>
  </si>
  <si>
    <t>https://ebookcentral.proquest.com/lib/NKNU/detail.action?docID=622470</t>
  </si>
  <si>
    <t>https://ebookcentral.proquest.com/lib/NKNU/detail.action?docID=622475</t>
  </si>
  <si>
    <t>https://ebookcentral.proquest.com/lib/NKNU/detail.action?docID=622478</t>
  </si>
  <si>
    <t>https://ebookcentral.proquest.com/lib/NKNU/detail.action?docID=622482</t>
  </si>
  <si>
    <t>https://ebookcentral.proquest.com/lib/NKNU/detail.action?docID=622496</t>
  </si>
  <si>
    <t>https://ebookcentral.proquest.com/lib/NKNU/detail.action?docID=622497</t>
  </si>
  <si>
    <t>https://ebookcentral.proquest.com/lib/NKNU/detail.action?docID=622499</t>
  </si>
  <si>
    <t>https://ebookcentral.proquest.com/lib/NKNU/detail.action?docID=622510</t>
  </si>
  <si>
    <t>https://ebookcentral.proquest.com/lib/NKNU/detail.action?docID=622549</t>
  </si>
  <si>
    <t>https://ebookcentral.proquest.com/lib/NKNU/detail.action?docID=622565</t>
  </si>
  <si>
    <t>https://ebookcentral.proquest.com/lib/NKNU/detail.action?docID=622581</t>
  </si>
  <si>
    <t>https://ebookcentral.proquest.com/lib/NKNU/detail.action?docID=622590</t>
  </si>
  <si>
    <t>https://ebookcentral.proquest.com/lib/NKNU/detail.action?docID=622627</t>
  </si>
  <si>
    <t>https://ebookcentral.proquest.com/lib/NKNU/detail.action?docID=622628</t>
  </si>
  <si>
    <t>https://ebookcentral.proquest.com/lib/NKNU/detail.action?docID=622630</t>
  </si>
  <si>
    <t>https://ebookcentral.proquest.com/lib/NKNU/detail.action?docID=622661</t>
  </si>
  <si>
    <t>https://ebookcentral.proquest.com/lib/NKNU/detail.action?docID=622679</t>
  </si>
  <si>
    <t>https://ebookcentral.proquest.com/lib/NKNU/detail.action?docID=622682</t>
  </si>
  <si>
    <t>https://ebookcentral.proquest.com/lib/NKNU/detail.action?docID=622694</t>
  </si>
  <si>
    <t>https://ebookcentral.proquest.com/lib/NKNU/detail.action?docID=622710</t>
  </si>
  <si>
    <t>https://ebookcentral.proquest.com/lib/NKNU/detail.action?docID=622716</t>
  </si>
  <si>
    <t>https://ebookcentral.proquest.com/lib/NKNU/detail.action?docID=622752</t>
  </si>
  <si>
    <t>https://ebookcentral.proquest.com/lib/NKNU/detail.action?docID=622776</t>
  </si>
  <si>
    <t>https://ebookcentral.proquest.com/lib/NKNU/detail.action?docID=622786</t>
  </si>
  <si>
    <t>https://ebookcentral.proquest.com/lib/NKNU/detail.action?docID=622792</t>
  </si>
  <si>
    <t>https://ebookcentral.proquest.com/lib/NKNU/detail.action?docID=622816</t>
  </si>
  <si>
    <t>https://ebookcentral.proquest.com/lib/NKNU/detail.action?docID=622830</t>
  </si>
  <si>
    <t>https://ebookcentral.proquest.com/lib/NKNU/detail.action?docID=622831</t>
  </si>
  <si>
    <t>https://ebookcentral.proquest.com/lib/NKNU/detail.action?docID=622834</t>
  </si>
  <si>
    <t>https://ebookcentral.proquest.com/lib/NKNU/detail.action?docID=622836</t>
  </si>
  <si>
    <t>https://ebookcentral.proquest.com/lib/NKNU/detail.action?docID=622839</t>
  </si>
  <si>
    <t>https://ebookcentral.proquest.com/lib/NKNU/detail.action?docID=622840</t>
  </si>
  <si>
    <t>https://ebookcentral.proquest.com/lib/NKNU/detail.action?docID=622842</t>
  </si>
  <si>
    <t>https://ebookcentral.proquest.com/lib/NKNU/detail.action?docID=622854</t>
  </si>
  <si>
    <t>https://ebookcentral.proquest.com/lib/NKNU/detail.action?docID=622876</t>
  </si>
  <si>
    <t>https://ebookcentral.proquest.com/lib/NKNU/detail.action?docID=622882</t>
  </si>
  <si>
    <t>https://ebookcentral.proquest.com/lib/NKNU/detail.action?docID=622887</t>
  </si>
  <si>
    <t>https://ebookcentral.proquest.com/lib/NKNU/detail.action?docID=622905</t>
  </si>
  <si>
    <t>https://ebookcentral.proquest.com/lib/NKNU/detail.action?docID=622906</t>
  </si>
  <si>
    <t>https://ebookcentral.proquest.com/lib/NKNU/detail.action?docID=622963</t>
  </si>
  <si>
    <t>https://ebookcentral.proquest.com/lib/NKNU/detail.action?docID=622973</t>
  </si>
  <si>
    <t>https://ebookcentral.proquest.com/lib/NKNU/detail.action?docID=623004</t>
  </si>
  <si>
    <t>https://ebookcentral.proquest.com/lib/NKNU/detail.action?docID=623011</t>
  </si>
  <si>
    <t>https://ebookcentral.proquest.com/lib/NKNU/detail.action?docID=623012</t>
  </si>
  <si>
    <t>https://ebookcentral.proquest.com/lib/NKNU/detail.action?docID=623022</t>
  </si>
  <si>
    <t>https://ebookcentral.proquest.com/lib/NKNU/detail.action?docID=623030</t>
  </si>
  <si>
    <t>https://ebookcentral.proquest.com/lib/NKNU/detail.action?docID=623050</t>
  </si>
  <si>
    <t>https://ebookcentral.proquest.com/lib/NKNU/detail.action?docID=623086</t>
  </si>
  <si>
    <t>https://ebookcentral.proquest.com/lib/NKNU/detail.action?docID=623093</t>
  </si>
  <si>
    <t>https://ebookcentral.proquest.com/lib/NKNU/detail.action?docID=623118</t>
  </si>
  <si>
    <t>https://ebookcentral.proquest.com/lib/NKNU/detail.action?docID=623121</t>
  </si>
  <si>
    <t>https://ebookcentral.proquest.com/lib/NKNU/detail.action?docID=623137</t>
  </si>
  <si>
    <t>https://ebookcentral.proquest.com/lib/NKNU/detail.action?docID=623212</t>
  </si>
  <si>
    <t>https://ebookcentral.proquest.com/lib/NKNU/detail.action?docID=623240</t>
  </si>
  <si>
    <t>https://ebookcentral.proquest.com/lib/NKNU/detail.action?docID=623242</t>
  </si>
  <si>
    <t>https://ebookcentral.proquest.com/lib/NKNU/detail.action?docID=623274</t>
  </si>
  <si>
    <t>https://ebookcentral.proquest.com/lib/NKNU/detail.action?docID=623296</t>
  </si>
  <si>
    <t>https://ebookcentral.proquest.com/lib/NKNU/detail.action?docID=623299</t>
  </si>
  <si>
    <t>https://ebookcentral.proquest.com/lib/NKNU/detail.action?docID=623303</t>
  </si>
  <si>
    <t>https://ebookcentral.proquest.com/lib/NKNU/detail.action?docID=623312</t>
  </si>
  <si>
    <t>https://ebookcentral.proquest.com/lib/NKNU/detail.action?docID=623313</t>
  </si>
  <si>
    <t>https://ebookcentral.proquest.com/lib/NKNU/detail.action?docID=623315</t>
  </si>
  <si>
    <t>https://ebookcentral.proquest.com/lib/NKNU/detail.action?docID=623316</t>
  </si>
  <si>
    <t>https://ebookcentral.proquest.com/lib/NKNU/detail.action?docID=623317</t>
  </si>
  <si>
    <t>https://ebookcentral.proquest.com/lib/NKNU/detail.action?docID=623325</t>
  </si>
  <si>
    <t>https://ebookcentral.proquest.com/lib/NKNU/detail.action?docID=623328</t>
  </si>
  <si>
    <t>https://ebookcentral.proquest.com/lib/NKNU/detail.action?docID=623350</t>
  </si>
  <si>
    <t>https://ebookcentral.proquest.com/lib/NKNU/detail.action?docID=623369</t>
  </si>
  <si>
    <t>https://ebookcentral.proquest.com/lib/NKNU/detail.action?docID=623383</t>
  </si>
  <si>
    <t>https://ebookcentral.proquest.com/lib/NKNU/detail.action?docID=623386</t>
  </si>
  <si>
    <t>https://ebookcentral.proquest.com/lib/NKNU/detail.action?docID=623396</t>
  </si>
  <si>
    <t>https://ebookcentral.proquest.com/lib/NKNU/detail.action?docID=623397</t>
  </si>
  <si>
    <t>https://ebookcentral.proquest.com/lib/NKNU/detail.action?docID=623427</t>
  </si>
  <si>
    <t>https://ebookcentral.proquest.com/lib/NKNU/detail.action?docID=624519</t>
  </si>
  <si>
    <t>https://ebookcentral.proquest.com/lib/NKNU/detail.action?docID=624835</t>
  </si>
  <si>
    <t>https://ebookcentral.proquest.com/lib/NKNU/detail.action?docID=624836</t>
  </si>
  <si>
    <t>https://ebookcentral.proquest.com/lib/NKNU/detail.action?docID=624839</t>
  </si>
  <si>
    <t>https://ebookcentral.proquest.com/lib/NKNU/detail.action?docID=624920</t>
  </si>
  <si>
    <t>https://ebookcentral.proquest.com/lib/NKNU/detail.action?docID=625114</t>
  </si>
  <si>
    <t>https://ebookcentral.proquest.com/lib/NKNU/detail.action?docID=625204</t>
  </si>
  <si>
    <t>https://ebookcentral.proquest.com/lib/NKNU/detail.action?docID=631612</t>
  </si>
  <si>
    <t>https://ebookcentral.proquest.com/lib/NKNU/detail.action?docID=634195</t>
  </si>
  <si>
    <t>https://ebookcentral.proquest.com/lib/NKNU/detail.action?docID=634204</t>
  </si>
  <si>
    <t>https://ebookcentral.proquest.com/lib/NKNU/detail.action?docID=634205</t>
  </si>
  <si>
    <t>https://ebookcentral.proquest.com/lib/NKNU/detail.action?docID=634280</t>
  </si>
  <si>
    <t>https://ebookcentral.proquest.com/lib/NKNU/detail.action?docID=634283</t>
  </si>
  <si>
    <t>https://ebookcentral.proquest.com/lib/NKNU/detail.action?docID=634286</t>
  </si>
  <si>
    <t>https://ebookcentral.proquest.com/lib/NKNU/detail.action?docID=634319</t>
  </si>
  <si>
    <t>https://ebookcentral.proquest.com/lib/NKNU/detail.action?docID=634557</t>
  </si>
  <si>
    <t>https://ebookcentral.proquest.com/lib/NKNU/detail.action?docID=634558</t>
  </si>
  <si>
    <t>https://ebookcentral.proquest.com/lib/NKNU/detail.action?docID=634571</t>
  </si>
  <si>
    <t>https://ebookcentral.proquest.com/lib/NKNU/detail.action?docID=634575</t>
  </si>
  <si>
    <t>https://ebookcentral.proquest.com/lib/NKNU/detail.action?docID=647640</t>
  </si>
  <si>
    <t>https://ebookcentral.proquest.com/lib/NKNU/detail.action?docID=647693</t>
  </si>
  <si>
    <t>https://ebookcentral.proquest.com/lib/NKNU/detail.action?docID=648102</t>
  </si>
  <si>
    <t>https://ebookcentral.proquest.com/lib/NKNU/detail.action?docID=648105</t>
  </si>
  <si>
    <t>https://ebookcentral.proquest.com/lib/NKNU/detail.action?docID=648124</t>
  </si>
  <si>
    <t>https://ebookcentral.proquest.com/lib/NKNU/detail.action?docID=653594</t>
  </si>
  <si>
    <t>https://ebookcentral.proquest.com/lib/NKNU/detail.action?docID=655488</t>
  </si>
  <si>
    <t>https://ebookcentral.proquest.com/lib/NKNU/detail.action?docID=655490</t>
  </si>
  <si>
    <t>https://ebookcentral.proquest.com/lib/NKNU/detail.action?docID=655494</t>
  </si>
  <si>
    <t>https://ebookcentral.proquest.com/lib/NKNU/detail.action?docID=655497</t>
  </si>
  <si>
    <t>https://ebookcentral.proquest.com/lib/NKNU/detail.action?docID=655499</t>
  </si>
  <si>
    <t>https://ebookcentral.proquest.com/lib/NKNU/detail.action?docID=655507</t>
  </si>
  <si>
    <t>https://ebookcentral.proquest.com/lib/NKNU/detail.action?docID=655520</t>
  </si>
  <si>
    <t>https://ebookcentral.proquest.com/lib/NKNU/detail.action?docID=655796</t>
  </si>
  <si>
    <t>https://ebookcentral.proquest.com/lib/NKNU/detail.action?docID=660542</t>
  </si>
  <si>
    <t>https://ebookcentral.proquest.com/lib/NKNU/detail.action?docID=661021</t>
  </si>
  <si>
    <t>https://ebookcentral.proquest.com/lib/NKNU/detail.action?docID=661022</t>
  </si>
  <si>
    <t>https://ebookcentral.proquest.com/lib/NKNU/detail.action?docID=661028</t>
  </si>
  <si>
    <t>https://ebookcentral.proquest.com/lib/NKNU/detail.action?docID=661034</t>
  </si>
  <si>
    <t>https://ebookcentral.proquest.com/lib/NKNU/detail.action?docID=661035</t>
  </si>
  <si>
    <t>https://ebookcentral.proquest.com/lib/NKNU/detail.action?docID=661040</t>
  </si>
  <si>
    <t>https://ebookcentral.proquest.com/lib/NKNU/detail.action?docID=661042</t>
  </si>
  <si>
    <t>https://ebookcentral.proquest.com/lib/NKNU/detail.action?docID=661049</t>
  </si>
  <si>
    <t>https://ebookcentral.proquest.com/lib/NKNU/detail.action?docID=661054</t>
  </si>
  <si>
    <t>https://ebookcentral.proquest.com/lib/NKNU/detail.action?docID=661300</t>
  </si>
  <si>
    <t>https://ebookcentral.proquest.com/lib/NKNU/detail.action?docID=661301</t>
  </si>
  <si>
    <t>https://ebookcentral.proquest.com/lib/NKNU/detail.action?docID=661948</t>
  </si>
  <si>
    <t>https://ebookcentral.proquest.com/lib/NKNU/detail.action?docID=662186</t>
  </si>
  <si>
    <t>https://ebookcentral.proquest.com/lib/NKNU/detail.action?docID=662222</t>
  </si>
  <si>
    <t>https://ebookcentral.proquest.com/lib/NKNU/detail.action?docID=662223</t>
  </si>
  <si>
    <t>https://ebookcentral.proquest.com/lib/NKNU/detail.action?docID=662256</t>
  </si>
  <si>
    <t>https://ebookcentral.proquest.com/lib/NKNU/detail.action?docID=662270</t>
  </si>
  <si>
    <t>https://ebookcentral.proquest.com/lib/NKNU/detail.action?docID=662289</t>
  </si>
  <si>
    <t>https://ebookcentral.proquest.com/lib/NKNU/detail.action?docID=664794</t>
  </si>
  <si>
    <t>https://ebookcentral.proquest.com/lib/NKNU/detail.action?docID=665704</t>
  </si>
  <si>
    <t>https://ebookcentral.proquest.com/lib/NKNU/detail.action?docID=667626</t>
  </si>
  <si>
    <t>https://ebookcentral.proquest.com/lib/NKNU/detail.action?docID=668120</t>
  </si>
  <si>
    <t>https://ebookcentral.proquest.com/lib/NKNU/detail.action?docID=668961</t>
  </si>
  <si>
    <t>https://ebookcentral.proquest.com/lib/NKNU/detail.action?docID=668966</t>
  </si>
  <si>
    <t>https://ebookcentral.proquest.com/lib/NKNU/detail.action?docID=668968</t>
  </si>
  <si>
    <t>https://ebookcentral.proquest.com/lib/NKNU/detail.action?docID=669007</t>
  </si>
  <si>
    <t>https://ebookcentral.proquest.com/lib/NKNU/detail.action?docID=670197</t>
  </si>
  <si>
    <t>https://ebookcentral.proquest.com/lib/NKNU/detail.action?docID=670240</t>
  </si>
  <si>
    <t>https://ebookcentral.proquest.com/lib/NKNU/detail.action?docID=670244</t>
  </si>
  <si>
    <t>https://ebookcentral.proquest.com/lib/NKNU/detail.action?docID=672740</t>
  </si>
  <si>
    <t>https://ebookcentral.proquest.com/lib/NKNU/detail.action?docID=674914</t>
  </si>
  <si>
    <t>https://ebookcentral.proquest.com/lib/NKNU/detail.action?docID=674921</t>
  </si>
  <si>
    <t>https://ebookcentral.proquest.com/lib/NKNU/detail.action?docID=674927</t>
  </si>
  <si>
    <t>https://ebookcentral.proquest.com/lib/NKNU/detail.action?docID=674932</t>
  </si>
  <si>
    <t>https://ebookcentral.proquest.com/lib/NKNU/detail.action?docID=674936</t>
  </si>
  <si>
    <t>https://ebookcentral.proquest.com/lib/NKNU/detail.action?docID=674940</t>
  </si>
  <si>
    <t>https://ebookcentral.proquest.com/lib/NKNU/detail.action?docID=674941</t>
  </si>
  <si>
    <t>https://ebookcentral.proquest.com/lib/NKNU/detail.action?docID=675853</t>
  </si>
  <si>
    <t>https://ebookcentral.proquest.com/lib/NKNU/detail.action?docID=676285</t>
  </si>
  <si>
    <t>https://ebookcentral.proquest.com/lib/NKNU/detail.action?docID=676287</t>
  </si>
  <si>
    <t>https://ebookcentral.proquest.com/lib/NKNU/detail.action?docID=676289</t>
  </si>
  <si>
    <t>https://ebookcentral.proquest.com/lib/NKNU/detail.action?docID=676290</t>
  </si>
  <si>
    <t>https://ebookcentral.proquest.com/lib/NKNU/detail.action?docID=676291</t>
  </si>
  <si>
    <t>https://ebookcentral.proquest.com/lib/NKNU/detail.action?docID=676292</t>
  </si>
  <si>
    <t>https://ebookcentral.proquest.com/lib/NKNU/detail.action?docID=676367</t>
  </si>
  <si>
    <t>https://ebookcentral.proquest.com/lib/NKNU/detail.action?docID=676374</t>
  </si>
  <si>
    <t>https://ebookcentral.proquest.com/lib/NKNU/detail.action?docID=676375</t>
  </si>
  <si>
    <t>https://ebookcentral.proquest.com/lib/NKNU/detail.action?docID=676409</t>
  </si>
  <si>
    <t>https://ebookcentral.proquest.com/lib/NKNU/detail.action?docID=676431</t>
  </si>
  <si>
    <t>https://ebookcentral.proquest.com/lib/NKNU/detail.action?docID=676435</t>
  </si>
  <si>
    <t>https://ebookcentral.proquest.com/lib/NKNU/detail.action?docID=676437</t>
  </si>
  <si>
    <t>https://ebookcentral.proquest.com/lib/NKNU/detail.action?docID=676440</t>
  </si>
  <si>
    <t>https://ebookcentral.proquest.com/lib/NKNU/detail.action?docID=676493</t>
  </si>
  <si>
    <t>https://ebookcentral.proquest.com/lib/NKNU/detail.action?docID=676495</t>
  </si>
  <si>
    <t>https://ebookcentral.proquest.com/lib/NKNU/detail.action?docID=676535</t>
  </si>
  <si>
    <t>https://ebookcentral.proquest.com/lib/NKNU/detail.action?docID=676563</t>
  </si>
  <si>
    <t>https://ebookcentral.proquest.com/lib/NKNU/detail.action?docID=676566</t>
  </si>
  <si>
    <t>https://ebookcentral.proquest.com/lib/NKNU/detail.action?docID=676587</t>
  </si>
  <si>
    <t>https://ebookcentral.proquest.com/lib/NKNU/detail.action?docID=676595</t>
  </si>
  <si>
    <t>https://ebookcentral.proquest.com/lib/NKNU/detail.action?docID=676629</t>
  </si>
  <si>
    <t>https://ebookcentral.proquest.com/lib/NKNU/detail.action?docID=676661</t>
  </si>
  <si>
    <t>https://ebookcentral.proquest.com/lib/NKNU/detail.action?docID=676695</t>
  </si>
  <si>
    <t>https://ebookcentral.proquest.com/lib/NKNU/detail.action?docID=676712</t>
  </si>
  <si>
    <t>https://ebookcentral.proquest.com/lib/NKNU/detail.action?docID=676723</t>
  </si>
  <si>
    <t>https://ebookcentral.proquest.com/lib/NKNU/detail.action?docID=676727</t>
  </si>
  <si>
    <t>https://ebookcentral.proquest.com/lib/NKNU/detail.action?docID=676750</t>
  </si>
  <si>
    <t>https://ebookcentral.proquest.com/lib/NKNU/detail.action?docID=676780</t>
  </si>
  <si>
    <t>https://ebookcentral.proquest.com/lib/NKNU/detail.action?docID=676790</t>
  </si>
  <si>
    <t>https://ebookcentral.proquest.com/lib/NKNU/detail.action?docID=676804</t>
  </si>
  <si>
    <t>https://ebookcentral.proquest.com/lib/NKNU/detail.action?docID=676807</t>
  </si>
  <si>
    <t>https://ebookcentral.proquest.com/lib/NKNU/detail.action?docID=676815</t>
  </si>
  <si>
    <t>https://ebookcentral.proquest.com/lib/NKNU/detail.action?docID=676829</t>
  </si>
  <si>
    <t>https://ebookcentral.proquest.com/lib/NKNU/detail.action?docID=676857</t>
  </si>
  <si>
    <t>https://ebookcentral.proquest.com/lib/NKNU/detail.action?docID=676871</t>
  </si>
  <si>
    <t>https://ebookcentral.proquest.com/lib/NKNU/detail.action?docID=676898</t>
  </si>
  <si>
    <t>https://ebookcentral.proquest.com/lib/NKNU/detail.action?docID=676931</t>
  </si>
  <si>
    <t>https://ebookcentral.proquest.com/lib/NKNU/detail.action?docID=676950</t>
  </si>
  <si>
    <t>https://ebookcentral.proquest.com/lib/NKNU/detail.action?docID=676954</t>
  </si>
  <si>
    <t>https://ebookcentral.proquest.com/lib/NKNU/detail.action?docID=676992</t>
  </si>
  <si>
    <t>https://ebookcentral.proquest.com/lib/NKNU/detail.action?docID=677017</t>
  </si>
  <si>
    <t>https://ebookcentral.proquest.com/lib/NKNU/detail.action?docID=677023</t>
  </si>
  <si>
    <t>https://ebookcentral.proquest.com/lib/NKNU/detail.action?docID=677060</t>
  </si>
  <si>
    <t>https://ebookcentral.proquest.com/lib/NKNU/detail.action?docID=677063</t>
  </si>
  <si>
    <t>https://ebookcentral.proquest.com/lib/NKNU/detail.action?docID=677079</t>
  </si>
  <si>
    <t>https://ebookcentral.proquest.com/lib/NKNU/detail.action?docID=677113</t>
  </si>
  <si>
    <t>https://ebookcentral.proquest.com/lib/NKNU/detail.action?docID=677139</t>
  </si>
  <si>
    <t>https://ebookcentral.proquest.com/lib/NKNU/detail.action?docID=677141</t>
  </si>
  <si>
    <t>https://ebookcentral.proquest.com/lib/NKNU/detail.action?docID=677150</t>
  </si>
  <si>
    <t>https://ebookcentral.proquest.com/lib/NKNU/detail.action?docID=677159</t>
  </si>
  <si>
    <t>https://ebookcentral.proquest.com/lib/NKNU/detail.action?docID=677173</t>
  </si>
  <si>
    <t>https://ebookcentral.proquest.com/lib/NKNU/detail.action?docID=677174</t>
  </si>
  <si>
    <t>https://ebookcentral.proquest.com/lib/NKNU/detail.action?docID=677446</t>
  </si>
  <si>
    <t>https://ebookcentral.proquest.com/lib/NKNU/detail.action?docID=677767</t>
  </si>
  <si>
    <t>https://ebookcentral.proquest.com/lib/NKNU/detail.action?docID=677795</t>
  </si>
  <si>
    <t>https://ebookcentral.proquest.com/lib/NKNU/detail.action?docID=677796</t>
  </si>
  <si>
    <t>https://ebookcentral.proquest.com/lib/NKNU/detail.action?docID=677805</t>
  </si>
  <si>
    <t>https://ebookcentral.proquest.com/lib/NKNU/detail.action?docID=677836</t>
  </si>
  <si>
    <t>https://ebookcentral.proquest.com/lib/NKNU/detail.action?docID=678003</t>
  </si>
  <si>
    <t>https://ebookcentral.proquest.com/lib/NKNU/detail.action?docID=678632</t>
  </si>
  <si>
    <t>https://ebookcentral.proquest.com/lib/NKNU/detail.action?docID=678660</t>
  </si>
  <si>
    <t>https://ebookcentral.proquest.com/lib/NKNU/detail.action?docID=678722</t>
  </si>
  <si>
    <t>https://ebookcentral.proquest.com/lib/NKNU/detail.action?docID=679993</t>
  </si>
  <si>
    <t>https://ebookcentral.proquest.com/lib/NKNU/detail.action?docID=680010</t>
  </si>
  <si>
    <t>https://ebookcentral.proquest.com/lib/NKNU/detail.action?docID=680099</t>
  </si>
  <si>
    <t>https://ebookcentral.proquest.com/lib/NKNU/detail.action?docID=680104</t>
  </si>
  <si>
    <t>https://ebookcentral.proquest.com/lib/NKNU/detail.action?docID=680106</t>
  </si>
  <si>
    <t>https://ebookcentral.proquest.com/lib/NKNU/detail.action?docID=680107</t>
  </si>
  <si>
    <t>https://ebookcentral.proquest.com/lib/NKNU/detail.action?docID=680111</t>
  </si>
  <si>
    <t>https://ebookcentral.proquest.com/lib/NKNU/detail.action?docID=680116</t>
  </si>
  <si>
    <t>https://ebookcentral.proquest.com/lib/NKNU/detail.action?docID=680117</t>
  </si>
  <si>
    <t>https://ebookcentral.proquest.com/lib/NKNU/detail.action?docID=680122</t>
  </si>
  <si>
    <t>https://ebookcentral.proquest.com/lib/NKNU/detail.action?docID=680124</t>
  </si>
  <si>
    <t>https://ebookcentral.proquest.com/lib/NKNU/detail.action?docID=680125</t>
  </si>
  <si>
    <t>https://ebookcentral.proquest.com/lib/NKNU/detail.action?docID=680126</t>
  </si>
  <si>
    <t>https://ebookcentral.proquest.com/lib/NKNU/detail.action?docID=680129</t>
  </si>
  <si>
    <t>https://ebookcentral.proquest.com/lib/NKNU/detail.action?docID=680136</t>
  </si>
  <si>
    <t>https://ebookcentral.proquest.com/lib/NKNU/detail.action?docID=680141</t>
  </si>
  <si>
    <t>https://ebookcentral.proquest.com/lib/NKNU/detail.action?docID=680146</t>
  </si>
  <si>
    <t>https://ebookcentral.proquest.com/lib/NKNU/detail.action?docID=680149</t>
  </si>
  <si>
    <t>https://ebookcentral.proquest.com/lib/NKNU/detail.action?docID=680154</t>
  </si>
  <si>
    <t>https://ebookcentral.proquest.com/lib/NKNU/detail.action?docID=680185</t>
  </si>
  <si>
    <t>https://ebookcentral.proquest.com/lib/NKNU/detail.action?docID=680375</t>
  </si>
  <si>
    <t>https://ebookcentral.proquest.com/lib/NKNU/detail.action?docID=680703</t>
  </si>
  <si>
    <t>https://ebookcentral.proquest.com/lib/NKNU/detail.action?docID=682430</t>
  </si>
  <si>
    <t>https://ebookcentral.proquest.com/lib/NKNU/detail.action?docID=683249</t>
  </si>
  <si>
    <t>https://ebookcentral.proquest.com/lib/NKNU/detail.action?docID=683284</t>
  </si>
  <si>
    <t>https://ebookcentral.proquest.com/lib/NKNU/detail.action?docID=683305</t>
  </si>
  <si>
    <t>https://ebookcentral.proquest.com/lib/NKNU/detail.action?docID=683403</t>
  </si>
  <si>
    <t>https://ebookcentral.proquest.com/lib/NKNU/detail.action?docID=683404</t>
  </si>
  <si>
    <t>https://ebookcentral.proquest.com/lib/NKNU/detail.action?docID=683406</t>
  </si>
  <si>
    <t>https://ebookcentral.proquest.com/lib/NKNU/detail.action?docID=683407</t>
  </si>
  <si>
    <t>https://ebookcentral.proquest.com/lib/NKNU/detail.action?docID=683409</t>
  </si>
  <si>
    <t>https://ebookcentral.proquest.com/lib/NKNU/detail.action?docID=683449</t>
  </si>
  <si>
    <t>https://ebookcentral.proquest.com/lib/NKNU/detail.action?docID=684529</t>
  </si>
  <si>
    <t>https://ebookcentral.proquest.com/lib/NKNU/detail.action?docID=684602</t>
  </si>
  <si>
    <t>https://ebookcentral.proquest.com/lib/NKNU/detail.action?docID=684639</t>
  </si>
  <si>
    <t>https://ebookcentral.proquest.com/lib/NKNU/detail.action?docID=685530</t>
  </si>
  <si>
    <t>https://ebookcentral.proquest.com/lib/NKNU/detail.action?docID=685566</t>
  </si>
  <si>
    <t>https://ebookcentral.proquest.com/lib/NKNU/detail.action?docID=685680</t>
  </si>
  <si>
    <t>https://ebookcentral.proquest.com/lib/NKNU/detail.action?docID=685719</t>
  </si>
  <si>
    <t>https://ebookcentral.proquest.com/lib/NKNU/detail.action?docID=685753</t>
  </si>
  <si>
    <t>https://ebookcentral.proquest.com/lib/NKNU/detail.action?docID=685925</t>
  </si>
  <si>
    <t>https://ebookcentral.proquest.com/lib/NKNU/detail.action?docID=686261</t>
  </si>
  <si>
    <t>https://ebookcentral.proquest.com/lib/NKNU/detail.action?docID=686265</t>
  </si>
  <si>
    <t>https://ebookcentral.proquest.com/lib/NKNU/detail.action?docID=686435</t>
  </si>
  <si>
    <t>https://ebookcentral.proquest.com/lib/NKNU/detail.action?docID=686437</t>
  </si>
  <si>
    <t>https://ebookcentral.proquest.com/lib/NKNU/detail.action?docID=686441</t>
  </si>
  <si>
    <t>https://ebookcentral.proquest.com/lib/NKNU/detail.action?docID=686446</t>
  </si>
  <si>
    <t>https://ebookcentral.proquest.com/lib/NKNU/detail.action?docID=686458</t>
  </si>
  <si>
    <t>https://ebookcentral.proquest.com/lib/NKNU/detail.action?docID=686471</t>
  </si>
  <si>
    <t>https://ebookcentral.proquest.com/lib/NKNU/detail.action?docID=686475</t>
  </si>
  <si>
    <t>https://ebookcentral.proquest.com/lib/NKNU/detail.action?docID=686481</t>
  </si>
  <si>
    <t>https://ebookcentral.proquest.com/lib/NKNU/detail.action?docID=686909</t>
  </si>
  <si>
    <t>https://ebookcentral.proquest.com/lib/NKNU/detail.action?docID=686921</t>
  </si>
  <si>
    <t>https://ebookcentral.proquest.com/lib/NKNU/detail.action?docID=686924</t>
  </si>
  <si>
    <t>https://ebookcentral.proquest.com/lib/NKNU/detail.action?docID=686930</t>
  </si>
  <si>
    <t>https://ebookcentral.proquest.com/lib/NKNU/detail.action?docID=686936</t>
  </si>
  <si>
    <t>https://ebookcentral.proquest.com/lib/NKNU/detail.action?docID=687014</t>
  </si>
  <si>
    <t>https://ebookcentral.proquest.com/lib/NKNU/detail.action?docID=687028</t>
  </si>
  <si>
    <t>https://ebookcentral.proquest.com/lib/NKNU/detail.action?docID=687037</t>
  </si>
  <si>
    <t>https://ebookcentral.proquest.com/lib/NKNU/detail.action?docID=688259</t>
  </si>
  <si>
    <t>https://ebookcentral.proquest.com/lib/NKNU/detail.action?docID=688269</t>
  </si>
  <si>
    <t>https://ebookcentral.proquest.com/lib/NKNU/detail.action?docID=688301</t>
  </si>
  <si>
    <t>https://ebookcentral.proquest.com/lib/NKNU/detail.action?docID=688314</t>
  </si>
  <si>
    <t>https://ebookcentral.proquest.com/lib/NKNU/detail.action?docID=688316</t>
  </si>
  <si>
    <t>https://ebookcentral.proquest.com/lib/NKNU/detail.action?docID=688325</t>
  </si>
  <si>
    <t>https://ebookcentral.proquest.com/lib/NKNU/detail.action?docID=688554</t>
  </si>
  <si>
    <t>https://ebookcentral.proquest.com/lib/NKNU/detail.action?docID=688564</t>
  </si>
  <si>
    <t>https://ebookcentral.proquest.com/lib/NKNU/detail.action?docID=688670</t>
  </si>
  <si>
    <t>https://ebookcentral.proquest.com/lib/NKNU/detail.action?docID=688905</t>
  </si>
  <si>
    <t>https://ebookcentral.proquest.com/lib/NKNU/detail.action?docID=689605</t>
  </si>
  <si>
    <t>https://ebookcentral.proquest.com/lib/NKNU/detail.action?docID=689607</t>
  </si>
  <si>
    <t>https://ebookcentral.proquest.com/lib/NKNU/detail.action?docID=689863</t>
  </si>
  <si>
    <t>https://ebookcentral.proquest.com/lib/NKNU/detail.action?docID=689872</t>
  </si>
  <si>
    <t>https://ebookcentral.proquest.com/lib/NKNU/detail.action?docID=689899</t>
  </si>
  <si>
    <t>https://ebookcentral.proquest.com/lib/NKNU/detail.action?docID=689904</t>
  </si>
  <si>
    <t>https://ebookcentral.proquest.com/lib/NKNU/detail.action?docID=689909</t>
  </si>
  <si>
    <t>https://ebookcentral.proquest.com/lib/NKNU/detail.action?docID=689919</t>
  </si>
  <si>
    <t>https://ebookcentral.proquest.com/lib/NKNU/detail.action?docID=689921</t>
  </si>
  <si>
    <t>https://ebookcentral.proquest.com/lib/NKNU/detail.action?docID=689923</t>
  </si>
  <si>
    <t>https://ebookcentral.proquest.com/lib/NKNU/detail.action?docID=689929</t>
  </si>
  <si>
    <t>https://ebookcentral.proquest.com/lib/NKNU/detail.action?docID=689930</t>
  </si>
  <si>
    <t>https://ebookcentral.proquest.com/lib/NKNU/detail.action?docID=689932</t>
  </si>
  <si>
    <t>https://ebookcentral.proquest.com/lib/NKNU/detail.action?docID=689936</t>
  </si>
  <si>
    <t>https://ebookcentral.proquest.com/lib/NKNU/detail.action?docID=689937</t>
  </si>
  <si>
    <t>https://ebookcentral.proquest.com/lib/NKNU/detail.action?docID=689939</t>
  </si>
  <si>
    <t>https://ebookcentral.proquest.com/lib/NKNU/detail.action?docID=689944</t>
  </si>
  <si>
    <t>https://ebookcentral.proquest.com/lib/NKNU/detail.action?docID=689953</t>
  </si>
  <si>
    <t>https://ebookcentral.proquest.com/lib/NKNU/detail.action?docID=689955</t>
  </si>
  <si>
    <t>https://ebookcentral.proquest.com/lib/NKNU/detail.action?docID=689957</t>
  </si>
  <si>
    <t>https://ebookcentral.proquest.com/lib/NKNU/detail.action?docID=689960</t>
  </si>
  <si>
    <t>https://ebookcentral.proquest.com/lib/NKNU/detail.action?docID=689967</t>
  </si>
  <si>
    <t>https://ebookcentral.proquest.com/lib/NKNU/detail.action?docID=689972</t>
  </si>
  <si>
    <t>https://ebookcentral.proquest.com/lib/NKNU/detail.action?docID=689976</t>
  </si>
  <si>
    <t>https://ebookcentral.proquest.com/lib/NKNU/detail.action?docID=689978</t>
  </si>
  <si>
    <t>https://ebookcentral.proquest.com/lib/NKNU/detail.action?docID=689982</t>
  </si>
  <si>
    <t>https://ebookcentral.proquest.com/lib/NKNU/detail.action?docID=689992</t>
  </si>
  <si>
    <t>https://ebookcentral.proquest.com/lib/NKNU/detail.action?docID=689993</t>
  </si>
  <si>
    <t>https://ebookcentral.proquest.com/lib/NKNU/detail.action?docID=690000</t>
  </si>
  <si>
    <t>https://ebookcentral.proquest.com/lib/NKNU/detail.action?docID=690001</t>
  </si>
  <si>
    <t>https://ebookcentral.proquest.com/lib/NKNU/detail.action?docID=690008</t>
  </si>
  <si>
    <t>https://ebookcentral.proquest.com/lib/NKNU/detail.action?docID=690012</t>
  </si>
  <si>
    <t>https://ebookcentral.proquest.com/lib/NKNU/detail.action?docID=690081</t>
  </si>
  <si>
    <t>https://ebookcentral.proquest.com/lib/NKNU/detail.action?docID=690086</t>
  </si>
  <si>
    <t>https://ebookcentral.proquest.com/lib/NKNU/detail.action?docID=690087</t>
  </si>
  <si>
    <t>https://ebookcentral.proquest.com/lib/NKNU/detail.action?docID=690088</t>
  </si>
  <si>
    <t>https://ebookcentral.proquest.com/lib/NKNU/detail.action?docID=690090</t>
  </si>
  <si>
    <t>https://ebookcentral.proquest.com/lib/NKNU/detail.action?docID=690140</t>
  </si>
  <si>
    <t>https://ebookcentral.proquest.com/lib/NKNU/detail.action?docID=690299</t>
  </si>
  <si>
    <t>https://ebookcentral.proquest.com/lib/NKNU/detail.action?docID=690443</t>
  </si>
  <si>
    <t>https://ebookcentral.proquest.com/lib/NKNU/detail.action?docID=692450</t>
  </si>
  <si>
    <t>https://ebookcentral.proquest.com/lib/NKNU/detail.action?docID=692805</t>
  </si>
  <si>
    <t>https://ebookcentral.proquest.com/lib/NKNU/detail.action?docID=692818</t>
  </si>
  <si>
    <t>https://ebookcentral.proquest.com/lib/NKNU/detail.action?docID=692944</t>
  </si>
  <si>
    <t>https://ebookcentral.proquest.com/lib/NKNU/detail.action?docID=695784</t>
  </si>
  <si>
    <t>https://ebookcentral.proquest.com/lib/NKNU/detail.action?docID=700725</t>
  </si>
  <si>
    <t>https://ebookcentral.proquest.com/lib/NKNU/detail.action?docID=700731</t>
  </si>
  <si>
    <t>https://ebookcentral.proquest.com/lib/NKNU/detail.action?docID=700733</t>
  </si>
  <si>
    <t>https://ebookcentral.proquest.com/lib/NKNU/detail.action?docID=700745</t>
  </si>
  <si>
    <t>https://ebookcentral.proquest.com/lib/NKNU/detail.action?docID=700748</t>
  </si>
  <si>
    <t>https://ebookcentral.proquest.com/lib/NKNU/detail.action?docID=700758</t>
  </si>
  <si>
    <t>https://ebookcentral.proquest.com/lib/NKNU/detail.action?docID=700762</t>
  </si>
  <si>
    <t>https://ebookcentral.proquest.com/lib/NKNU/detail.action?docID=706931</t>
  </si>
  <si>
    <t>https://ebookcentral.proquest.com/lib/NKNU/detail.action?docID=709032</t>
  </si>
  <si>
    <t>https://ebookcentral.proquest.com/lib/NKNU/detail.action?docID=709527</t>
  </si>
  <si>
    <t>https://ebookcentral.proquest.com/lib/NKNU/detail.action?docID=709528</t>
  </si>
  <si>
    <t>https://ebookcentral.proquest.com/lib/NKNU/detail.action?docID=709598</t>
  </si>
  <si>
    <t>https://ebookcentral.proquest.com/lib/NKNU/detail.action?docID=711042</t>
  </si>
  <si>
    <t>https://ebookcentral.proquest.com/lib/NKNU/detail.action?docID=711098</t>
  </si>
  <si>
    <t>https://ebookcentral.proquest.com/lib/NKNU/detail.action?docID=711406</t>
  </si>
  <si>
    <t>https://ebookcentral.proquest.com/lib/NKNU/detail.action?docID=711407</t>
  </si>
  <si>
    <t>https://ebookcentral.proquest.com/lib/NKNU/detail.action?docID=712839</t>
  </si>
  <si>
    <t>https://ebookcentral.proquest.com/lib/NKNU/detail.action?docID=713101</t>
  </si>
  <si>
    <t>https://ebookcentral.proquest.com/lib/NKNU/detail.action?docID=713108</t>
  </si>
  <si>
    <t>https://ebookcentral.proquest.com/lib/NKNU/detail.action?docID=713125</t>
  </si>
  <si>
    <t>https://ebookcentral.proquest.com/lib/NKNU/detail.action?docID=713714</t>
  </si>
  <si>
    <t>https://ebookcentral.proquest.com/lib/NKNU/detail.action?docID=713732</t>
  </si>
  <si>
    <t>https://ebookcentral.proquest.com/lib/NKNU/detail.action?docID=714127</t>
  </si>
  <si>
    <t>https://ebookcentral.proquest.com/lib/NKNU/detail.action?docID=714130</t>
  </si>
  <si>
    <t>https://ebookcentral.proquest.com/lib/NKNU/detail.action?docID=714225</t>
  </si>
  <si>
    <t>https://ebookcentral.proquest.com/lib/NKNU/detail.action?docID=716154</t>
  </si>
  <si>
    <t>https://ebookcentral.proquest.com/lib/NKNU/detail.action?docID=716281</t>
  </si>
  <si>
    <t>https://ebookcentral.proquest.com/lib/NKNU/detail.action?docID=716285</t>
  </si>
  <si>
    <t>https://ebookcentral.proquest.com/lib/NKNU/detail.action?docID=716708</t>
  </si>
  <si>
    <t>https://ebookcentral.proquest.com/lib/NKNU/detail.action?docID=717673</t>
  </si>
  <si>
    <t>https://ebookcentral.proquest.com/lib/NKNU/detail.action?docID=717678</t>
  </si>
  <si>
    <t>https://ebookcentral.proquest.com/lib/NKNU/detail.action?docID=717989</t>
  </si>
  <si>
    <t>https://ebookcentral.proquest.com/lib/NKNU/detail.action?docID=717991</t>
  </si>
  <si>
    <t>https://ebookcentral.proquest.com/lib/NKNU/detail.action?docID=717994</t>
  </si>
  <si>
    <t>https://ebookcentral.proquest.com/lib/NKNU/detail.action?docID=717995</t>
  </si>
  <si>
    <t>https://ebookcentral.proquest.com/lib/NKNU/detail.action?docID=717996</t>
  </si>
  <si>
    <t>https://ebookcentral.proquest.com/lib/NKNU/detail.action?docID=718001</t>
  </si>
  <si>
    <t>https://ebookcentral.proquest.com/lib/NKNU/detail.action?docID=718013</t>
  </si>
  <si>
    <t>https://ebookcentral.proquest.com/lib/NKNU/detail.action?docID=718849</t>
  </si>
  <si>
    <t>https://ebookcentral.proquest.com/lib/NKNU/detail.action?docID=727132</t>
  </si>
  <si>
    <t>https://ebookcentral.proquest.com/lib/NKNU/detail.action?docID=728429</t>
  </si>
  <si>
    <t>https://ebookcentral.proquest.com/lib/NKNU/detail.action?docID=729384</t>
  </si>
  <si>
    <t>https://ebookcentral.proquest.com/lib/NKNU/detail.action?docID=729508</t>
  </si>
  <si>
    <t>https://ebookcentral.proquest.com/lib/NKNU/detail.action?docID=729512</t>
  </si>
  <si>
    <t>https://ebookcentral.proquest.com/lib/NKNU/detail.action?docID=729905</t>
  </si>
  <si>
    <t>https://ebookcentral.proquest.com/lib/NKNU/detail.action?docID=729907</t>
  </si>
  <si>
    <t>https://ebookcentral.proquest.com/lib/NKNU/detail.action?docID=729994</t>
  </si>
  <si>
    <t>https://ebookcentral.proquest.com/lib/NKNU/detail.action?docID=729996</t>
  </si>
  <si>
    <t>https://ebookcentral.proquest.com/lib/NKNU/detail.action?docID=730143</t>
  </si>
  <si>
    <t>https://ebookcentral.proquest.com/lib/NKNU/detail.action?docID=730145</t>
  </si>
  <si>
    <t>https://ebookcentral.proquest.com/lib/NKNU/detail.action?docID=730146</t>
  </si>
  <si>
    <t>https://ebookcentral.proquest.com/lib/NKNU/detail.action?docID=730190</t>
  </si>
  <si>
    <t>https://ebookcentral.proquest.com/lib/NKNU/detail.action?docID=730708</t>
  </si>
  <si>
    <t>https://ebookcentral.proquest.com/lib/NKNU/detail.action?docID=730713</t>
  </si>
  <si>
    <t>https://ebookcentral.proquest.com/lib/NKNU/detail.action?docID=731090</t>
  </si>
  <si>
    <t>https://ebookcentral.proquest.com/lib/NKNU/detail.action?docID=731644</t>
  </si>
  <si>
    <t>https://ebookcentral.proquest.com/lib/NKNU/detail.action?docID=735400</t>
  </si>
  <si>
    <t>https://ebookcentral.proquest.com/lib/NKNU/detail.action?docID=735407</t>
  </si>
  <si>
    <t>https://ebookcentral.proquest.com/lib/NKNU/detail.action?docID=735588</t>
  </si>
  <si>
    <t>https://ebookcentral.proquest.com/lib/NKNU/detail.action?docID=735592</t>
  </si>
  <si>
    <t>https://ebookcentral.proquest.com/lib/NKNU/detail.action?docID=735666</t>
  </si>
  <si>
    <t>https://ebookcentral.proquest.com/lib/NKNU/detail.action?docID=736294</t>
  </si>
  <si>
    <t>https://ebookcentral.proquest.com/lib/NKNU/detail.action?docID=736803</t>
  </si>
  <si>
    <t>https://ebookcentral.proquest.com/lib/NKNU/detail.action?docID=737631</t>
  </si>
  <si>
    <t>https://ebookcentral.proquest.com/lib/NKNU/detail.action?docID=737845</t>
  </si>
  <si>
    <t>https://ebookcentral.proquest.com/lib/NKNU/detail.action?docID=738270</t>
  </si>
  <si>
    <t>https://ebookcentral.proquest.com/lib/NKNU/detail.action?docID=738303</t>
  </si>
  <si>
    <t>https://ebookcentral.proquest.com/lib/NKNU/detail.action?docID=738770</t>
  </si>
  <si>
    <t>https://ebookcentral.proquest.com/lib/NKNU/detail.action?docID=739006</t>
  </si>
  <si>
    <t>https://ebookcentral.proquest.com/lib/NKNU/detail.action?docID=740135</t>
  </si>
  <si>
    <t>https://ebookcentral.proquest.com/lib/NKNU/detail.action?docID=742189</t>
  </si>
  <si>
    <t>https://ebookcentral.proquest.com/lib/NKNU/detail.action?docID=742193</t>
  </si>
  <si>
    <t>https://ebookcentral.proquest.com/lib/NKNU/detail.action?docID=742399</t>
  </si>
  <si>
    <t>https://ebookcentral.proquest.com/lib/NKNU/detail.action?docID=742572</t>
  </si>
  <si>
    <t>https://ebookcentral.proquest.com/lib/NKNU/detail.action?docID=742657</t>
  </si>
  <si>
    <t>https://ebookcentral.proquest.com/lib/NKNU/detail.action?docID=742713</t>
  </si>
  <si>
    <t>https://ebookcentral.proquest.com/lib/NKNU/detail.action?docID=742791</t>
  </si>
  <si>
    <t>https://ebookcentral.proquest.com/lib/NKNU/detail.action?docID=743001</t>
  </si>
  <si>
    <t>https://ebookcentral.proquest.com/lib/NKNU/detail.action?docID=743211</t>
  </si>
  <si>
    <t>https://ebookcentral.proquest.com/lib/NKNU/detail.action?docID=744005</t>
  </si>
  <si>
    <t>https://ebookcentral.proquest.com/lib/NKNU/detail.action?docID=746561</t>
  </si>
  <si>
    <t>https://ebookcentral.proquest.com/lib/NKNU/detail.action?docID=752426</t>
  </si>
  <si>
    <t>https://ebookcentral.proquest.com/lib/NKNU/detail.action?docID=752588</t>
  </si>
  <si>
    <t>https://ebookcentral.proquest.com/lib/NKNU/detail.action?docID=753355</t>
  </si>
  <si>
    <t>https://ebookcentral.proquest.com/lib/NKNU/detail.action?docID=753357</t>
  </si>
  <si>
    <t>https://ebookcentral.proquest.com/lib/NKNU/detail.action?docID=753358</t>
  </si>
  <si>
    <t>https://ebookcentral.proquest.com/lib/NKNU/detail.action?docID=753379</t>
  </si>
  <si>
    <t>https://ebookcentral.proquest.com/lib/NKNU/detail.action?docID=753380</t>
  </si>
  <si>
    <t>https://ebookcentral.proquest.com/lib/NKNU/detail.action?docID=753409</t>
  </si>
  <si>
    <t>https://ebookcentral.proquest.com/lib/NKNU/detail.action?docID=753573</t>
  </si>
  <si>
    <t>https://ebookcentral.proquest.com/lib/NKNU/detail.action?docID=762977</t>
  </si>
  <si>
    <t>https://ebookcentral.proquest.com/lib/NKNU/detail.action?docID=762978</t>
  </si>
  <si>
    <t>https://ebookcentral.proquest.com/lib/NKNU/detail.action?docID=762981</t>
  </si>
  <si>
    <t>https://ebookcentral.proquest.com/lib/NKNU/detail.action?docID=765179</t>
  </si>
  <si>
    <t>https://ebookcentral.proquest.com/lib/NKNU/detail.action?docID=765180</t>
  </si>
  <si>
    <t>https://ebookcentral.proquest.com/lib/NKNU/detail.action?docID=765182</t>
  </si>
  <si>
    <t>https://ebookcentral.proquest.com/lib/NKNU/detail.action?docID=765836</t>
  </si>
  <si>
    <t>https://ebookcentral.proquest.com/lib/NKNU/detail.action?docID=765841</t>
  </si>
  <si>
    <t>https://ebookcentral.proquest.com/lib/NKNU/detail.action?docID=766028</t>
  </si>
  <si>
    <t>https://ebookcentral.proquest.com/lib/NKNU/detail.action?docID=766034</t>
  </si>
  <si>
    <t>https://ebookcentral.proquest.com/lib/NKNU/detail.action?docID=766062</t>
  </si>
  <si>
    <t>https://ebookcentral.proquest.com/lib/NKNU/detail.action?docID=766065</t>
  </si>
  <si>
    <t>https://ebookcentral.proquest.com/lib/NKNU/detail.action?docID=766073</t>
  </si>
  <si>
    <t>https://ebookcentral.proquest.com/lib/NKNU/detail.action?docID=766089</t>
  </si>
  <si>
    <t>https://ebookcentral.proquest.com/lib/NKNU/detail.action?docID=766098</t>
  </si>
  <si>
    <t>https://ebookcentral.proquest.com/lib/NKNU/detail.action?docID=766187</t>
  </si>
  <si>
    <t>https://ebookcentral.proquest.com/lib/NKNU/detail.action?docID=767160</t>
  </si>
  <si>
    <t>https://ebookcentral.proquest.com/lib/NKNU/detail.action?docID=769703</t>
  </si>
  <si>
    <t>https://ebookcentral.proquest.com/lib/NKNU/detail.action?docID=769857</t>
  </si>
  <si>
    <t>https://ebookcentral.proquest.com/lib/NKNU/detail.action?docID=771390</t>
  </si>
  <si>
    <t>https://ebookcentral.proquest.com/lib/NKNU/detail.action?docID=771702</t>
  </si>
  <si>
    <t>https://ebookcentral.proquest.com/lib/NKNU/detail.action?docID=771709</t>
  </si>
  <si>
    <t>https://ebookcentral.proquest.com/lib/NKNU/detail.action?docID=771973</t>
  </si>
  <si>
    <t>https://ebookcentral.proquest.com/lib/NKNU/detail.action?docID=772387</t>
  </si>
  <si>
    <t>https://ebookcentral.proquest.com/lib/NKNU/detail.action?docID=773211</t>
  </si>
  <si>
    <t>https://ebookcentral.proquest.com/lib/NKNU/detail.action?docID=773212</t>
  </si>
  <si>
    <t>https://ebookcentral.proquest.com/lib/NKNU/detail.action?docID=773215</t>
  </si>
  <si>
    <t>https://ebookcentral.proquest.com/lib/NKNU/detail.action?docID=773549</t>
  </si>
  <si>
    <t>https://ebookcentral.proquest.com/lib/NKNU/detail.action?docID=773550</t>
  </si>
  <si>
    <t>https://ebookcentral.proquest.com/lib/NKNU/detail.action?docID=774056</t>
  </si>
  <si>
    <t>https://ebookcentral.proquest.com/lib/NKNU/detail.action?docID=774058</t>
  </si>
  <si>
    <t>https://ebookcentral.proquest.com/lib/NKNU/detail.action?docID=774059</t>
  </si>
  <si>
    <t>https://ebookcentral.proquest.com/lib/NKNU/detail.action?docID=774114</t>
  </si>
  <si>
    <t>https://ebookcentral.proquest.com/lib/NKNU/detail.action?docID=776101</t>
  </si>
  <si>
    <t>https://ebookcentral.proquest.com/lib/NKNU/detail.action?docID=776105</t>
  </si>
  <si>
    <t>https://ebookcentral.proquest.com/lib/NKNU/detail.action?docID=776117</t>
  </si>
  <si>
    <t>https://ebookcentral.proquest.com/lib/NKNU/detail.action?docID=776128</t>
  </si>
  <si>
    <t>https://ebookcentral.proquest.com/lib/NKNU/detail.action?docID=776176</t>
  </si>
  <si>
    <t>https://ebookcentral.proquest.com/lib/NKNU/detail.action?docID=776343</t>
  </si>
  <si>
    <t>https://ebookcentral.proquest.com/lib/NKNU/detail.action?docID=776550</t>
  </si>
  <si>
    <t>https://ebookcentral.proquest.com/lib/NKNU/detail.action?docID=776572</t>
  </si>
  <si>
    <t>https://ebookcentral.proquest.com/lib/NKNU/detail.action?docID=776580</t>
  </si>
  <si>
    <t>https://ebookcentral.proquest.com/lib/NKNU/detail.action?docID=777087</t>
  </si>
  <si>
    <t>https://ebookcentral.proquest.com/lib/NKNU/detail.action?docID=782044</t>
  </si>
  <si>
    <t>https://ebookcentral.proquest.com/lib/NKNU/detail.action?docID=783475</t>
  </si>
  <si>
    <t>https://ebookcentral.proquest.com/lib/NKNU/detail.action?docID=783476</t>
  </si>
  <si>
    <t>https://ebookcentral.proquest.com/lib/NKNU/detail.action?docID=784077</t>
  </si>
  <si>
    <t>https://ebookcentral.proquest.com/lib/NKNU/detail.action?docID=784079</t>
  </si>
  <si>
    <t>https://ebookcentral.proquest.com/lib/NKNU/detail.action?docID=784152</t>
  </si>
  <si>
    <t>https://ebookcentral.proquest.com/lib/NKNU/detail.action?docID=784159</t>
  </si>
  <si>
    <t>https://ebookcentral.proquest.com/lib/NKNU/detail.action?docID=784227</t>
  </si>
  <si>
    <t>https://ebookcentral.proquest.com/lib/NKNU/detail.action?docID=784234</t>
  </si>
  <si>
    <t>https://ebookcentral.proquest.com/lib/NKNU/detail.action?docID=785505</t>
  </si>
  <si>
    <t>https://ebookcentral.proquest.com/lib/NKNU/detail.action?docID=786925</t>
  </si>
  <si>
    <t>https://ebookcentral.proquest.com/lib/NKNU/detail.action?docID=788050</t>
  </si>
  <si>
    <t>https://ebookcentral.proquest.com/lib/NKNU/detail.action?docID=792127</t>
  </si>
  <si>
    <t>https://ebookcentral.proquest.com/lib/NKNU/detail.action?docID=792138</t>
  </si>
  <si>
    <t>https://ebookcentral.proquest.com/lib/NKNU/detail.action?docID=792173</t>
  </si>
  <si>
    <t>https://ebookcentral.proquest.com/lib/NKNU/detail.action?docID=792208</t>
  </si>
  <si>
    <t>https://ebookcentral.proquest.com/lib/NKNU/detail.action?docID=792248</t>
  </si>
  <si>
    <t>https://ebookcentral.proquest.com/lib/NKNU/detail.action?docID=792250</t>
  </si>
  <si>
    <t>https://ebookcentral.proquest.com/lib/NKNU/detail.action?docID=792312</t>
  </si>
  <si>
    <t>https://ebookcentral.proquest.com/lib/NKNU/detail.action?docID=793272</t>
  </si>
  <si>
    <t>https://ebookcentral.proquest.com/lib/NKNU/detail.action?docID=793274</t>
  </si>
  <si>
    <t>https://ebookcentral.proquest.com/lib/NKNU/detail.action?docID=793280</t>
  </si>
  <si>
    <t>https://ebookcentral.proquest.com/lib/NKNU/detail.action?docID=793285</t>
  </si>
  <si>
    <t>https://ebookcentral.proquest.com/lib/NKNU/detail.action?docID=793286</t>
  </si>
  <si>
    <t>https://ebookcentral.proquest.com/lib/NKNU/detail.action?docID=793288</t>
  </si>
  <si>
    <t>https://ebookcentral.proquest.com/lib/NKNU/detail.action?docID=794520</t>
  </si>
  <si>
    <t>https://ebookcentral.proquest.com/lib/NKNU/detail.action?docID=794521</t>
  </si>
  <si>
    <t>https://ebookcentral.proquest.com/lib/NKNU/detail.action?docID=795366</t>
  </si>
  <si>
    <t>https://ebookcentral.proquest.com/lib/NKNU/detail.action?docID=795458</t>
  </si>
  <si>
    <t>https://ebookcentral.proquest.com/lib/NKNU/detail.action?docID=795491</t>
  </si>
  <si>
    <t>https://ebookcentral.proquest.com/lib/NKNU/detail.action?docID=795751</t>
  </si>
  <si>
    <t>https://ebookcentral.proquest.com/lib/NKNU/detail.action?docID=797500</t>
  </si>
  <si>
    <t>https://ebookcentral.proquest.com/lib/NKNU/detail.action?docID=797502</t>
  </si>
  <si>
    <t>https://ebookcentral.proquest.com/lib/NKNU/detail.action?docID=797554</t>
  </si>
  <si>
    <t>https://ebookcentral.proquest.com/lib/NKNU/detail.action?docID=797697</t>
  </si>
  <si>
    <t>https://ebookcentral.proquest.com/lib/NKNU/detail.action?docID=798384</t>
  </si>
  <si>
    <t>https://ebookcentral.proquest.com/lib/NKNU/detail.action?docID=798385</t>
  </si>
  <si>
    <t>https://ebookcentral.proquest.com/lib/NKNU/detail.action?docID=798386</t>
  </si>
  <si>
    <t>https://ebookcentral.proquest.com/lib/NKNU/detail.action?docID=798387</t>
  </si>
  <si>
    <t>https://ebookcentral.proquest.com/lib/NKNU/detail.action?docID=798388</t>
  </si>
  <si>
    <t>https://ebookcentral.proquest.com/lib/NKNU/detail.action?docID=798415</t>
  </si>
  <si>
    <t>https://ebookcentral.proquest.com/lib/NKNU/detail.action?docID=798427</t>
  </si>
  <si>
    <t>https://ebookcentral.proquest.com/lib/NKNU/detail.action?docID=799759</t>
  </si>
  <si>
    <t>https://ebookcentral.proquest.com/lib/NKNU/detail.action?docID=799825</t>
  </si>
  <si>
    <t>https://ebookcentral.proquest.com/lib/NKNU/detail.action?docID=800219</t>
  </si>
  <si>
    <t>https://ebookcentral.proquest.com/lib/NKNU/detail.action?docID=801299</t>
  </si>
  <si>
    <t>https://ebookcentral.proquest.com/lib/NKNU/detail.action?docID=802022</t>
  </si>
  <si>
    <t>https://ebookcentral.proquest.com/lib/NKNU/detail.action?docID=802050</t>
  </si>
  <si>
    <t>https://ebookcentral.proquest.com/lib/NKNU/detail.action?docID=803203</t>
  </si>
  <si>
    <t>https://ebookcentral.proquest.com/lib/NKNU/detail.action?docID=805091</t>
  </si>
  <si>
    <t>https://ebookcentral.proquest.com/lib/NKNU/detail.action?docID=805092</t>
  </si>
  <si>
    <t>https://ebookcentral.proquest.com/lib/NKNU/detail.action?docID=805857</t>
  </si>
  <si>
    <t>https://ebookcentral.proquest.com/lib/NKNU/detail.action?docID=806567</t>
  </si>
  <si>
    <t>https://ebookcentral.proquest.com/lib/NKNU/detail.action?docID=809099</t>
  </si>
  <si>
    <t>https://ebookcentral.proquest.com/lib/NKNU/detail.action?docID=810946</t>
  </si>
  <si>
    <t>https://ebookcentral.proquest.com/lib/NKNU/detail.action?docID=811053</t>
  </si>
  <si>
    <t>https://ebookcentral.proquest.com/lib/NKNU/detail.action?docID=815537</t>
  </si>
  <si>
    <t>https://ebookcentral.proquest.com/lib/NKNU/detail.action?docID=815540</t>
  </si>
  <si>
    <t>https://ebookcentral.proquest.com/lib/NKNU/detail.action?docID=819522</t>
  </si>
  <si>
    <t>https://ebookcentral.proquest.com/lib/NKNU/detail.action?docID=819527</t>
  </si>
  <si>
    <t>https://ebookcentral.proquest.com/lib/NKNU/detail.action?docID=819531</t>
  </si>
  <si>
    <t>https://ebookcentral.proquest.com/lib/NKNU/detail.action?docID=819918</t>
  </si>
  <si>
    <t>https://ebookcentral.proquest.com/lib/NKNU/detail.action?docID=819927</t>
  </si>
  <si>
    <t>https://ebookcentral.proquest.com/lib/NKNU/detail.action?docID=820117</t>
  </si>
  <si>
    <t>https://ebookcentral.proquest.com/lib/NKNU/detail.action?docID=820118</t>
  </si>
  <si>
    <t>https://ebookcentral.proquest.com/lib/NKNU/detail.action?docID=820120</t>
  </si>
  <si>
    <t>https://ebookcentral.proquest.com/lib/NKNU/detail.action?docID=820121</t>
  </si>
  <si>
    <t>https://ebookcentral.proquest.com/lib/NKNU/detail.action?docID=820123</t>
  </si>
  <si>
    <t>https://ebookcentral.proquest.com/lib/NKNU/detail.action?docID=820130</t>
  </si>
  <si>
    <t>https://ebookcentral.proquest.com/lib/NKNU/detail.action?docID=820132</t>
  </si>
  <si>
    <t>https://ebookcentral.proquest.com/lib/NKNU/detail.action?docID=820139</t>
  </si>
  <si>
    <t>https://ebookcentral.proquest.com/lib/NKNU/detail.action?docID=820143</t>
  </si>
  <si>
    <t>https://ebookcentral.proquest.com/lib/NKNU/detail.action?docID=820150</t>
  </si>
  <si>
    <t>https://ebookcentral.proquest.com/lib/NKNU/detail.action?docID=820154</t>
  </si>
  <si>
    <t>https://ebookcentral.proquest.com/lib/NKNU/detail.action?docID=820156</t>
  </si>
  <si>
    <t>https://ebookcentral.proquest.com/lib/NKNU/detail.action?docID=820168</t>
  </si>
  <si>
    <t>https://ebookcentral.proquest.com/lib/NKNU/detail.action?docID=820170</t>
  </si>
  <si>
    <t>https://ebookcentral.proquest.com/lib/NKNU/detail.action?docID=820172</t>
  </si>
  <si>
    <t>https://ebookcentral.proquest.com/lib/NKNU/detail.action?docID=820175</t>
  </si>
  <si>
    <t>https://ebookcentral.proquest.com/lib/NKNU/detail.action?docID=821597</t>
  </si>
  <si>
    <t>https://ebookcentral.proquest.com/lib/NKNU/detail.action?docID=821696</t>
  </si>
  <si>
    <t>https://ebookcentral.proquest.com/lib/NKNU/detail.action?docID=822348</t>
  </si>
  <si>
    <t>https://ebookcentral.proquest.com/lib/NKNU/detail.action?docID=822349</t>
  </si>
  <si>
    <t>https://ebookcentral.proquest.com/lib/NKNU/detail.action?docID=822350</t>
  </si>
  <si>
    <t>https://ebookcentral.proquest.com/lib/NKNU/detail.action?docID=822352</t>
  </si>
  <si>
    <t>https://ebookcentral.proquest.com/lib/NKNU/detail.action?docID=823749</t>
  </si>
  <si>
    <t>https://ebookcentral.proquest.com/lib/NKNU/detail.action?docID=825135</t>
  </si>
  <si>
    <t>https://ebookcentral.proquest.com/lib/NKNU/detail.action?docID=825143</t>
  </si>
  <si>
    <t>https://ebookcentral.proquest.com/lib/NKNU/detail.action?docID=826858</t>
  </si>
  <si>
    <t>https://ebookcentral.proquest.com/lib/NKNU/detail.action?docID=827217</t>
  </si>
  <si>
    <t>https://ebookcentral.proquest.com/lib/NKNU/detail.action?docID=827218</t>
  </si>
  <si>
    <t>https://ebookcentral.proquest.com/lib/NKNU/detail.action?docID=829298</t>
  </si>
  <si>
    <t>https://ebookcentral.proquest.com/lib/NKNU/detail.action?docID=829906</t>
  </si>
  <si>
    <t>https://ebookcentral.proquest.com/lib/NKNU/detail.action?docID=830122</t>
  </si>
  <si>
    <t>https://ebookcentral.proquest.com/lib/NKNU/detail.action?docID=830126</t>
  </si>
  <si>
    <t>https://ebookcentral.proquest.com/lib/NKNU/detail.action?docID=831488</t>
  </si>
  <si>
    <t>https://ebookcentral.proquest.com/lib/NKNU/detail.action?docID=831490</t>
  </si>
  <si>
    <t>https://ebookcentral.proquest.com/lib/NKNU/detail.action?docID=831506</t>
  </si>
  <si>
    <t>https://ebookcentral.proquest.com/lib/NKNU/detail.action?docID=831514</t>
  </si>
  <si>
    <t>https://ebookcentral.proquest.com/lib/NKNU/detail.action?docID=831519</t>
  </si>
  <si>
    <t>https://ebookcentral.proquest.com/lib/NKNU/detail.action?docID=831525</t>
  </si>
  <si>
    <t>https://ebookcentral.proquest.com/lib/NKNU/detail.action?docID=831533</t>
  </si>
  <si>
    <t>https://ebookcentral.proquest.com/lib/NKNU/detail.action?docID=832265</t>
  </si>
  <si>
    <t>https://ebookcentral.proquest.com/lib/NKNU/detail.action?docID=832303</t>
  </si>
  <si>
    <t>https://ebookcentral.proquest.com/lib/NKNU/detail.action?docID=832304</t>
  </si>
  <si>
    <t>https://ebookcentral.proquest.com/lib/NKNU/detail.action?docID=832306</t>
  </si>
  <si>
    <t>https://ebookcentral.proquest.com/lib/NKNU/detail.action?docID=835002</t>
  </si>
  <si>
    <t>https://ebookcentral.proquest.com/lib/NKNU/detail.action?docID=835003</t>
  </si>
  <si>
    <t>https://ebookcentral.proquest.com/lib/NKNU/detail.action?docID=835699</t>
  </si>
  <si>
    <t>https://ebookcentral.proquest.com/lib/NKNU/detail.action?docID=835815</t>
  </si>
  <si>
    <t>https://ebookcentral.proquest.com/lib/NKNU/detail.action?docID=836978</t>
  </si>
  <si>
    <t>https://ebookcentral.proquest.com/lib/NKNU/detail.action?docID=837761</t>
  </si>
  <si>
    <t>https://ebookcentral.proquest.com/lib/NKNU/detail.action?docID=837785</t>
  </si>
  <si>
    <t>https://ebookcentral.proquest.com/lib/NKNU/detail.action?docID=837790</t>
  </si>
  <si>
    <t>https://ebookcentral.proquest.com/lib/NKNU/detail.action?docID=837791</t>
  </si>
  <si>
    <t>https://ebookcentral.proquest.com/lib/NKNU/detail.action?docID=837792</t>
  </si>
  <si>
    <t>https://ebookcentral.proquest.com/lib/NKNU/detail.action?docID=837793</t>
  </si>
  <si>
    <t>https://ebookcentral.proquest.com/lib/NKNU/detail.action?docID=837794</t>
  </si>
  <si>
    <t>https://ebookcentral.proquest.com/lib/NKNU/detail.action?docID=837796</t>
  </si>
  <si>
    <t>https://ebookcentral.proquest.com/lib/NKNU/detail.action?docID=837797</t>
  </si>
  <si>
    <t>https://ebookcentral.proquest.com/lib/NKNU/detail.action?docID=837798</t>
  </si>
  <si>
    <t>https://ebookcentral.proquest.com/lib/NKNU/detail.action?docID=837799</t>
  </si>
  <si>
    <t>https://ebookcentral.proquest.com/lib/NKNU/detail.action?docID=837800</t>
  </si>
  <si>
    <t>https://ebookcentral.proquest.com/lib/NKNU/detail.action?docID=837801</t>
  </si>
  <si>
    <t>https://ebookcentral.proquest.com/lib/NKNU/detail.action?docID=837802</t>
  </si>
  <si>
    <t>https://ebookcentral.proquest.com/lib/NKNU/detail.action?docID=837806</t>
  </si>
  <si>
    <t>https://ebookcentral.proquest.com/lib/NKNU/detail.action?docID=837809</t>
  </si>
  <si>
    <t>https://ebookcentral.proquest.com/lib/NKNU/detail.action?docID=840412</t>
  </si>
  <si>
    <t>https://ebookcentral.proquest.com/lib/NKNU/detail.action?docID=840419</t>
  </si>
  <si>
    <t>https://ebookcentral.proquest.com/lib/NKNU/detail.action?docID=840434</t>
  </si>
  <si>
    <t>https://ebookcentral.proquest.com/lib/NKNU/detail.action?docID=840440</t>
  </si>
  <si>
    <t>https://ebookcentral.proquest.com/lib/NKNU/detail.action?docID=840442</t>
  </si>
  <si>
    <t>https://ebookcentral.proquest.com/lib/NKNU/detail.action?docID=840456</t>
  </si>
  <si>
    <t>https://ebookcentral.proquest.com/lib/NKNU/detail.action?docID=840510</t>
  </si>
  <si>
    <t>https://ebookcentral.proquest.com/lib/NKNU/detail.action?docID=840535</t>
  </si>
  <si>
    <t>https://ebookcentral.proquest.com/lib/NKNU/detail.action?docID=840569</t>
  </si>
  <si>
    <t>https://ebookcentral.proquest.com/lib/NKNU/detail.action?docID=840594</t>
  </si>
  <si>
    <t>https://ebookcentral.proquest.com/lib/NKNU/detail.action?docID=843189</t>
  </si>
  <si>
    <t>https://ebookcentral.proquest.com/lib/NKNU/detail.action?docID=846057</t>
  </si>
  <si>
    <t>https://ebookcentral.proquest.com/lib/NKNU/detail.action?docID=846153</t>
  </si>
  <si>
    <t>https://ebookcentral.proquest.com/lib/NKNU/detail.action?docID=849498</t>
  </si>
  <si>
    <t>https://ebookcentral.proquest.com/lib/NKNU/detail.action?docID=849732</t>
  </si>
  <si>
    <t>https://ebookcentral.proquest.com/lib/NKNU/detail.action?docID=849771</t>
  </si>
  <si>
    <t>https://ebookcentral.proquest.com/lib/NKNU/detail.action?docID=863943</t>
  </si>
  <si>
    <t>https://ebookcentral.proquest.com/lib/NKNU/detail.action?docID=864189</t>
  </si>
  <si>
    <t>https://ebookcentral.proquest.com/lib/NKNU/detail.action?docID=864193</t>
  </si>
  <si>
    <t>https://ebookcentral.proquest.com/lib/NKNU/detail.action?docID=864196</t>
  </si>
  <si>
    <t>https://ebookcentral.proquest.com/lib/NKNU/detail.action?docID=864213</t>
  </si>
  <si>
    <t>https://ebookcentral.proquest.com/lib/NKNU/detail.action?docID=864228</t>
  </si>
  <si>
    <t>https://ebookcentral.proquest.com/lib/NKNU/detail.action?docID=864265</t>
  </si>
  <si>
    <t>https://ebookcentral.proquest.com/lib/NKNU/detail.action?docID=864281</t>
  </si>
  <si>
    <t>https://ebookcentral.proquest.com/lib/NKNU/detail.action?docID=864293</t>
  </si>
  <si>
    <t>https://ebookcentral.proquest.com/lib/NKNU/detail.action?docID=864302</t>
  </si>
  <si>
    <t>https://ebookcentral.proquest.com/lib/NKNU/detail.action?docID=864321</t>
  </si>
  <si>
    <t>https://ebookcentral.proquest.com/lib/NKNU/detail.action?docID=864329</t>
  </si>
  <si>
    <t>https://ebookcentral.proquest.com/lib/NKNU/detail.action?docID=865483</t>
  </si>
  <si>
    <t>https://ebookcentral.proquest.com/lib/NKNU/detail.action?docID=865567</t>
  </si>
  <si>
    <t>https://ebookcentral.proquest.com/lib/NKNU/detail.action?docID=865698</t>
  </si>
  <si>
    <t>https://ebookcentral.proquest.com/lib/NKNU/detail.action?docID=865802</t>
  </si>
  <si>
    <t>https://ebookcentral.proquest.com/lib/NKNU/detail.action?docID=865803</t>
  </si>
  <si>
    <t>https://ebookcentral.proquest.com/lib/NKNU/detail.action?docID=865882</t>
  </si>
  <si>
    <t>https://ebookcentral.proquest.com/lib/NKNU/detail.action?docID=865910</t>
  </si>
  <si>
    <t>https://ebookcentral.proquest.com/lib/NKNU/detail.action?docID=866003</t>
  </si>
  <si>
    <t>https://ebookcentral.proquest.com/lib/NKNU/detail.action?docID=866008</t>
  </si>
  <si>
    <t>https://ebookcentral.proquest.com/lib/NKNU/detail.action?docID=866107</t>
  </si>
  <si>
    <t>https://ebookcentral.proquest.com/lib/NKNU/detail.action?docID=866147</t>
  </si>
  <si>
    <t>https://ebookcentral.proquest.com/lib/NKNU/detail.action?docID=866178</t>
  </si>
  <si>
    <t>https://ebookcentral.proquest.com/lib/NKNU/detail.action?docID=866205</t>
  </si>
  <si>
    <t>https://ebookcentral.proquest.com/lib/NKNU/detail.action?docID=868678</t>
  </si>
  <si>
    <t>https://ebookcentral.proquest.com/lib/NKNU/detail.action?docID=870067</t>
  </si>
  <si>
    <t>https://ebookcentral.proquest.com/lib/NKNU/detail.action?docID=870069</t>
  </si>
  <si>
    <t>https://ebookcentral.proquest.com/lib/NKNU/detail.action?docID=870070</t>
  </si>
  <si>
    <t>https://ebookcentral.proquest.com/lib/NKNU/detail.action?docID=870911</t>
  </si>
  <si>
    <t>https://ebookcentral.proquest.com/lib/NKNU/detail.action?docID=876801</t>
  </si>
  <si>
    <t>https://ebookcentral.proquest.com/lib/NKNU/detail.action?docID=879606</t>
  </si>
  <si>
    <t>https://ebookcentral.proquest.com/lib/NKNU/detail.action?docID=880997</t>
  </si>
  <si>
    <t>https://ebookcentral.proquest.com/lib/NKNU/detail.action?docID=881037</t>
  </si>
  <si>
    <t>https://ebookcentral.proquest.com/lib/NKNU/detail.action?docID=881084</t>
  </si>
  <si>
    <t>https://ebookcentral.proquest.com/lib/NKNU/detail.action?docID=881087</t>
  </si>
  <si>
    <t>https://ebookcentral.proquest.com/lib/NKNU/detail.action?docID=881093</t>
  </si>
  <si>
    <t>https://ebookcentral.proquest.com/lib/NKNU/detail.action?docID=881094</t>
  </si>
  <si>
    <t>https://ebookcentral.proquest.com/lib/NKNU/detail.action?docID=881095</t>
  </si>
  <si>
    <t>https://ebookcentral.proquest.com/lib/NKNU/detail.action?docID=881096</t>
  </si>
  <si>
    <t>https://ebookcentral.proquest.com/lib/NKNU/detail.action?docID=884827</t>
  </si>
  <si>
    <t>https://ebookcentral.proquest.com/lib/NKNU/detail.action?docID=888558</t>
  </si>
  <si>
    <t>https://ebookcentral.proquest.com/lib/NKNU/detail.action?docID=895130</t>
  </si>
  <si>
    <t>https://ebookcentral.proquest.com/lib/NKNU/detail.action?docID=895140</t>
  </si>
  <si>
    <t>https://ebookcentral.proquest.com/lib/NKNU/detail.action?docID=895165</t>
  </si>
  <si>
    <t>https://ebookcentral.proquest.com/lib/NKNU/detail.action?docID=895174</t>
  </si>
  <si>
    <t>https://ebookcentral.proquest.com/lib/NKNU/detail.action?docID=895299</t>
  </si>
  <si>
    <t>https://ebookcentral.proquest.com/lib/NKNU/detail.action?docID=898740</t>
  </si>
  <si>
    <t>https://ebookcentral.proquest.com/lib/NKNU/detail.action?docID=903920</t>
  </si>
  <si>
    <t>https://ebookcentral.proquest.com/lib/NKNU/detail.action?docID=908104</t>
  </si>
  <si>
    <t>https://ebookcentral.proquest.com/lib/NKNU/detail.action?docID=908295</t>
  </si>
  <si>
    <t>https://ebookcentral.proquest.com/lib/NKNU/detail.action?docID=908765</t>
  </si>
  <si>
    <t>https://ebookcentral.proquest.com/lib/NKNU/detail.action?docID=908785</t>
  </si>
  <si>
    <t>https://ebookcentral.proquest.com/lib/NKNU/detail.action?docID=908798</t>
  </si>
  <si>
    <t>https://ebookcentral.proquest.com/lib/NKNU/detail.action?docID=912097</t>
  </si>
  <si>
    <t>https://ebookcentral.proquest.com/lib/NKNU/detail.action?docID=912109</t>
  </si>
  <si>
    <t>https://ebookcentral.proquest.com/lib/NKNU/detail.action?docID=922852</t>
  </si>
  <si>
    <t>https://ebookcentral.proquest.com/lib/NKNU/detail.action?docID=922853</t>
  </si>
  <si>
    <t>https://ebookcentral.proquest.com/lib/NKNU/detail.action?docID=928355</t>
  </si>
  <si>
    <t>https://ebookcentral.proquest.com/lib/NKNU/detail.action?docID=943596</t>
  </si>
  <si>
    <t>https://ebookcentral.proquest.com/lib/NKNU/detail.action?docID=945517</t>
  </si>
  <si>
    <t>https://ebookcentral.proquest.com/lib/NKNU/detail.action?docID=946522</t>
  </si>
  <si>
    <t>https://ebookcentral.proquest.com/lib/NKNU/detail.action?docID=946543</t>
  </si>
  <si>
    <t>https://ebookcentral.proquest.com/lib/NKNU/detail.action?docID=946544</t>
  </si>
  <si>
    <t>https://ebookcentral.proquest.com/lib/NKNU/detail.action?docID=946551</t>
  </si>
  <si>
    <t>https://ebookcentral.proquest.com/lib/NKNU/detail.action?docID=946553</t>
  </si>
  <si>
    <t>https://ebookcentral.proquest.com/lib/NKNU/detail.action?docID=947811</t>
  </si>
  <si>
    <t>https://ebookcentral.proquest.com/lib/NKNU/detail.action?docID=950439</t>
  </si>
  <si>
    <t>https://ebookcentral.proquest.com/lib/NKNU/detail.action?docID=950533</t>
  </si>
  <si>
    <t>https://ebookcentral.proquest.com/lib/NKNU/detail.action?docID=950534</t>
  </si>
  <si>
    <t>https://ebookcentral.proquest.com/lib/NKNU/detail.action?docID=952063</t>
  </si>
  <si>
    <t>https://ebookcentral.proquest.com/lib/NKNU/detail.action?docID=957959</t>
  </si>
  <si>
    <t>https://ebookcentral.proquest.com/lib/NKNU/detail.action?docID=966956</t>
  </si>
  <si>
    <t>https://ebookcentral.proquest.com/lib/NKNU/detail.action?docID=966960</t>
  </si>
  <si>
    <t>https://ebookcentral.proquest.com/lib/NKNU/detail.action?docID=967377</t>
  </si>
  <si>
    <t>https://ebookcentral.proquest.com/lib/NKNU/detail.action?docID=967984</t>
  </si>
  <si>
    <t>https://ebookcentral.proquest.com/lib/NKNU/detail.action?docID=977453</t>
  </si>
  <si>
    <t>https://ebookcentral.proquest.com/lib/NKNU/detail.action?docID=977733</t>
  </si>
  <si>
    <t>https://ebookcentral.proquest.com/lib/NKNU/detail.action?docID=977736</t>
  </si>
  <si>
    <t>https://ebookcentral.proquest.com/lib/NKNU/detail.action?docID=977740</t>
  </si>
  <si>
    <t>https://ebookcentral.proquest.com/lib/NKNU/detail.action?docID=977742</t>
  </si>
  <si>
    <t>https://ebookcentral.proquest.com/lib/NKNU/detail.action?docID=977743</t>
  </si>
  <si>
    <t>https://ebookcentral.proquest.com/lib/NKNU/detail.action?docID=978113</t>
  </si>
  <si>
    <t>https://ebookcentral.proquest.com/lib/NKNU/detail.action?docID=979609</t>
  </si>
  <si>
    <t>https://ebookcentral.proquest.com/lib/NKNU/detail.action?docID=979961</t>
  </si>
  <si>
    <t>https://ebookcentral.proquest.com/lib/NKNU/detail.action?docID=979971</t>
  </si>
  <si>
    <t>https://ebookcentral.proquest.com/lib/NKNU/detail.action?docID=979974</t>
  </si>
  <si>
    <t>https://ebookcentral.proquest.com/lib/NKNU/detail.action?docID=981597</t>
  </si>
  <si>
    <t>https://ebookcentral.proquest.com/lib/NKNU/detail.action?docID=995543</t>
  </si>
  <si>
    <t>https://ebookcentral.proquest.com/lib/NKNU/detail.action?docID=995607</t>
  </si>
  <si>
    <t>https://ebookcentral.proquest.com/lib/NKNU/detail.action?docID=995627</t>
  </si>
  <si>
    <t>https://ebookcentral.proquest.com/lib/NKNU/detail.action?docID=997186</t>
  </si>
  <si>
    <t>https://ebookcentral.proquest.com/lib/NKNU/detail.action?docID=1020192</t>
  </si>
  <si>
    <t>https://ebookcentral.proquest.com/lib/NKNU/detail.action?docID=1021423</t>
  </si>
  <si>
    <t>https://ebookcentral.proquest.com/lib/NKNU/detail.action?docID=1029114</t>
  </si>
  <si>
    <t>https://ebookcentral.proquest.com/lib/NKNU/detail.action?docID=1035963</t>
  </si>
  <si>
    <t>https://ebookcentral.proquest.com/lib/NKNU/detail.action?docID=1039387</t>
  </si>
  <si>
    <t>https://ebookcentral.proquest.com/lib/NKNU/detail.action?docID=1042717</t>
  </si>
  <si>
    <t>https://ebookcentral.proquest.com/lib/NKNU/detail.action?docID=1043624</t>
  </si>
  <si>
    <t>https://ebookcentral.proquest.com/lib/NKNU/detail.action?docID=1043625</t>
  </si>
  <si>
    <t>https://ebookcentral.proquest.com/lib/NKNU/detail.action?docID=1043756</t>
  </si>
  <si>
    <t>https://ebookcentral.proquest.com/lib/NKNU/detail.action?docID=1057788</t>
  </si>
  <si>
    <t>https://ebookcentral.proquest.com/lib/NKNU/detail.action?docID=1061994</t>
  </si>
  <si>
    <t>https://ebookcentral.proquest.com/lib/NKNU/detail.action?docID=1069793</t>
  </si>
  <si>
    <t>https://ebookcentral.proquest.com/lib/NKNU/detail.action?docID=1072760</t>
  </si>
  <si>
    <t>https://ebookcentral.proquest.com/lib/NKNU/detail.action?docID=1072766</t>
  </si>
  <si>
    <t>https://ebookcentral.proquest.com/lib/NKNU/detail.action?docID=1076196</t>
  </si>
  <si>
    <t>https://ebookcentral.proquest.com/lib/NKNU/detail.action?docID=1076199</t>
  </si>
  <si>
    <t>https://ebookcentral.proquest.com/lib/NKNU/detail.action?docID=1076209</t>
  </si>
  <si>
    <t>https://ebookcentral.proquest.com/lib/NKNU/detail.action?docID=1084884</t>
  </si>
  <si>
    <t>https://ebookcentral.proquest.com/lib/NKNU/detail.action?docID=1093633</t>
  </si>
  <si>
    <t>https://ebookcentral.proquest.com/lib/NKNU/detail.action?docID=1098937</t>
  </si>
  <si>
    <t>https://ebookcentral.proquest.com/lib/NKNU/detail.action?docID=1105926</t>
  </si>
  <si>
    <t>https://ebookcentral.proquest.com/lib/NKNU/detail.action?docID=1112356</t>
  </si>
  <si>
    <t>https://ebookcentral.proquest.com/lib/NKNU/detail.action?docID=1116053</t>
  </si>
  <si>
    <t>https://ebookcentral.proquest.com/lib/NKNU/detail.action?docID=1120188</t>
  </si>
  <si>
    <t>https://ebookcentral.proquest.com/lib/NKNU/detail.action?docID=1120198</t>
  </si>
  <si>
    <t>https://ebookcentral.proquest.com/lib/NKNU/detail.action?docID=1122887</t>
  </si>
  <si>
    <t>https://ebookcentral.proquest.com/lib/NKNU/detail.action?docID=1122936</t>
  </si>
  <si>
    <t>https://ebookcentral.proquest.com/lib/NKNU/detail.action?docID=1131994</t>
  </si>
  <si>
    <t>https://ebookcentral.proquest.com/lib/NKNU/detail.action?docID=1137791</t>
  </si>
  <si>
    <t>https://ebookcentral.proquest.com/lib/NKNU/detail.action?docID=1137793</t>
  </si>
  <si>
    <t>https://ebookcentral.proquest.com/lib/NKNU/detail.action?docID=1137795</t>
  </si>
  <si>
    <t>https://ebookcentral.proquest.com/lib/NKNU/detail.action?docID=1138245</t>
  </si>
  <si>
    <t>https://ebookcentral.proquest.com/lib/NKNU/detail.action?docID=1138301</t>
  </si>
  <si>
    <t>https://ebookcentral.proquest.com/lib/NKNU/detail.action?docID=1138303</t>
  </si>
  <si>
    <t>https://ebookcentral.proquest.com/lib/NKNU/detail.action?docID=1138442</t>
  </si>
  <si>
    <t>https://ebookcentral.proquest.com/lib/NKNU/detail.action?docID=1144120</t>
  </si>
  <si>
    <t>https://ebookcentral.proquest.com/lib/NKNU/detail.action?docID=1157277</t>
  </si>
  <si>
    <t>https://ebookcentral.proquest.com/lib/NKNU/detail.action?docID=1157590</t>
  </si>
  <si>
    <t>https://ebookcentral.proquest.com/lib/NKNU/detail.action?docID=1168430</t>
  </si>
  <si>
    <t>https://ebookcentral.proquest.com/lib/NKNU/detail.action?docID=1169290</t>
  </si>
  <si>
    <t>https://ebookcentral.proquest.com/lib/NKNU/detail.action?docID=1169312</t>
  </si>
  <si>
    <t>https://ebookcentral.proquest.com/lib/NKNU/detail.action?docID=1169362</t>
  </si>
  <si>
    <t>https://ebookcentral.proquest.com/lib/NKNU/detail.action?docID=1169923</t>
  </si>
  <si>
    <t>https://ebookcentral.proquest.com/lib/NKNU/detail.action?docID=1170016</t>
  </si>
  <si>
    <t>https://ebookcentral.proquest.com/lib/NKNU/detail.action?docID=1170466</t>
  </si>
  <si>
    <t>https://ebookcentral.proquest.com/lib/NKNU/detail.action?docID=1170614</t>
  </si>
  <si>
    <t>https://ebookcentral.proquest.com/lib/NKNU/detail.action?docID=1170642</t>
  </si>
  <si>
    <t>https://ebookcentral.proquest.com/lib/NKNU/detail.action?docID=1171701</t>
  </si>
  <si>
    <t>https://ebookcentral.proquest.com/lib/NKNU/detail.action?docID=1171708</t>
  </si>
  <si>
    <t>https://ebookcentral.proquest.com/lib/NKNU/detail.action?docID=1185073</t>
  </si>
  <si>
    <t>https://ebookcentral.proquest.com/lib/NKNU/detail.action?docID=1190691</t>
  </si>
  <si>
    <t>https://ebookcentral.proquest.com/lib/NKNU/detail.action?docID=1195787</t>
  </si>
  <si>
    <t>https://ebookcentral.proquest.com/lib/NKNU/detail.action?docID=1203957</t>
  </si>
  <si>
    <t>https://ebookcentral.proquest.com/lib/NKNU/detail.action?docID=1205204</t>
  </si>
  <si>
    <t>https://ebookcentral.proquest.com/lib/NKNU/detail.action?docID=1207440</t>
  </si>
  <si>
    <t>https://ebookcentral.proquest.com/lib/NKNU/detail.action?docID=1209007</t>
  </si>
  <si>
    <t>https://ebookcentral.proquest.com/lib/NKNU/detail.action?docID=1213936</t>
  </si>
  <si>
    <t>https://ebookcentral.proquest.com/lib/NKNU/detail.action?docID=1213942</t>
  </si>
  <si>
    <t>https://ebookcentral.proquest.com/lib/NKNU/detail.action?docID=1214146</t>
  </si>
  <si>
    <t>https://ebookcentral.proquest.com/lib/NKNU/detail.action?docID=1214450</t>
  </si>
  <si>
    <t>https://ebookcentral.proquest.com/lib/NKNU/detail.action?docID=1214942</t>
  </si>
  <si>
    <t>https://ebookcentral.proquest.com/lib/NKNU/detail.action?docID=1215490</t>
  </si>
  <si>
    <t>https://ebookcentral.proquest.com/lib/NKNU/detail.action?docID=1221587</t>
  </si>
  <si>
    <t>https://ebookcentral.proquest.com/lib/NKNU/detail.action?docID=1222027</t>
  </si>
  <si>
    <t>https://ebookcentral.proquest.com/lib/NKNU/detail.action?docID=1237934</t>
  </si>
  <si>
    <t>https://ebookcentral.proquest.com/lib/NKNU/detail.action?docID=1251031</t>
  </si>
  <si>
    <t>https://ebookcentral.proquest.com/lib/NKNU/detail.action?docID=1272863</t>
  </si>
  <si>
    <t>https://ebookcentral.proquest.com/lib/NKNU/detail.action?docID=1315697</t>
  </si>
  <si>
    <t>https://ebookcentral.proquest.com/lib/NKNU/detail.action?docID=1318361</t>
  </si>
  <si>
    <t>https://ebookcentral.proquest.com/lib/NKNU/detail.action?docID=1344831</t>
  </si>
  <si>
    <t>https://ebookcentral.proquest.com/lib/NKNU/detail.action?docID=1350174</t>
  </si>
  <si>
    <t>https://ebookcentral.proquest.com/lib/NKNU/detail.action?docID=1352422</t>
  </si>
  <si>
    <t>https://ebookcentral.proquest.com/lib/NKNU/detail.action?docID=1354428</t>
  </si>
  <si>
    <t>https://ebookcentral.proquest.com/lib/NKNU/detail.action?docID=1354530</t>
  </si>
  <si>
    <t>https://ebookcentral.proquest.com/lib/NKNU/detail.action?docID=1356306</t>
  </si>
  <si>
    <t>https://ebookcentral.proquest.com/lib/NKNU/detail.action?docID=1358660</t>
  </si>
  <si>
    <t>https://ebookcentral.proquest.com/lib/NKNU/detail.action?docID=1363575</t>
  </si>
  <si>
    <t>https://ebookcentral.proquest.com/lib/NKNU/detail.action?docID=1367765</t>
  </si>
  <si>
    <t>https://ebookcentral.proquest.com/lib/NKNU/detail.action?docID=1367824</t>
  </si>
  <si>
    <t>https://ebookcentral.proquest.com/lib/NKNU/detail.action?docID=1380565</t>
  </si>
  <si>
    <t>https://ebookcentral.proquest.com/lib/NKNU/detail.action?docID=1386468</t>
  </si>
  <si>
    <t>https://ebookcentral.proquest.com/lib/NKNU/detail.action?docID=1394869</t>
  </si>
  <si>
    <t>https://ebookcentral.proquest.com/lib/NKNU/detail.action?docID=1405045</t>
  </si>
  <si>
    <t>https://ebookcentral.proquest.com/lib/NKNU/detail.action?docID=1405335</t>
  </si>
  <si>
    <t>https://ebookcentral.proquest.com/lib/NKNU/detail.action?docID=1405552</t>
  </si>
  <si>
    <t>https://ebookcentral.proquest.com/lib/NKNU/detail.action?docID=1407328</t>
  </si>
  <si>
    <t>https://ebookcentral.proquest.com/lib/NKNU/detail.action?docID=1407416</t>
  </si>
  <si>
    <t>https://ebookcentral.proquest.com/lib/NKNU/detail.action?docID=1407678</t>
  </si>
  <si>
    <t>https://ebookcentral.proquest.com/lib/NKNU/detail.action?docID=1407680</t>
  </si>
  <si>
    <t>https://ebookcentral.proquest.com/lib/NKNU/detail.action?docID=1407684</t>
  </si>
  <si>
    <t>https://ebookcentral.proquest.com/lib/NKNU/detail.action?docID=1441534</t>
  </si>
  <si>
    <t>https://ebookcentral.proquest.com/lib/NKNU/detail.action?docID=1441831</t>
  </si>
  <si>
    <t>https://ebookcentral.proquest.com/lib/NKNU/detail.action?docID=1446576</t>
  </si>
  <si>
    <t>https://ebookcentral.proquest.com/lib/NKNU/detail.action?docID=1463554</t>
  </si>
  <si>
    <t>https://ebookcentral.proquest.com/lib/NKNU/detail.action?docID=1481150</t>
  </si>
  <si>
    <t>https://ebookcentral.proquest.com/lib/NKNU/detail.action?docID=1481220</t>
  </si>
  <si>
    <t>https://ebookcentral.proquest.com/lib/NKNU/detail.action?docID=1486324</t>
  </si>
  <si>
    <t>https://ebookcentral.proquest.com/lib/NKNU/detail.action?docID=1486326</t>
  </si>
  <si>
    <t>https://ebookcentral.proquest.com/lib/NKNU/detail.action?docID=1486999</t>
  </si>
  <si>
    <t>https://ebookcentral.proquest.com/lib/NKNU/detail.action?docID=1487095</t>
  </si>
  <si>
    <t>https://ebookcentral.proquest.com/lib/NKNU/detail.action?docID=1487099</t>
  </si>
  <si>
    <t>https://ebookcentral.proquest.com/lib/NKNU/detail.action?docID=1510748</t>
  </si>
  <si>
    <t>https://ebookcentral.proquest.com/lib/NKNU/detail.action?docID=1510764</t>
  </si>
  <si>
    <t>https://ebookcentral.proquest.com/lib/NKNU/detail.action?docID=1510782</t>
  </si>
  <si>
    <t>https://ebookcentral.proquest.com/lib/NKNU/detail.action?docID=1510803</t>
  </si>
  <si>
    <t>https://ebookcentral.proquest.com/lib/NKNU/detail.action?docID=1510806</t>
  </si>
  <si>
    <t>https://ebookcentral.proquest.com/lib/NKNU/detail.action?docID=1510807</t>
  </si>
  <si>
    <t>https://ebookcentral.proquest.com/lib/NKNU/detail.action?docID=1510809</t>
  </si>
  <si>
    <t>https://ebookcentral.proquest.com/lib/NKNU/detail.action?docID=1510816</t>
  </si>
  <si>
    <t>https://ebookcentral.proquest.com/lib/NKNU/detail.action?docID=1510835</t>
  </si>
  <si>
    <t>https://ebookcentral.proquest.com/lib/NKNU/detail.action?docID=1510869</t>
  </si>
  <si>
    <t>https://ebookcentral.proquest.com/lib/NKNU/detail.action?docID=1510921</t>
  </si>
  <si>
    <t>https://ebookcentral.proquest.com/lib/NKNU/detail.action?docID=1524040</t>
  </si>
  <si>
    <t>https://ebookcentral.proquest.com/lib/NKNU/detail.action?docID=1563052</t>
  </si>
  <si>
    <t>https://ebookcentral.proquest.com/lib/NKNU/detail.action?docID=1563054</t>
  </si>
  <si>
    <t>https://ebookcentral.proquest.com/lib/NKNU/detail.action?docID=1572950</t>
  </si>
  <si>
    <t>https://ebookcentral.proquest.com/lib/NKNU/detail.action?docID=1574389</t>
  </si>
  <si>
    <t>https://ebookcentral.proquest.com/lib/NKNU/detail.action?docID=1574394</t>
  </si>
  <si>
    <t>https://ebookcentral.proquest.com/lib/NKNU/detail.action?docID=1577401</t>
  </si>
  <si>
    <t>https://ebookcentral.proquest.com/lib/NKNU/detail.action?docID=1578289</t>
  </si>
  <si>
    <t>https://ebookcentral.proquest.com/lib/NKNU/detail.action?docID=1579846</t>
  </si>
  <si>
    <t>https://ebookcentral.proquest.com/lib/NKNU/detail.action?docID=1579871</t>
  </si>
  <si>
    <t>https://ebookcentral.proquest.com/lib/NKNU/detail.action?docID=1580813</t>
  </si>
  <si>
    <t>https://ebookcentral.proquest.com/lib/NKNU/detail.action?docID=1584125</t>
  </si>
  <si>
    <t>https://ebookcentral.proquest.com/lib/NKNU/detail.action?docID=1591185</t>
  </si>
  <si>
    <t>https://ebookcentral.proquest.com/lib/NKNU/detail.action?docID=1594731</t>
  </si>
  <si>
    <t>https://ebookcentral.proquest.com/lib/NKNU/detail.action?docID=1594823</t>
  </si>
  <si>
    <t>https://ebookcentral.proquest.com/lib/NKNU/detail.action?docID=1594838</t>
  </si>
  <si>
    <t>https://ebookcentral.proquest.com/lib/NKNU/detail.action?docID=1595177</t>
  </si>
  <si>
    <t>https://ebookcentral.proquest.com/lib/NKNU/detail.action?docID=1598910</t>
  </si>
  <si>
    <t>https://ebookcentral.proquest.com/lib/NKNU/detail.action?docID=1599048</t>
  </si>
  <si>
    <t>https://ebookcentral.proquest.com/lib/NKNU/detail.action?docID=1599108</t>
  </si>
  <si>
    <t>https://ebookcentral.proquest.com/lib/NKNU/detail.action?docID=1619914</t>
  </si>
  <si>
    <t>https://ebookcentral.proquest.com/lib/NKNU/detail.action?docID=1630365</t>
  </si>
  <si>
    <t>https://ebookcentral.proquest.com/lib/NKNU/detail.action?docID=1631685</t>
  </si>
  <si>
    <t>https://ebookcentral.proquest.com/lib/NKNU/detail.action?docID=1632923</t>
  </si>
  <si>
    <t>https://ebookcentral.proquest.com/lib/NKNU/detail.action?docID=1638691</t>
  </si>
  <si>
    <t>https://ebookcentral.proquest.com/lib/NKNU/detail.action?docID=1638692</t>
  </si>
  <si>
    <t>https://ebookcentral.proquest.com/lib/NKNU/detail.action?docID=1638694</t>
  </si>
  <si>
    <t>https://ebookcentral.proquest.com/lib/NKNU/detail.action?docID=1638695</t>
  </si>
  <si>
    <t>https://ebookcentral.proquest.com/lib/NKNU/detail.action?docID=1638696</t>
  </si>
  <si>
    <t>https://ebookcentral.proquest.com/lib/NKNU/detail.action?docID=1638697</t>
  </si>
  <si>
    <t>https://ebookcentral.proquest.com/lib/NKNU/detail.action?docID=1639085</t>
  </si>
  <si>
    <t>https://ebookcentral.proquest.com/lib/NKNU/detail.action?docID=1639558</t>
  </si>
  <si>
    <t>https://ebookcentral.proquest.com/lib/NKNU/detail.action?docID=1639561</t>
  </si>
  <si>
    <t>https://ebookcentral.proquest.com/lib/NKNU/detail.action?docID=1639579</t>
  </si>
  <si>
    <t>https://ebookcentral.proquest.com/lib/NKNU/detail.action?docID=1639691</t>
  </si>
  <si>
    <t>https://ebookcentral.proquest.com/lib/NKNU/detail.action?docID=1639701</t>
  </si>
  <si>
    <t>https://ebookcentral.proquest.com/lib/NKNU/detail.action?docID=1639702</t>
  </si>
  <si>
    <t>https://ebookcentral.proquest.com/lib/NKNU/detail.action?docID=1639703</t>
  </si>
  <si>
    <t>https://ebookcentral.proquest.com/lib/NKNU/detail.action?docID=1639718</t>
  </si>
  <si>
    <t>https://ebookcentral.proquest.com/lib/NKNU/detail.action?docID=1639722</t>
  </si>
  <si>
    <t>https://ebookcentral.proquest.com/lib/NKNU/detail.action?docID=1639907</t>
  </si>
  <si>
    <t>https://ebookcentral.proquest.com/lib/NKNU/detail.action?docID=1639939</t>
  </si>
  <si>
    <t>https://ebookcentral.proquest.com/lib/NKNU/detail.action?docID=1639959</t>
  </si>
  <si>
    <t>https://ebookcentral.proquest.com/lib/NKNU/detail.action?docID=1640880</t>
  </si>
  <si>
    <t>https://ebookcentral.proquest.com/lib/NKNU/detail.action?docID=1645665</t>
  </si>
  <si>
    <t>https://ebookcentral.proquest.com/lib/NKNU/detail.action?docID=1653248</t>
  </si>
  <si>
    <t>https://ebookcentral.proquest.com/lib/NKNU/detail.action?docID=1656535</t>
  </si>
  <si>
    <t>https://ebookcentral.proquest.com/lib/NKNU/detail.action?docID=1657092</t>
  </si>
  <si>
    <t>https://ebookcentral.proquest.com/lib/NKNU/detail.action?docID=1659888</t>
  </si>
  <si>
    <t>https://ebookcentral.proquest.com/lib/NKNU/detail.action?docID=1659891</t>
  </si>
  <si>
    <t>https://ebookcentral.proquest.com/lib/NKNU/detail.action?docID=1661848</t>
  </si>
  <si>
    <t>https://ebookcentral.proquest.com/lib/NKNU/detail.action?docID=1663932</t>
  </si>
  <si>
    <t>https://ebookcentral.proquest.com/lib/NKNU/detail.action?docID=1664626</t>
  </si>
  <si>
    <t>https://ebookcentral.proquest.com/lib/NKNU/detail.action?docID=1664636</t>
  </si>
  <si>
    <t>https://ebookcentral.proquest.com/lib/NKNU/detail.action?docID=1666664</t>
  </si>
  <si>
    <t>https://ebookcentral.proquest.com/lib/NKNU/detail.action?docID=1666669</t>
  </si>
  <si>
    <t>https://ebookcentral.proquest.com/lib/NKNU/detail.action?docID=1666671</t>
  </si>
  <si>
    <t>https://ebookcentral.proquest.com/lib/NKNU/detail.action?docID=1666687</t>
  </si>
  <si>
    <t>https://ebookcentral.proquest.com/lib/NKNU/detail.action?docID=1666690</t>
  </si>
  <si>
    <t>https://ebookcentral.proquest.com/lib/NKNU/detail.action?docID=1666691</t>
  </si>
  <si>
    <t>https://ebookcentral.proquest.com/lib/NKNU/detail.action?docID=1666711</t>
  </si>
  <si>
    <t>https://ebookcentral.proquest.com/lib/NKNU/detail.action?docID=1666716</t>
  </si>
  <si>
    <t>https://ebookcentral.proquest.com/lib/NKNU/detail.action?docID=1675082</t>
  </si>
  <si>
    <t>https://ebookcentral.proquest.com/lib/NKNU/detail.action?docID=1675890</t>
  </si>
  <si>
    <t>https://ebookcentral.proquest.com/lib/NKNU/detail.action?docID=1675891</t>
  </si>
  <si>
    <t>https://ebookcentral.proquest.com/lib/NKNU/detail.action?docID=1676092</t>
  </si>
  <si>
    <t>https://ebookcentral.proquest.com/lib/NKNU/detail.action?docID=1676475</t>
  </si>
  <si>
    <t>https://ebookcentral.proquest.com/lib/NKNU/detail.action?docID=1676799</t>
  </si>
  <si>
    <t>https://ebookcentral.proquest.com/lib/NKNU/detail.action?docID=1679323</t>
  </si>
  <si>
    <t>https://ebookcentral.proquest.com/lib/NKNU/detail.action?docID=1679528</t>
  </si>
  <si>
    <t>https://ebookcentral.proquest.com/lib/NKNU/detail.action?docID=1679567</t>
  </si>
  <si>
    <t>https://ebookcentral.proquest.com/lib/NKNU/detail.action?docID=1679671</t>
  </si>
  <si>
    <t>https://ebookcentral.proquest.com/lib/NKNU/detail.action?docID=1679838</t>
  </si>
  <si>
    <t>https://ebookcentral.proquest.com/lib/NKNU/detail.action?docID=1679847</t>
  </si>
  <si>
    <t>https://ebookcentral.proquest.com/lib/NKNU/detail.action?docID=1679868</t>
  </si>
  <si>
    <t>https://ebookcentral.proquest.com/lib/NKNU/detail.action?docID=1679929</t>
  </si>
  <si>
    <t>https://ebookcentral.proquest.com/lib/NKNU/detail.action?docID=1680231</t>
  </si>
  <si>
    <t>https://ebookcentral.proquest.com/lib/NKNU/detail.action?docID=1680232</t>
  </si>
  <si>
    <t>https://ebookcentral.proquest.com/lib/NKNU/detail.action?docID=1680233</t>
  </si>
  <si>
    <t>https://ebookcentral.proquest.com/lib/NKNU/detail.action?docID=1681024</t>
  </si>
  <si>
    <t>https://ebookcentral.proquest.com/lib/NKNU/detail.action?docID=1681046</t>
  </si>
  <si>
    <t>https://ebookcentral.proquest.com/lib/NKNU/detail.action?docID=1681080</t>
  </si>
  <si>
    <t>https://ebookcentral.proquest.com/lib/NKNU/detail.action?docID=1681213</t>
  </si>
  <si>
    <t>https://ebookcentral.proquest.com/lib/NKNU/detail.action?docID=1681280</t>
  </si>
  <si>
    <t>https://ebookcentral.proquest.com/lib/NKNU/detail.action?docID=1681365</t>
  </si>
  <si>
    <t>https://ebookcentral.proquest.com/lib/NKNU/detail.action?docID=1681463</t>
  </si>
  <si>
    <t>https://ebookcentral.proquest.com/lib/NKNU/detail.action?docID=1681484</t>
  </si>
  <si>
    <t>https://ebookcentral.proquest.com/lib/NKNU/detail.action?docID=1681499</t>
  </si>
  <si>
    <t>https://ebookcentral.proquest.com/lib/NKNU/detail.action?docID=1681536</t>
  </si>
  <si>
    <t>https://ebookcentral.proquest.com/lib/NKNU/detail.action?docID=1681555</t>
  </si>
  <si>
    <t>https://ebookcentral.proquest.com/lib/NKNU/detail.action?docID=1681560</t>
  </si>
  <si>
    <t>https://ebookcentral.proquest.com/lib/NKNU/detail.action?docID=1681606</t>
  </si>
  <si>
    <t>https://ebookcentral.proquest.com/lib/NKNU/detail.action?docID=1681615</t>
  </si>
  <si>
    <t>https://ebookcentral.proquest.com/lib/NKNU/detail.action?docID=1681620</t>
  </si>
  <si>
    <t>https://ebookcentral.proquest.com/lib/NKNU/detail.action?docID=1681674</t>
  </si>
  <si>
    <t>https://ebookcentral.proquest.com/lib/NKNU/detail.action?docID=1681685</t>
  </si>
  <si>
    <t>https://ebookcentral.proquest.com/lib/NKNU/detail.action?docID=1681715</t>
  </si>
  <si>
    <t>https://ebookcentral.proquest.com/lib/NKNU/detail.action?docID=1682193</t>
  </si>
  <si>
    <t>https://ebookcentral.proquest.com/lib/NKNU/detail.action?docID=1684211</t>
  </si>
  <si>
    <t>https://ebookcentral.proquest.com/lib/NKNU/detail.action?docID=1684220</t>
  </si>
  <si>
    <t>https://ebookcentral.proquest.com/lib/NKNU/detail.action?docID=1685694</t>
  </si>
  <si>
    <t>https://ebookcentral.proquest.com/lib/NKNU/detail.action?docID=1686628</t>
  </si>
  <si>
    <t>https://ebookcentral.proquest.com/lib/NKNU/detail.action?docID=1687306</t>
  </si>
  <si>
    <t>https://ebookcentral.proquest.com/lib/NKNU/detail.action?docID=1688448</t>
  </si>
  <si>
    <t>https://ebookcentral.proquest.com/lib/NKNU/detail.action?docID=1711466</t>
  </si>
  <si>
    <t>https://ebookcentral.proquest.com/lib/NKNU/detail.action?docID=1715629</t>
  </si>
  <si>
    <t>https://ebookcentral.proquest.com/lib/NKNU/detail.action?docID=1716737</t>
  </si>
  <si>
    <t>https://ebookcentral.proquest.com/lib/NKNU/detail.action?docID=1718245</t>
  </si>
  <si>
    <t>https://ebookcentral.proquest.com/lib/NKNU/detail.action?docID=1720826</t>
  </si>
  <si>
    <t>https://ebookcentral.proquest.com/lib/NKNU/detail.action?docID=1728024</t>
  </si>
  <si>
    <t>https://ebookcentral.proquest.com/lib/NKNU/detail.action?docID=1728282</t>
  </si>
  <si>
    <t>https://ebookcentral.proquest.com/lib/NKNU/detail.action?docID=1728315</t>
  </si>
  <si>
    <t>https://ebookcentral.proquest.com/lib/NKNU/detail.action?docID=1728382</t>
  </si>
  <si>
    <t>https://ebookcentral.proquest.com/lib/NKNU/detail.action?docID=1728390</t>
  </si>
  <si>
    <t>https://ebookcentral.proquest.com/lib/NKNU/detail.action?docID=1728394</t>
  </si>
  <si>
    <t>https://ebookcentral.proquest.com/lib/NKNU/detail.action?docID=1734037</t>
  </si>
  <si>
    <t>https://ebookcentral.proquest.com/lib/NKNU/detail.action?docID=1742612</t>
  </si>
  <si>
    <t>https://ebookcentral.proquest.com/lib/NKNU/detail.action?docID=1743152</t>
  </si>
  <si>
    <t>https://ebookcentral.proquest.com/lib/NKNU/detail.action?docID=1743230</t>
  </si>
  <si>
    <t>https://ebookcentral.proquest.com/lib/NKNU/detail.action?docID=1743460</t>
  </si>
  <si>
    <t>https://ebookcentral.proquest.com/lib/NKNU/detail.action?docID=1743469</t>
  </si>
  <si>
    <t>https://ebookcentral.proquest.com/lib/NKNU/detail.action?docID=1750706</t>
  </si>
  <si>
    <t>https://ebookcentral.proquest.com/lib/NKNU/detail.action?docID=1750716</t>
  </si>
  <si>
    <t>https://ebookcentral.proquest.com/lib/NKNU/detail.action?docID=1751783</t>
  </si>
  <si>
    <t>https://ebookcentral.proquest.com/lib/NKNU/detail.action?docID=1753413</t>
  </si>
  <si>
    <t>https://ebookcentral.proquest.com/lib/NKNU/detail.action?docID=1759162</t>
  </si>
  <si>
    <t>https://ebookcentral.proquest.com/lib/NKNU/detail.action?docID=1760733</t>
  </si>
  <si>
    <t>https://ebookcentral.proquest.com/lib/NKNU/detail.action?docID=1760905</t>
  </si>
  <si>
    <t>https://ebookcentral.proquest.com/lib/NKNU/detail.action?docID=1764183</t>
  </si>
  <si>
    <t>https://ebookcentral.proquest.com/lib/NKNU/detail.action?docID=1764209</t>
  </si>
  <si>
    <t>https://ebookcentral.proquest.com/lib/NKNU/detail.action?docID=1764220</t>
  </si>
  <si>
    <t>https://ebookcentral.proquest.com/lib/NKNU/detail.action?docID=1767205</t>
  </si>
  <si>
    <t>https://ebookcentral.proquest.com/lib/NKNU/detail.action?docID=1768753</t>
  </si>
  <si>
    <t>https://ebookcentral.proquest.com/lib/NKNU/detail.action?docID=1771085</t>
  </si>
  <si>
    <t>https://ebookcentral.proquest.com/lib/NKNU/detail.action?docID=1771104</t>
  </si>
  <si>
    <t>https://ebookcentral.proquest.com/lib/NKNU/detail.action?docID=1772335</t>
  </si>
  <si>
    <t>https://ebookcentral.proquest.com/lib/NKNU/detail.action?docID=1772368</t>
  </si>
  <si>
    <t>https://ebookcentral.proquest.com/lib/NKNU/detail.action?docID=1772371</t>
  </si>
  <si>
    <t>https://ebookcentral.proquest.com/lib/NKNU/detail.action?docID=1772380</t>
  </si>
  <si>
    <t>https://ebookcentral.proquest.com/lib/NKNU/detail.action?docID=1772381</t>
  </si>
  <si>
    <t>https://ebookcentral.proquest.com/lib/NKNU/detail.action?docID=1772384</t>
  </si>
  <si>
    <t>https://ebookcentral.proquest.com/lib/NKNU/detail.action?docID=1772387</t>
  </si>
  <si>
    <t>https://ebookcentral.proquest.com/lib/NKNU/detail.action?docID=1772388</t>
  </si>
  <si>
    <t>https://ebookcentral.proquest.com/lib/NKNU/detail.action?docID=1772392</t>
  </si>
  <si>
    <t>https://ebookcentral.proquest.com/lib/NKNU/detail.action?docID=1772396</t>
  </si>
  <si>
    <t>https://ebookcentral.proquest.com/lib/NKNU/detail.action?docID=1772398</t>
  </si>
  <si>
    <t>https://ebookcentral.proquest.com/lib/NKNU/detail.action?docID=1772402</t>
  </si>
  <si>
    <t>https://ebookcentral.proquest.com/lib/NKNU/detail.action?docID=1772422</t>
  </si>
  <si>
    <t>https://ebookcentral.proquest.com/lib/NKNU/detail.action?docID=1772429</t>
  </si>
  <si>
    <t>https://ebookcentral.proquest.com/lib/NKNU/detail.action?docID=1772444</t>
  </si>
  <si>
    <t>https://ebookcentral.proquest.com/lib/NKNU/detail.action?docID=1772446</t>
  </si>
  <si>
    <t>https://ebookcentral.proquest.com/lib/NKNU/detail.action?docID=1772450</t>
  </si>
  <si>
    <t>https://ebookcentral.proquest.com/lib/NKNU/detail.action?docID=1772510</t>
  </si>
  <si>
    <t>https://ebookcentral.proquest.com/lib/NKNU/detail.action?docID=1772517</t>
  </si>
  <si>
    <t>https://ebookcentral.proquest.com/lib/NKNU/detail.action?docID=1772524</t>
  </si>
  <si>
    <t>https://ebookcentral.proquest.com/lib/NKNU/detail.action?docID=1772528</t>
  </si>
  <si>
    <t>https://ebookcentral.proquest.com/lib/NKNU/detail.action?docID=1772533</t>
  </si>
  <si>
    <t>https://ebookcentral.proquest.com/lib/NKNU/detail.action?docID=1772545</t>
  </si>
  <si>
    <t>https://ebookcentral.proquest.com/lib/NKNU/detail.action?docID=1772553</t>
  </si>
  <si>
    <t>https://ebookcentral.proquest.com/lib/NKNU/detail.action?docID=1772574</t>
  </si>
  <si>
    <t>https://ebookcentral.proquest.com/lib/NKNU/detail.action?docID=1772576</t>
  </si>
  <si>
    <t>https://ebookcentral.proquest.com/lib/NKNU/detail.action?docID=1772580</t>
  </si>
  <si>
    <t>https://ebookcentral.proquest.com/lib/NKNU/detail.action?docID=1772627</t>
  </si>
  <si>
    <t>https://ebookcentral.proquest.com/lib/NKNU/detail.action?docID=1772687</t>
  </si>
  <si>
    <t>https://ebookcentral.proquest.com/lib/NKNU/detail.action?docID=1772693</t>
  </si>
  <si>
    <t>https://ebookcentral.proquest.com/lib/NKNU/detail.action?docID=1772698</t>
  </si>
  <si>
    <t>https://ebookcentral.proquest.com/lib/NKNU/detail.action?docID=1772705</t>
  </si>
  <si>
    <t>https://ebookcentral.proquest.com/lib/NKNU/detail.action?docID=1772727</t>
  </si>
  <si>
    <t>https://ebookcentral.proquest.com/lib/NKNU/detail.action?docID=1772728</t>
  </si>
  <si>
    <t>https://ebookcentral.proquest.com/lib/NKNU/detail.action?docID=1772755</t>
  </si>
  <si>
    <t>https://ebookcentral.proquest.com/lib/NKNU/detail.action?docID=1772832</t>
  </si>
  <si>
    <t>https://ebookcentral.proquest.com/lib/NKNU/detail.action?docID=1773456</t>
  </si>
  <si>
    <t>https://ebookcentral.proquest.com/lib/NKNU/detail.action?docID=1778891</t>
  </si>
  <si>
    <t>https://ebookcentral.proquest.com/lib/NKNU/detail.action?docID=1780103</t>
  </si>
  <si>
    <t>https://ebookcentral.proquest.com/lib/NKNU/detail.action?docID=1782680</t>
  </si>
  <si>
    <t>https://ebookcentral.proquest.com/lib/NKNU/detail.action?docID=1784522</t>
  </si>
  <si>
    <t>https://ebookcentral.proquest.com/lib/NKNU/detail.action?docID=1794540</t>
  </si>
  <si>
    <t>https://ebookcentral.proquest.com/lib/NKNU/detail.action?docID=1809029</t>
  </si>
  <si>
    <t>https://ebookcentral.proquest.com/lib/NKNU/detail.action?docID=1809653</t>
  </si>
  <si>
    <t>https://ebookcentral.proquest.com/lib/NKNU/detail.action?docID=1815866</t>
  </si>
  <si>
    <t>https://ebookcentral.proquest.com/lib/NKNU/detail.action?docID=1818081</t>
  </si>
  <si>
    <t>https://ebookcentral.proquest.com/lib/NKNU/detail.action?docID=1820967</t>
  </si>
  <si>
    <t>https://ebookcentral.proquest.com/lib/NKNU/detail.action?docID=1830747</t>
  </si>
  <si>
    <t>https://ebookcentral.proquest.com/lib/NKNU/detail.action?docID=1832603</t>
  </si>
  <si>
    <t>https://ebookcentral.proquest.com/lib/NKNU/detail.action?docID=1832611</t>
  </si>
  <si>
    <t>https://ebookcentral.proquest.com/lib/NKNU/detail.action?docID=1833879</t>
  </si>
  <si>
    <t>https://ebookcentral.proquest.com/lib/NKNU/detail.action?docID=1840030</t>
  </si>
  <si>
    <t>https://ebookcentral.proquest.com/lib/NKNU/detail.action?docID=1864140</t>
  </si>
  <si>
    <t>https://ebookcentral.proquest.com/lib/NKNU/detail.action?docID=1865495</t>
  </si>
  <si>
    <t>https://ebookcentral.proquest.com/lib/NKNU/detail.action?docID=1868773</t>
  </si>
  <si>
    <t>https://ebookcentral.proquest.com/lib/NKNU/detail.action?docID=1874268</t>
  </si>
  <si>
    <t>https://ebookcentral.proquest.com/lib/NKNU/detail.action?docID=1899931</t>
  </si>
  <si>
    <t>https://ebookcentral.proquest.com/lib/NKNU/detail.action?docID=1899940</t>
  </si>
  <si>
    <t>https://ebookcentral.proquest.com/lib/NKNU/detail.action?docID=1899962</t>
  </si>
  <si>
    <t>https://ebookcentral.proquest.com/lib/NKNU/detail.action?docID=1900065</t>
  </si>
  <si>
    <t>https://ebookcentral.proquest.com/lib/NKNU/detail.action?docID=1900084</t>
  </si>
  <si>
    <t>https://ebookcentral.proquest.com/lib/NKNU/detail.action?docID=1900089</t>
  </si>
  <si>
    <t>https://ebookcentral.proquest.com/lib/NKNU/detail.action?docID=1900108</t>
  </si>
  <si>
    <t>https://ebookcentral.proquest.com/lib/NKNU/detail.action?docID=1900131</t>
  </si>
  <si>
    <t>https://ebookcentral.proquest.com/lib/NKNU/detail.action?docID=1900136</t>
  </si>
  <si>
    <t>https://ebookcentral.proquest.com/lib/NKNU/detail.action?docID=1910213</t>
  </si>
  <si>
    <t>https://ebookcentral.proquest.com/lib/NKNU/detail.action?docID=1915371</t>
  </si>
  <si>
    <t>https://ebookcentral.proquest.com/lib/NKNU/detail.action?docID=1920436</t>
  </si>
  <si>
    <t>https://ebookcentral.proquest.com/lib/NKNU/detail.action?docID=1921770</t>
  </si>
  <si>
    <t>https://ebookcentral.proquest.com/lib/NKNU/detail.action?docID=1924395</t>
  </si>
  <si>
    <t>https://ebookcentral.proquest.com/lib/NKNU/detail.action?docID=1936902</t>
  </si>
  <si>
    <t>https://ebookcentral.proquest.com/lib/NKNU/detail.action?docID=1951428</t>
  </si>
  <si>
    <t>https://ebookcentral.proquest.com/lib/NKNU/detail.action?docID=1951429</t>
  </si>
  <si>
    <t>https://ebookcentral.proquest.com/lib/NKNU/detail.action?docID=1953173</t>
  </si>
  <si>
    <t>https://ebookcentral.proquest.com/lib/NKNU/detail.action?docID=1961802</t>
  </si>
  <si>
    <t>https://ebookcentral.proquest.com/lib/NKNU/detail.action?docID=1961863</t>
  </si>
  <si>
    <t>https://ebookcentral.proquest.com/lib/NKNU/detail.action?docID=1961865</t>
  </si>
  <si>
    <t>https://ebookcentral.proquest.com/lib/NKNU/detail.action?docID=1961866</t>
  </si>
  <si>
    <t>https://ebookcentral.proquest.com/lib/NKNU/detail.action?docID=1961907</t>
  </si>
  <si>
    <t>https://ebookcentral.proquest.com/lib/NKNU/detail.action?docID=1962004</t>
  </si>
  <si>
    <t>https://ebookcentral.proquest.com/lib/NKNU/detail.action?docID=1962040</t>
  </si>
  <si>
    <t>https://ebookcentral.proquest.com/lib/NKNU/detail.action?docID=1962057</t>
  </si>
  <si>
    <t>https://ebookcentral.proquest.com/lib/NKNU/detail.action?docID=1962129</t>
  </si>
  <si>
    <t>https://ebookcentral.proquest.com/lib/NKNU/detail.action?docID=1962141</t>
  </si>
  <si>
    <t>https://ebookcentral.proquest.com/lib/NKNU/detail.action?docID=1962154</t>
  </si>
  <si>
    <t>https://ebookcentral.proquest.com/lib/NKNU/detail.action?docID=1962201</t>
  </si>
  <si>
    <t>https://ebookcentral.proquest.com/lib/NKNU/detail.action?docID=1962222</t>
  </si>
  <si>
    <t>https://ebookcentral.proquest.com/lib/NKNU/detail.action?docID=1962257</t>
  </si>
  <si>
    <t>https://ebookcentral.proquest.com/lib/NKNU/detail.action?docID=1962265</t>
  </si>
  <si>
    <t>https://ebookcentral.proquest.com/lib/NKNU/detail.action?docID=1962285</t>
  </si>
  <si>
    <t>https://ebookcentral.proquest.com/lib/NKNU/detail.action?docID=1962305</t>
  </si>
  <si>
    <t>https://ebookcentral.proquest.com/lib/NKNU/detail.action?docID=1962331</t>
  </si>
  <si>
    <t>https://ebookcentral.proquest.com/lib/NKNU/detail.action?docID=1962334</t>
  </si>
  <si>
    <t>https://ebookcentral.proquest.com/lib/NKNU/detail.action?docID=1968914</t>
  </si>
  <si>
    <t>https://ebookcentral.proquest.com/lib/NKNU/detail.action?docID=1974428</t>
  </si>
  <si>
    <t>https://ebookcentral.proquest.com/lib/NKNU/detail.action?docID=1981159</t>
  </si>
  <si>
    <t>https://ebookcentral.proquest.com/lib/NKNU/detail.action?docID=1987299</t>
  </si>
  <si>
    <t>https://ebookcentral.proquest.com/lib/NKNU/detail.action?docID=1987300</t>
  </si>
  <si>
    <t>https://ebookcentral.proquest.com/lib/NKNU/detail.action?docID=1987312</t>
  </si>
  <si>
    <t>https://ebookcentral.proquest.com/lib/NKNU/detail.action?docID=1987313</t>
  </si>
  <si>
    <t>https://ebookcentral.proquest.com/lib/NKNU/detail.action?docID=2010065</t>
  </si>
  <si>
    <t>https://ebookcentral.proquest.com/lib/NKNU/detail.action?docID=2010074</t>
  </si>
  <si>
    <t>https://ebookcentral.proquest.com/lib/NKNU/detail.action?docID=2010083</t>
  </si>
  <si>
    <t>https://ebookcentral.proquest.com/lib/NKNU/detail.action?docID=2010089</t>
  </si>
  <si>
    <t>https://ebookcentral.proquest.com/lib/NKNU/detail.action?docID=2010097</t>
  </si>
  <si>
    <t>https://ebookcentral.proquest.com/lib/NKNU/detail.action?docID=2010119</t>
  </si>
  <si>
    <t>https://ebookcentral.proquest.com/lib/NKNU/detail.action?docID=2010128</t>
  </si>
  <si>
    <t>https://ebookcentral.proquest.com/lib/NKNU/detail.action?docID=2010135</t>
  </si>
  <si>
    <t>https://ebookcentral.proquest.com/lib/NKNU/detail.action?docID=2010139</t>
  </si>
  <si>
    <t>https://ebookcentral.proquest.com/lib/NKNU/detail.action?docID=2010149</t>
  </si>
  <si>
    <t>https://ebookcentral.proquest.com/lib/NKNU/detail.action?docID=2010162</t>
  </si>
  <si>
    <t>https://ebookcentral.proquest.com/lib/NKNU/detail.action?docID=2010168</t>
  </si>
  <si>
    <t>https://ebookcentral.proquest.com/lib/NKNU/detail.action?docID=2010186</t>
  </si>
  <si>
    <t>https://ebookcentral.proquest.com/lib/NKNU/detail.action?docID=2010195</t>
  </si>
  <si>
    <t>https://ebookcentral.proquest.com/lib/NKNU/detail.action?docID=2010196</t>
  </si>
  <si>
    <t>https://ebookcentral.proquest.com/lib/NKNU/detail.action?docID=2010202</t>
  </si>
  <si>
    <t>https://ebookcentral.proquest.com/lib/NKNU/detail.action?docID=2010204</t>
  </si>
  <si>
    <t>https://ebookcentral.proquest.com/lib/NKNU/detail.action?docID=2010256</t>
  </si>
  <si>
    <t>https://ebookcentral.proquest.com/lib/NKNU/detail.action?docID=2010263</t>
  </si>
  <si>
    <t>https://ebookcentral.proquest.com/lib/NKNU/detail.action?docID=2010284</t>
  </si>
  <si>
    <t>https://ebookcentral.proquest.com/lib/NKNU/detail.action?docID=2010288</t>
  </si>
  <si>
    <t>https://ebookcentral.proquest.com/lib/NKNU/detail.action?docID=2010315</t>
  </si>
  <si>
    <t>https://ebookcentral.proquest.com/lib/NKNU/detail.action?docID=2010355</t>
  </si>
  <si>
    <t>https://ebookcentral.proquest.com/lib/NKNU/detail.action?docID=2010357</t>
  </si>
  <si>
    <t>https://ebookcentral.proquest.com/lib/NKNU/detail.action?docID=2010367</t>
  </si>
  <si>
    <t>https://ebookcentral.proquest.com/lib/NKNU/detail.action?docID=2010368</t>
  </si>
  <si>
    <t>https://ebookcentral.proquest.com/lib/NKNU/detail.action?docID=2010385</t>
  </si>
  <si>
    <t>https://ebookcentral.proquest.com/lib/NKNU/detail.action?docID=2010395</t>
  </si>
  <si>
    <t>https://ebookcentral.proquest.com/lib/NKNU/detail.action?docID=2010419</t>
  </si>
  <si>
    <t>https://ebookcentral.proquest.com/lib/NKNU/detail.action?docID=2010420</t>
  </si>
  <si>
    <t>https://ebookcentral.proquest.com/lib/NKNU/detail.action?docID=2010421</t>
  </si>
  <si>
    <t>https://ebookcentral.proquest.com/lib/NKNU/detail.action?docID=2010470</t>
  </si>
  <si>
    <t>https://ebookcentral.proquest.com/lib/NKNU/detail.action?docID=2010472</t>
  </si>
  <si>
    <t>https://ebookcentral.proquest.com/lib/NKNU/detail.action?docID=2010475</t>
  </si>
  <si>
    <t>https://ebookcentral.proquest.com/lib/NKNU/detail.action?docID=2048835</t>
  </si>
  <si>
    <t>https://ebookcentral.proquest.com/lib/NKNU/detail.action?docID=2051477</t>
  </si>
  <si>
    <t>https://ebookcentral.proquest.com/lib/NKNU/detail.action?docID=2051836</t>
  </si>
  <si>
    <t>https://ebookcentral.proquest.com/lib/NKNU/detail.action?docID=2051883</t>
  </si>
  <si>
    <t>https://ebookcentral.proquest.com/lib/NKNU/detail.action?docID=2068841</t>
  </si>
  <si>
    <t>https://ebookcentral.proquest.com/lib/NKNU/detail.action?docID=2075374</t>
  </si>
  <si>
    <t>https://ebookcentral.proquest.com/lib/NKNU/detail.action?docID=2081658</t>
  </si>
  <si>
    <t>https://ebookcentral.proquest.com/lib/NKNU/detail.action?docID=2081748</t>
  </si>
  <si>
    <t>https://ebookcentral.proquest.com/lib/NKNU/detail.action?docID=2082688</t>
  </si>
  <si>
    <t>https://ebookcentral.proquest.com/lib/NKNU/detail.action?docID=2097896</t>
  </si>
  <si>
    <t>https://ebookcentral.proquest.com/lib/NKNU/detail.action?docID=2097910</t>
  </si>
  <si>
    <t>https://ebookcentral.proquest.com/lib/NKNU/detail.action?docID=2097911</t>
  </si>
  <si>
    <t>https://ebookcentral.proquest.com/lib/NKNU/detail.action?docID=2122360</t>
  </si>
  <si>
    <t>https://ebookcentral.proquest.com/lib/NKNU/detail.action?docID=2122776</t>
  </si>
  <si>
    <t>https://ebookcentral.proquest.com/lib/NKNU/detail.action?docID=2125433</t>
  </si>
  <si>
    <t>https://ebookcentral.proquest.com/lib/NKNU/detail.action?docID=2125458</t>
  </si>
  <si>
    <t>https://ebookcentral.proquest.com/lib/NKNU/detail.action?docID=2126777</t>
  </si>
  <si>
    <t>https://ebookcentral.proquest.com/lib/NKNU/detail.action?docID=2126784</t>
  </si>
  <si>
    <t>https://ebookcentral.proquest.com/lib/NKNU/detail.action?docID=2126792</t>
  </si>
  <si>
    <t>https://ebookcentral.proquest.com/lib/NKNU/detail.action?docID=2126811</t>
  </si>
  <si>
    <t>https://ebookcentral.proquest.com/lib/NKNU/detail.action?docID=2126837</t>
  </si>
  <si>
    <t>https://ebookcentral.proquest.com/lib/NKNU/detail.action?docID=2126871</t>
  </si>
  <si>
    <t>https://ebookcentral.proquest.com/lib/NKNU/detail.action?docID=2126880</t>
  </si>
  <si>
    <t>https://ebookcentral.proquest.com/lib/NKNU/detail.action?docID=2166341</t>
  </si>
  <si>
    <t>https://ebookcentral.proquest.com/lib/NKNU/detail.action?docID=2166641</t>
  </si>
  <si>
    <t>https://ebookcentral.proquest.com/lib/NKNU/detail.action?docID=2166643</t>
  </si>
  <si>
    <t>https://ebookcentral.proquest.com/lib/NKNU/detail.action?docID=2166648</t>
  </si>
  <si>
    <t>https://ebookcentral.proquest.com/lib/NKNU/detail.action?docID=2166654</t>
  </si>
  <si>
    <t>https://ebookcentral.proquest.com/lib/NKNU/detail.action?docID=2166657</t>
  </si>
  <si>
    <t>https://ebookcentral.proquest.com/lib/NKNU/detail.action?docID=2166664</t>
  </si>
  <si>
    <t>https://ebookcentral.proquest.com/lib/NKNU/detail.action?docID=2166669</t>
  </si>
  <si>
    <t>https://ebookcentral.proquest.com/lib/NKNU/detail.action?docID=2166673</t>
  </si>
  <si>
    <t>https://ebookcentral.proquest.com/lib/NKNU/detail.action?docID=2166674</t>
  </si>
  <si>
    <t>https://ebookcentral.proquest.com/lib/NKNU/detail.action?docID=2166675</t>
  </si>
  <si>
    <t>https://ebookcentral.proquest.com/lib/NKNU/detail.action?docID=2194905</t>
  </si>
  <si>
    <t>https://ebookcentral.proquest.com/lib/NKNU/detail.action?docID=2194949</t>
  </si>
  <si>
    <t>https://ebookcentral.proquest.com/lib/NKNU/detail.action?docID=3000506</t>
  </si>
  <si>
    <t>https://ebookcentral.proquest.com/lib/NKNU/detail.action?docID=3000725</t>
  </si>
  <si>
    <t>https://ebookcentral.proquest.com/lib/NKNU/detail.action?docID=3000874</t>
  </si>
  <si>
    <t>https://ebookcentral.proquest.com/lib/NKNU/detail.action?docID=3000941</t>
  </si>
  <si>
    <t>https://ebookcentral.proquest.com/lib/NKNU/detail.action?docID=3000957</t>
  </si>
  <si>
    <t>https://ebookcentral.proquest.com/lib/NKNU/detail.action?docID=3000995</t>
  </si>
  <si>
    <t>https://ebookcentral.proquest.com/lib/NKNU/detail.action?docID=3001041</t>
  </si>
  <si>
    <t>https://ebookcentral.proquest.com/lib/NKNU/detail.action?docID=3001056</t>
  </si>
  <si>
    <t>https://ebookcentral.proquest.com/lib/NKNU/detail.action?docID=3001057</t>
  </si>
  <si>
    <t>https://ebookcentral.proquest.com/lib/NKNU/detail.action?docID=3001063</t>
  </si>
  <si>
    <t>https://ebookcentral.proquest.com/lib/NKNU/detail.action?docID=3001098</t>
  </si>
  <si>
    <t>https://ebookcentral.proquest.com/lib/NKNU/detail.action?docID=3001103</t>
  </si>
  <si>
    <t>https://ebookcentral.proquest.com/lib/NKNU/detail.action?docID=3001113</t>
  </si>
  <si>
    <t>https://ebookcentral.proquest.com/lib/NKNU/detail.action?docID=3001126</t>
  </si>
  <si>
    <t>https://ebookcentral.proquest.com/lib/NKNU/detail.action?docID=3001149</t>
  </si>
  <si>
    <t>https://ebookcentral.proquest.com/lib/NKNU/detail.action?docID=3001169</t>
  </si>
  <si>
    <t>https://ebookcentral.proquest.com/lib/NKNU/detail.action?docID=3001174</t>
  </si>
  <si>
    <t>https://ebookcentral.proquest.com/lib/NKNU/detail.action?docID=3001175</t>
  </si>
  <si>
    <t>https://ebookcentral.proquest.com/lib/NKNU/detail.action?docID=3001190</t>
  </si>
  <si>
    <t>https://ebookcentral.proquest.com/lib/NKNU/detail.action?docID=3001194</t>
  </si>
  <si>
    <t>https://ebookcentral.proquest.com/lib/NKNU/detail.action?docID=3001196</t>
  </si>
  <si>
    <t>https://ebookcentral.proquest.com/lib/NKNU/detail.action?docID=3001326</t>
  </si>
  <si>
    <t>https://ebookcentral.proquest.com/lib/NKNU/detail.action?docID=3001333</t>
  </si>
  <si>
    <t>https://ebookcentral.proquest.com/lib/NKNU/detail.action?docID=3001473</t>
  </si>
  <si>
    <t>https://ebookcentral.proquest.com/lib/NKNU/detail.action?docID=3001563</t>
  </si>
  <si>
    <t>https://ebookcentral.proquest.com/lib/NKNU/detail.action?docID=3001581</t>
  </si>
  <si>
    <t>https://ebookcentral.proquest.com/lib/NKNU/detail.action?docID=3001599</t>
  </si>
  <si>
    <t>https://ebookcentral.proquest.com/lib/NKNU/detail.action?docID=3001602</t>
  </si>
  <si>
    <t>https://ebookcentral.proquest.com/lib/NKNU/detail.action?docID=3001611</t>
  </si>
  <si>
    <t>https://ebookcentral.proquest.com/lib/NKNU/detail.action?docID=3001615</t>
  </si>
  <si>
    <t>https://ebookcentral.proquest.com/lib/NKNU/detail.action?docID=3001618</t>
  </si>
  <si>
    <t>https://ebookcentral.proquest.com/lib/NKNU/detail.action?docID=3001627</t>
  </si>
  <si>
    <t>https://ebookcentral.proquest.com/lib/NKNU/detail.action?docID=3001635</t>
  </si>
  <si>
    <t>https://ebookcentral.proquest.com/lib/NKNU/detail.action?docID=3001636</t>
  </si>
  <si>
    <t>https://ebookcentral.proquest.com/lib/NKNU/detail.action?docID=3001641</t>
  </si>
  <si>
    <t>https://ebookcentral.proquest.com/lib/NKNU/detail.action?docID=3001649</t>
  </si>
  <si>
    <t>https://ebookcentral.proquest.com/lib/NKNU/detail.action?docID=3001672</t>
  </si>
  <si>
    <t>https://ebookcentral.proquest.com/lib/NKNU/detail.action?docID=3001736</t>
  </si>
  <si>
    <t>https://ebookcentral.proquest.com/lib/NKNU/detail.action?docID=3001749</t>
  </si>
  <si>
    <t>https://ebookcentral.proquest.com/lib/NKNU/detail.action?docID=3001750</t>
  </si>
  <si>
    <t>https://ebookcentral.proquest.com/lib/NKNU/detail.action?docID=3001767</t>
  </si>
  <si>
    <t>https://ebookcentral.proquest.com/lib/NKNU/detail.action?docID=3001770</t>
  </si>
  <si>
    <t>https://ebookcentral.proquest.com/lib/NKNU/detail.action?docID=3001771</t>
  </si>
  <si>
    <t>https://ebookcentral.proquest.com/lib/NKNU/detail.action?docID=3001779</t>
  </si>
  <si>
    <t>https://ebookcentral.proquest.com/lib/NKNU/detail.action?docID=3001791</t>
  </si>
  <si>
    <t>https://ebookcentral.proquest.com/lib/NKNU/detail.action?docID=3001809</t>
  </si>
  <si>
    <t>https://ebookcentral.proquest.com/lib/NKNU/detail.action?docID=3001814</t>
  </si>
  <si>
    <t>https://ebookcentral.proquest.com/lib/NKNU/detail.action?docID=3001816</t>
  </si>
  <si>
    <t>https://ebookcentral.proquest.com/lib/NKNU/detail.action?docID=3001818</t>
  </si>
  <si>
    <t>https://ebookcentral.proquest.com/lib/NKNU/detail.action?docID=3001820</t>
  </si>
  <si>
    <t>https://ebookcentral.proquest.com/lib/NKNU/detail.action?docID=3001823</t>
  </si>
  <si>
    <t>https://ebookcentral.proquest.com/lib/NKNU/detail.action?docID=3001824</t>
  </si>
  <si>
    <t>https://ebookcentral.proquest.com/lib/NKNU/detail.action?docID=3001825</t>
  </si>
  <si>
    <t>https://ebookcentral.proquest.com/lib/NKNU/detail.action?docID=3001826</t>
  </si>
  <si>
    <t>https://ebookcentral.proquest.com/lib/NKNU/detail.action?docID=3001827</t>
  </si>
  <si>
    <t>https://ebookcentral.proquest.com/lib/NKNU/detail.action?docID=3001828</t>
  </si>
  <si>
    <t>https://ebookcentral.proquest.com/lib/NKNU/detail.action?docID=3001829</t>
  </si>
  <si>
    <t>https://ebookcentral.proquest.com/lib/NKNU/detail.action?docID=3001830</t>
  </si>
  <si>
    <t>https://ebookcentral.proquest.com/lib/NKNU/detail.action?docID=3001831</t>
  </si>
  <si>
    <t>https://ebookcentral.proquest.com/lib/NKNU/detail.action?docID=3001832</t>
  </si>
  <si>
    <t>https://ebookcentral.proquest.com/lib/NKNU/detail.action?docID=3001834</t>
  </si>
  <si>
    <t>https://ebookcentral.proquest.com/lib/NKNU/detail.action?docID=3001835</t>
  </si>
  <si>
    <t>https://ebookcentral.proquest.com/lib/NKNU/detail.action?docID=3001836</t>
  </si>
  <si>
    <t>https://ebookcentral.proquest.com/lib/NKNU/detail.action?docID=3001838</t>
  </si>
  <si>
    <t>https://ebookcentral.proquest.com/lib/NKNU/detail.action?docID=3001839</t>
  </si>
  <si>
    <t>https://ebookcentral.proquest.com/lib/NKNU/detail.action?docID=3001840</t>
  </si>
  <si>
    <t>https://ebookcentral.proquest.com/lib/NKNU/detail.action?docID=3001841</t>
  </si>
  <si>
    <t>https://ebookcentral.proquest.com/lib/NKNU/detail.action?docID=3001843</t>
  </si>
  <si>
    <t>https://ebookcentral.proquest.com/lib/NKNU/detail.action?docID=3001845</t>
  </si>
  <si>
    <t>https://ebookcentral.proquest.com/lib/NKNU/detail.action?docID=3001846</t>
  </si>
  <si>
    <t>https://ebookcentral.proquest.com/lib/NKNU/detail.action?docID=3001848</t>
  </si>
  <si>
    <t>https://ebookcentral.proquest.com/lib/NKNU/detail.action?docID=3001850</t>
  </si>
  <si>
    <t>https://ebookcentral.proquest.com/lib/NKNU/detail.action?docID=3001852</t>
  </si>
  <si>
    <t>https://ebookcentral.proquest.com/lib/NKNU/detail.action?docID=3001853</t>
  </si>
  <si>
    <t>https://ebookcentral.proquest.com/lib/NKNU/detail.action?docID=3001854</t>
  </si>
  <si>
    <t>https://ebookcentral.proquest.com/lib/NKNU/detail.action?docID=3001856</t>
  </si>
  <si>
    <t>https://ebookcentral.proquest.com/lib/NKNU/detail.action?docID=3001857</t>
  </si>
  <si>
    <t>https://ebookcentral.proquest.com/lib/NKNU/detail.action?docID=3001860</t>
  </si>
  <si>
    <t>https://ebookcentral.proquest.com/lib/NKNU/detail.action?docID=3001862</t>
  </si>
  <si>
    <t>https://ebookcentral.proquest.com/lib/NKNU/detail.action?docID=3001863</t>
  </si>
  <si>
    <t>https://ebookcentral.proquest.com/lib/NKNU/detail.action?docID=3001864</t>
  </si>
  <si>
    <t>https://ebookcentral.proquest.com/lib/NKNU/detail.action?docID=3001865</t>
  </si>
  <si>
    <t>https://ebookcentral.proquest.com/lib/NKNU/detail.action?docID=3001866</t>
  </si>
  <si>
    <t>https://ebookcentral.proquest.com/lib/NKNU/detail.action?docID=3001867</t>
  </si>
  <si>
    <t>https://ebookcentral.proquest.com/lib/NKNU/detail.action?docID=3001868</t>
  </si>
  <si>
    <t>https://ebookcentral.proquest.com/lib/NKNU/detail.action?docID=3001869</t>
  </si>
  <si>
    <t>https://ebookcentral.proquest.com/lib/NKNU/detail.action?docID=3001870</t>
  </si>
  <si>
    <t>https://ebookcentral.proquest.com/lib/NKNU/detail.action?docID=3001871</t>
  </si>
  <si>
    <t>https://ebookcentral.proquest.com/lib/NKNU/detail.action?docID=3001872</t>
  </si>
  <si>
    <t>https://ebookcentral.proquest.com/lib/NKNU/detail.action?docID=3001873</t>
  </si>
  <si>
    <t>https://ebookcentral.proquest.com/lib/NKNU/detail.action?docID=3001874</t>
  </si>
  <si>
    <t>https://ebookcentral.proquest.com/lib/NKNU/detail.action?docID=3001876</t>
  </si>
  <si>
    <t>https://ebookcentral.proquest.com/lib/NKNU/detail.action?docID=3001878</t>
  </si>
  <si>
    <t>https://ebookcentral.proquest.com/lib/NKNU/detail.action?docID=3001882</t>
  </si>
  <si>
    <t>https://ebookcentral.proquest.com/lib/NKNU/detail.action?docID=3001883</t>
  </si>
  <si>
    <t>https://ebookcentral.proquest.com/lib/NKNU/detail.action?docID=3001884</t>
  </si>
  <si>
    <t>https://ebookcentral.proquest.com/lib/NKNU/detail.action?docID=3001984</t>
  </si>
  <si>
    <t>https://ebookcentral.proquest.com/lib/NKNU/detail.action?docID=3002085</t>
  </si>
  <si>
    <t>https://ebookcentral.proquest.com/lib/NKNU/detail.action?docID=3002096</t>
  </si>
  <si>
    <t>https://ebookcentral.proquest.com/lib/NKNU/detail.action?docID=3002107</t>
  </si>
  <si>
    <t>https://ebookcentral.proquest.com/lib/NKNU/detail.action?docID=3002120</t>
  </si>
  <si>
    <t>https://ebookcentral.proquest.com/lib/NKNU/detail.action?docID=3002130</t>
  </si>
  <si>
    <t>https://ebookcentral.proquest.com/lib/NKNU/detail.action?docID=3002132</t>
  </si>
  <si>
    <t>https://ebookcentral.proquest.com/lib/NKNU/detail.action?docID=3002146</t>
  </si>
  <si>
    <t>https://ebookcentral.proquest.com/lib/NKNU/detail.action?docID=3002149</t>
  </si>
  <si>
    <t>https://ebookcentral.proquest.com/lib/NKNU/detail.action?docID=3002158</t>
  </si>
  <si>
    <t>https://ebookcentral.proquest.com/lib/NKNU/detail.action?docID=3002160</t>
  </si>
  <si>
    <t>https://ebookcentral.proquest.com/lib/NKNU/detail.action?docID=3002164</t>
  </si>
  <si>
    <t>https://ebookcentral.proquest.com/lib/NKNU/detail.action?docID=3002167</t>
  </si>
  <si>
    <t>https://ebookcentral.proquest.com/lib/NKNU/detail.action?docID=3002171</t>
  </si>
  <si>
    <t>https://ebookcentral.proquest.com/lib/NKNU/detail.action?docID=3002175</t>
  </si>
  <si>
    <t>https://ebookcentral.proquest.com/lib/NKNU/detail.action?docID=3002490</t>
  </si>
  <si>
    <t>https://ebookcentral.proquest.com/lib/NKNU/detail.action?docID=3002493</t>
  </si>
  <si>
    <t>https://ebookcentral.proquest.com/lib/NKNU/detail.action?docID=3002494</t>
  </si>
  <si>
    <t>https://ebookcentral.proquest.com/lib/NKNU/detail.action?docID=3002809</t>
  </si>
  <si>
    <t>https://ebookcentral.proquest.com/lib/NKNU/detail.action?docID=3002825</t>
  </si>
  <si>
    <t>https://ebookcentral.proquest.com/lib/NKNU/detail.action?docID=3002826</t>
  </si>
  <si>
    <t>https://ebookcentral.proquest.com/lib/NKNU/detail.action?docID=3002957</t>
  </si>
  <si>
    <t>https://ebookcentral.proquest.com/lib/NKNU/detail.action?docID=3003608</t>
  </si>
  <si>
    <t>https://ebookcentral.proquest.com/lib/NKNU/detail.action?docID=3003675</t>
  </si>
  <si>
    <t>https://ebookcentral.proquest.com/lib/NKNU/detail.action?docID=3003689</t>
  </si>
  <si>
    <t>https://ebookcentral.proquest.com/lib/NKNU/detail.action?docID=3003694</t>
  </si>
  <si>
    <t>https://ebookcentral.proquest.com/lib/NKNU/detail.action?docID=3003699</t>
  </si>
  <si>
    <t>https://ebookcentral.proquest.com/lib/NKNU/detail.action?docID=3003701</t>
  </si>
  <si>
    <t>https://ebookcentral.proquest.com/lib/NKNU/detail.action?docID=3003706</t>
  </si>
  <si>
    <t>https://ebookcentral.proquest.com/lib/NKNU/detail.action?docID=3003708</t>
  </si>
  <si>
    <t>https://ebookcentral.proquest.com/lib/NKNU/detail.action?docID=3003711</t>
  </si>
  <si>
    <t>https://ebookcentral.proquest.com/lib/NKNU/detail.action?docID=3003908</t>
  </si>
  <si>
    <t>https://ebookcentral.proquest.com/lib/NKNU/detail.action?docID=3003915</t>
  </si>
  <si>
    <t>https://ebookcentral.proquest.com/lib/NKNU/detail.action?docID=3003917</t>
  </si>
  <si>
    <t>https://ebookcentral.proquest.com/lib/NKNU/detail.action?docID=3003921</t>
  </si>
  <si>
    <t>https://ebookcentral.proquest.com/lib/NKNU/detail.action?docID=3003929</t>
  </si>
  <si>
    <t>https://ebookcentral.proquest.com/lib/NKNU/detail.action?docID=3003937</t>
  </si>
  <si>
    <t>https://ebookcentral.proquest.com/lib/NKNU/detail.action?docID=3003940</t>
  </si>
  <si>
    <t>https://ebookcentral.proquest.com/lib/NKNU/detail.action?docID=3003946</t>
  </si>
  <si>
    <t>https://ebookcentral.proquest.com/lib/NKNU/detail.action?docID=3003952</t>
  </si>
  <si>
    <t>https://ebookcentral.proquest.com/lib/NKNU/detail.action?docID=3003957</t>
  </si>
  <si>
    <t>https://ebookcentral.proquest.com/lib/NKNU/detail.action?docID=3003961</t>
  </si>
  <si>
    <t>https://ebookcentral.proquest.com/lib/NKNU/detail.action?docID=3003970</t>
  </si>
  <si>
    <t>https://ebookcentral.proquest.com/lib/NKNU/detail.action?docID=3003972</t>
  </si>
  <si>
    <t>https://ebookcentral.proquest.com/lib/NKNU/detail.action?docID=3003974</t>
  </si>
  <si>
    <t>https://ebookcentral.proquest.com/lib/NKNU/detail.action?docID=3003977</t>
  </si>
  <si>
    <t>https://ebookcentral.proquest.com/lib/NKNU/detail.action?docID=3003983</t>
  </si>
  <si>
    <t>https://ebookcentral.proquest.com/lib/NKNU/detail.action?docID=3003985</t>
  </si>
  <si>
    <t>https://ebookcentral.proquest.com/lib/NKNU/detail.action?docID=3003993</t>
  </si>
  <si>
    <t>https://ebookcentral.proquest.com/lib/NKNU/detail.action?docID=3003998</t>
  </si>
  <si>
    <t>https://ebookcentral.proquest.com/lib/NKNU/detail.action?docID=3004006</t>
  </si>
  <si>
    <t>https://ebookcentral.proquest.com/lib/NKNU/detail.action?docID=3004015</t>
  </si>
  <si>
    <t>https://ebookcentral.proquest.com/lib/NKNU/detail.action?docID=3004016</t>
  </si>
  <si>
    <t>https://ebookcentral.proquest.com/lib/NKNU/detail.action?docID=3004217</t>
  </si>
  <si>
    <t>https://ebookcentral.proquest.com/lib/NKNU/detail.action?docID=3004306</t>
  </si>
  <si>
    <t>https://ebookcentral.proquest.com/lib/NKNU/detail.action?docID=3004347</t>
  </si>
  <si>
    <t>https://ebookcentral.proquest.com/lib/NKNU/detail.action?docID=3004460</t>
  </si>
  <si>
    <t>https://ebookcentral.proquest.com/lib/NKNU/detail.action?docID=3004550</t>
  </si>
  <si>
    <t>https://ebookcentral.proquest.com/lib/NKNU/detail.action?docID=3004560</t>
  </si>
  <si>
    <t>https://ebookcentral.proquest.com/lib/NKNU/detail.action?docID=3004567</t>
  </si>
  <si>
    <t>https://ebookcentral.proquest.com/lib/NKNU/detail.action?docID=3007550</t>
  </si>
  <si>
    <t>https://ebookcentral.proquest.com/lib/NKNU/detail.action?docID=3007554</t>
  </si>
  <si>
    <t>https://ebookcentral.proquest.com/lib/NKNU/detail.action?docID=3007576</t>
  </si>
  <si>
    <t>https://ebookcentral.proquest.com/lib/NKNU/detail.action?docID=3007578</t>
  </si>
  <si>
    <t>https://ebookcentral.proquest.com/lib/NKNU/detail.action?docID=3007580</t>
  </si>
  <si>
    <t>https://ebookcentral.proquest.com/lib/NKNU/detail.action?docID=3007584</t>
  </si>
  <si>
    <t>https://ebookcentral.proquest.com/lib/NKNU/detail.action?docID=3007589</t>
  </si>
  <si>
    <t>https://ebookcentral.proquest.com/lib/NKNU/detail.action?docID=3007591</t>
  </si>
  <si>
    <t>https://ebookcentral.proquest.com/lib/NKNU/detail.action?docID=3007616</t>
  </si>
  <si>
    <t>https://ebookcentral.proquest.com/lib/NKNU/detail.action?docID=3007618</t>
  </si>
  <si>
    <t>https://ebookcentral.proquest.com/lib/NKNU/detail.action?docID=3007620</t>
  </si>
  <si>
    <t>https://ebookcentral.proquest.com/lib/NKNU/detail.action?docID=3007629</t>
  </si>
  <si>
    <t>https://ebookcentral.proquest.com/lib/NKNU/detail.action?docID=3007630</t>
  </si>
  <si>
    <t>https://ebookcentral.proquest.com/lib/NKNU/detail.action?docID=3007636</t>
  </si>
  <si>
    <t>https://ebookcentral.proquest.com/lib/NKNU/detail.action?docID=3007697</t>
  </si>
  <si>
    <t>https://ebookcentral.proquest.com/lib/NKNU/detail.action?docID=3007700</t>
  </si>
  <si>
    <t>https://ebookcentral.proquest.com/lib/NKNU/detail.action?docID=3007720</t>
  </si>
  <si>
    <t>https://ebookcentral.proquest.com/lib/NKNU/detail.action?docID=3007723</t>
  </si>
  <si>
    <t>https://ebookcentral.proquest.com/lib/NKNU/detail.action?docID=3007726</t>
  </si>
  <si>
    <t>https://ebookcentral.proquest.com/lib/NKNU/detail.action?docID=3007727</t>
  </si>
  <si>
    <t>https://ebookcentral.proquest.com/lib/NKNU/detail.action?docID=3008282</t>
  </si>
  <si>
    <t>https://ebookcentral.proquest.com/lib/NKNU/detail.action?docID=3008288</t>
  </si>
  <si>
    <t>https://ebookcentral.proquest.com/lib/NKNU/detail.action?docID=3008439</t>
  </si>
  <si>
    <t>https://ebookcentral.proquest.com/lib/NKNU/detail.action?docID=3008500</t>
  </si>
  <si>
    <t>https://ebookcentral.proquest.com/lib/NKNU/detail.action?docID=3009170</t>
  </si>
  <si>
    <t>https://ebookcentral.proquest.com/lib/NKNU/detail.action?docID=3009570</t>
  </si>
  <si>
    <t>https://ebookcentral.proquest.com/lib/NKNU/detail.action?docID=3009577</t>
  </si>
  <si>
    <t>https://ebookcentral.proquest.com/lib/NKNU/detail.action?docID=3009604</t>
  </si>
  <si>
    <t>https://ebookcentral.proquest.com/lib/NKNU/detail.action?docID=3009703</t>
  </si>
  <si>
    <t>https://ebookcentral.proquest.com/lib/NKNU/detail.action?docID=3009705</t>
  </si>
  <si>
    <t>https://ebookcentral.proquest.com/lib/NKNU/detail.action?docID=3009707</t>
  </si>
  <si>
    <t>https://ebookcentral.proquest.com/lib/NKNU/detail.action?docID=3009718</t>
  </si>
  <si>
    <t>https://ebookcentral.proquest.com/lib/NKNU/detail.action?docID=3009766</t>
  </si>
  <si>
    <t>https://ebookcentral.proquest.com/lib/NKNU/detail.action?docID=3009901</t>
  </si>
  <si>
    <t>https://ebookcentral.proquest.com/lib/NKNU/detail.action?docID=3009915</t>
  </si>
  <si>
    <t>https://ebookcentral.proquest.com/lib/NKNU/detail.action?docID=3009973</t>
  </si>
  <si>
    <t>https://ebookcentral.proquest.com/lib/NKNU/detail.action?docID=3009991</t>
  </si>
  <si>
    <t>https://ebookcentral.proquest.com/lib/NKNU/detail.action?docID=3010000</t>
  </si>
  <si>
    <t>https://ebookcentral.proquest.com/lib/NKNU/detail.action?docID=3010021</t>
  </si>
  <si>
    <t>https://ebookcentral.proquest.com/lib/NKNU/detail.action?docID=3010039</t>
  </si>
  <si>
    <t>https://ebookcentral.proquest.com/lib/NKNU/detail.action?docID=3010074</t>
  </si>
  <si>
    <t>https://ebookcentral.proquest.com/lib/NKNU/detail.action?docID=3010097</t>
  </si>
  <si>
    <t>https://ebookcentral.proquest.com/lib/NKNU/detail.action?docID=3010196</t>
  </si>
  <si>
    <t>https://ebookcentral.proquest.com/lib/NKNU/detail.action?docID=3010200</t>
  </si>
  <si>
    <t>https://ebookcentral.proquest.com/lib/NKNU/detail.action?docID=3010238</t>
  </si>
  <si>
    <t>https://ebookcentral.proquest.com/lib/NKNU/detail.action?docID=3010243</t>
  </si>
  <si>
    <t>https://ebookcentral.proquest.com/lib/NKNU/detail.action?docID=3010267</t>
  </si>
  <si>
    <t>https://ebookcentral.proquest.com/lib/NKNU/detail.action?docID=3010313</t>
  </si>
  <si>
    <t>https://ebookcentral.proquest.com/lib/NKNU/detail.action?docID=3010334</t>
  </si>
  <si>
    <t>https://ebookcentral.proquest.com/lib/NKNU/detail.action?docID=3010355</t>
  </si>
  <si>
    <t>https://ebookcentral.proquest.com/lib/NKNU/detail.action?docID=3010356</t>
  </si>
  <si>
    <t>https://ebookcentral.proquest.com/lib/NKNU/detail.action?docID=3010376</t>
  </si>
  <si>
    <t>https://ebookcentral.proquest.com/lib/NKNU/detail.action?docID=3010381</t>
  </si>
  <si>
    <t>https://ebookcentral.proquest.com/lib/NKNU/detail.action?docID=3010389</t>
  </si>
  <si>
    <t>https://ebookcentral.proquest.com/lib/NKNU/detail.action?docID=3010396</t>
  </si>
  <si>
    <t>https://ebookcentral.proquest.com/lib/NKNU/detail.action?docID=3010397</t>
  </si>
  <si>
    <t>https://ebookcentral.proquest.com/lib/NKNU/detail.action?docID=3010407</t>
  </si>
  <si>
    <t>https://ebookcentral.proquest.com/lib/NKNU/detail.action?docID=3010429</t>
  </si>
  <si>
    <t>https://ebookcentral.proquest.com/lib/NKNU/detail.action?docID=3010430</t>
  </si>
  <si>
    <t>https://ebookcentral.proquest.com/lib/NKNU/detail.action?docID=3010446</t>
  </si>
  <si>
    <t>https://ebookcentral.proquest.com/lib/NKNU/detail.action?docID=3010462</t>
  </si>
  <si>
    <t>https://ebookcentral.proquest.com/lib/NKNU/detail.action?docID=3010481</t>
  </si>
  <si>
    <t>https://ebookcentral.proquest.com/lib/NKNU/detail.action?docID=3010482</t>
  </si>
  <si>
    <t>https://ebookcentral.proquest.com/lib/NKNU/detail.action?docID=3010522</t>
  </si>
  <si>
    <t>https://ebookcentral.proquest.com/lib/NKNU/detail.action?docID=3010530</t>
  </si>
  <si>
    <t>https://ebookcentral.proquest.com/lib/NKNU/detail.action?docID=3010537</t>
  </si>
  <si>
    <t>https://ebookcentral.proquest.com/lib/NKNU/detail.action?docID=3010546</t>
  </si>
  <si>
    <t>https://ebookcentral.proquest.com/lib/NKNU/detail.action?docID=3010551</t>
  </si>
  <si>
    <t>https://ebookcentral.proquest.com/lib/NKNU/detail.action?docID=3010570</t>
  </si>
  <si>
    <t>https://ebookcentral.proquest.com/lib/NKNU/detail.action?docID=3010664</t>
  </si>
  <si>
    <t>https://ebookcentral.proquest.com/lib/NKNU/detail.action?docID=3010685</t>
  </si>
  <si>
    <t>https://ebookcentral.proquest.com/lib/NKNU/detail.action?docID=3010950</t>
  </si>
  <si>
    <t>https://ebookcentral.proquest.com/lib/NKNU/detail.action?docID=3010952</t>
  </si>
  <si>
    <t>https://ebookcentral.proquest.com/lib/NKNU/detail.action?docID=3010954</t>
  </si>
  <si>
    <t>https://ebookcentral.proquest.com/lib/NKNU/detail.action?docID=3010957</t>
  </si>
  <si>
    <t>https://ebookcentral.proquest.com/lib/NKNU/detail.action?docID=3010959</t>
  </si>
  <si>
    <t>https://ebookcentral.proquest.com/lib/NKNU/detail.action?docID=3010960</t>
  </si>
  <si>
    <t>https://ebookcentral.proquest.com/lib/NKNU/detail.action?docID=3010962</t>
  </si>
  <si>
    <t>https://ebookcentral.proquest.com/lib/NKNU/detail.action?docID=3010963</t>
  </si>
  <si>
    <t>https://ebookcentral.proquest.com/lib/NKNU/detail.action?docID=3010965</t>
  </si>
  <si>
    <t>https://ebookcentral.proquest.com/lib/NKNU/detail.action?docID=3010966</t>
  </si>
  <si>
    <t>https://ebookcentral.proquest.com/lib/NKNU/detail.action?docID=3010968</t>
  </si>
  <si>
    <t>https://ebookcentral.proquest.com/lib/NKNU/detail.action?docID=3010969</t>
  </si>
  <si>
    <t>https://ebookcentral.proquest.com/lib/NKNU/detail.action?docID=3010970</t>
  </si>
  <si>
    <t>https://ebookcentral.proquest.com/lib/NKNU/detail.action?docID=3010971</t>
  </si>
  <si>
    <t>https://ebookcentral.proquest.com/lib/NKNU/detail.action?docID=3010972</t>
  </si>
  <si>
    <t>https://ebookcentral.proquest.com/lib/NKNU/detail.action?docID=3010973</t>
  </si>
  <si>
    <t>https://ebookcentral.proquest.com/lib/NKNU/detail.action?docID=3010974</t>
  </si>
  <si>
    <t>https://ebookcentral.proquest.com/lib/NKNU/detail.action?docID=3010976</t>
  </si>
  <si>
    <t>https://ebookcentral.proquest.com/lib/NKNU/detail.action?docID=3010977</t>
  </si>
  <si>
    <t>https://ebookcentral.proquest.com/lib/NKNU/detail.action?docID=3010978</t>
  </si>
  <si>
    <t>https://ebookcentral.proquest.com/lib/NKNU/detail.action?docID=3010979</t>
  </si>
  <si>
    <t>https://ebookcentral.proquest.com/lib/NKNU/detail.action?docID=3010980</t>
  </si>
  <si>
    <t>https://ebookcentral.proquest.com/lib/NKNU/detail.action?docID=3010981</t>
  </si>
  <si>
    <t>https://ebookcentral.proquest.com/lib/NKNU/detail.action?docID=3010982</t>
  </si>
  <si>
    <t>https://ebookcentral.proquest.com/lib/NKNU/detail.action?docID=3010984</t>
  </si>
  <si>
    <t>https://ebookcentral.proquest.com/lib/NKNU/detail.action?docID=3010985</t>
  </si>
  <si>
    <t>https://ebookcentral.proquest.com/lib/NKNU/detail.action?docID=3010987</t>
  </si>
  <si>
    <t>https://ebookcentral.proquest.com/lib/NKNU/detail.action?docID=3010988</t>
  </si>
  <si>
    <t>https://ebookcentral.proquest.com/lib/NKNU/detail.action?docID=3010989</t>
  </si>
  <si>
    <t>https://ebookcentral.proquest.com/lib/NKNU/detail.action?docID=3010993</t>
  </si>
  <si>
    <t>https://ebookcentral.proquest.com/lib/NKNU/detail.action?docID=3010996</t>
  </si>
  <si>
    <t>https://ebookcentral.proquest.com/lib/NKNU/detail.action?docID=3011003</t>
  </si>
  <si>
    <t>https://ebookcentral.proquest.com/lib/NKNU/detail.action?docID=3011007</t>
  </si>
  <si>
    <t>https://ebookcentral.proquest.com/lib/NKNU/detail.action?docID=3011012</t>
  </si>
  <si>
    <t>https://ebookcentral.proquest.com/lib/NKNU/detail.action?docID=3011015</t>
  </si>
  <si>
    <t>https://ebookcentral.proquest.com/lib/NKNU/detail.action?docID=3011020</t>
  </si>
  <si>
    <t>https://ebookcentral.proquest.com/lib/NKNU/detail.action?docID=3011021</t>
  </si>
  <si>
    <t>https://ebookcentral.proquest.com/lib/NKNU/detail.action?docID=3011024</t>
  </si>
  <si>
    <t>https://ebookcentral.proquest.com/lib/NKNU/detail.action?docID=3011030</t>
  </si>
  <si>
    <t>https://ebookcentral.proquest.com/lib/NKNU/detail.action?docID=3011034</t>
  </si>
  <si>
    <t>https://ebookcentral.proquest.com/lib/NKNU/detail.action?docID=3011040</t>
  </si>
  <si>
    <t>https://ebookcentral.proquest.com/lib/NKNU/detail.action?docID=3011043</t>
  </si>
  <si>
    <t>https://ebookcentral.proquest.com/lib/NKNU/detail.action?docID=3011048</t>
  </si>
  <si>
    <t>https://ebookcentral.proquest.com/lib/NKNU/detail.action?docID=3011049</t>
  </si>
  <si>
    <t>https://ebookcentral.proquest.com/lib/NKNU/detail.action?docID=3011050</t>
  </si>
  <si>
    <t>https://ebookcentral.proquest.com/lib/NKNU/detail.action?docID=3011054</t>
  </si>
  <si>
    <t>https://ebookcentral.proquest.com/lib/NKNU/detail.action?docID=3011064</t>
  </si>
  <si>
    <t>https://ebookcentral.proquest.com/lib/NKNU/detail.action?docID=3011075</t>
  </si>
  <si>
    <t>https://ebookcentral.proquest.com/lib/NKNU/detail.action?docID=3011078</t>
  </si>
  <si>
    <t>https://ebookcentral.proquest.com/lib/NKNU/detail.action?docID=3011089</t>
  </si>
  <si>
    <t>https://ebookcentral.proquest.com/lib/NKNU/detail.action?docID=3011093</t>
  </si>
  <si>
    <t>https://ebookcentral.proquest.com/lib/NKNU/detail.action?docID=3011098</t>
  </si>
  <si>
    <t>https://ebookcentral.proquest.com/lib/NKNU/detail.action?docID=3011099</t>
  </si>
  <si>
    <t>https://ebookcentral.proquest.com/lib/NKNU/detail.action?docID=3011114</t>
  </si>
  <si>
    <t>https://ebookcentral.proquest.com/lib/NKNU/detail.action?docID=3011119</t>
  </si>
  <si>
    <t>https://ebookcentral.proquest.com/lib/NKNU/detail.action?docID=3011156</t>
  </si>
  <si>
    <t>https://ebookcentral.proquest.com/lib/NKNU/detail.action?docID=3011183</t>
  </si>
  <si>
    <t>https://ebookcentral.proquest.com/lib/NKNU/detail.action?docID=3011184</t>
  </si>
  <si>
    <t>https://ebookcentral.proquest.com/lib/NKNU/detail.action?docID=3011187</t>
  </si>
  <si>
    <t>https://ebookcentral.proquest.com/lib/NKNU/detail.action?docID=3011193</t>
  </si>
  <si>
    <t>https://ebookcentral.proquest.com/lib/NKNU/detail.action?docID=3011200</t>
  </si>
  <si>
    <t>https://ebookcentral.proquest.com/lib/NKNU/detail.action?docID=3011203</t>
  </si>
  <si>
    <t>https://ebookcentral.proquest.com/lib/NKNU/detail.action?docID=3011205</t>
  </si>
  <si>
    <t>https://ebookcentral.proquest.com/lib/NKNU/detail.action?docID=3011215</t>
  </si>
  <si>
    <t>https://ebookcentral.proquest.com/lib/NKNU/detail.action?docID=3011224</t>
  </si>
  <si>
    <t>https://ebookcentral.proquest.com/lib/NKNU/detail.action?docID=3011225</t>
  </si>
  <si>
    <t>https://ebookcentral.proquest.com/lib/NKNU/detail.action?docID=3011229</t>
  </si>
  <si>
    <t>https://ebookcentral.proquest.com/lib/NKNU/detail.action?docID=3011230</t>
  </si>
  <si>
    <t>https://ebookcentral.proquest.com/lib/NKNU/detail.action?docID=3011231</t>
  </si>
  <si>
    <t>https://ebookcentral.proquest.com/lib/NKNU/detail.action?docID=3011232</t>
  </si>
  <si>
    <t>https://ebookcentral.proquest.com/lib/NKNU/detail.action?docID=3011244</t>
  </si>
  <si>
    <t>https://ebookcentral.proquest.com/lib/NKNU/detail.action?docID=3011246</t>
  </si>
  <si>
    <t>https://ebookcentral.proquest.com/lib/NKNU/detail.action?docID=3011251</t>
  </si>
  <si>
    <t>https://ebookcentral.proquest.com/lib/NKNU/detail.action?docID=3011258</t>
  </si>
  <si>
    <t>https://ebookcentral.proquest.com/lib/NKNU/detail.action?docID=3011270</t>
  </si>
  <si>
    <t>https://ebookcentral.proquest.com/lib/NKNU/detail.action?docID=3011274</t>
  </si>
  <si>
    <t>https://ebookcentral.proquest.com/lib/NKNU/detail.action?docID=3011287</t>
  </si>
  <si>
    <t>https://ebookcentral.proquest.com/lib/NKNU/detail.action?docID=3011288</t>
  </si>
  <si>
    <t>https://ebookcentral.proquest.com/lib/NKNU/detail.action?docID=3011294</t>
  </si>
  <si>
    <t>https://ebookcentral.proquest.com/lib/NKNU/detail.action?docID=3011298</t>
  </si>
  <si>
    <t>https://ebookcentral.proquest.com/lib/NKNU/detail.action?docID=3011304</t>
  </si>
  <si>
    <t>https://ebookcentral.proquest.com/lib/NKNU/detail.action?docID=3011307</t>
  </si>
  <si>
    <t>https://ebookcentral.proquest.com/lib/NKNU/detail.action?docID=3011310</t>
  </si>
  <si>
    <t>https://ebookcentral.proquest.com/lib/NKNU/detail.action?docID=3011311</t>
  </si>
  <si>
    <t>https://ebookcentral.proquest.com/lib/NKNU/detail.action?docID=3011313</t>
  </si>
  <si>
    <t>https://ebookcentral.proquest.com/lib/NKNU/detail.action?docID=3011323</t>
  </si>
  <si>
    <t>https://ebookcentral.proquest.com/lib/NKNU/detail.action?docID=3011331</t>
  </si>
  <si>
    <t>https://ebookcentral.proquest.com/lib/NKNU/detail.action?docID=3011333</t>
  </si>
  <si>
    <t>https://ebookcentral.proquest.com/lib/NKNU/detail.action?docID=3011344</t>
  </si>
  <si>
    <t>https://ebookcentral.proquest.com/lib/NKNU/detail.action?docID=3011347</t>
  </si>
  <si>
    <t>https://ebookcentral.proquest.com/lib/NKNU/detail.action?docID=3011348</t>
  </si>
  <si>
    <t>https://ebookcentral.proquest.com/lib/NKNU/detail.action?docID=3011360</t>
  </si>
  <si>
    <t>https://ebookcentral.proquest.com/lib/NKNU/detail.action?docID=3011370</t>
  </si>
  <si>
    <t>https://ebookcentral.proquest.com/lib/NKNU/detail.action?docID=3011379</t>
  </si>
  <si>
    <t>https://ebookcentral.proquest.com/lib/NKNU/detail.action?docID=3011386</t>
  </si>
  <si>
    <t>https://ebookcentral.proquest.com/lib/NKNU/detail.action?docID=3011392</t>
  </si>
  <si>
    <t>https://ebookcentral.proquest.com/lib/NKNU/detail.action?docID=3011394</t>
  </si>
  <si>
    <t>https://ebookcentral.proquest.com/lib/NKNU/detail.action?docID=3011398</t>
  </si>
  <si>
    <t>https://ebookcentral.proquest.com/lib/NKNU/detail.action?docID=3011399</t>
  </si>
  <si>
    <t>https://ebookcentral.proquest.com/lib/NKNU/detail.action?docID=3011413</t>
  </si>
  <si>
    <t>https://ebookcentral.proquest.com/lib/NKNU/detail.action?docID=3011417</t>
  </si>
  <si>
    <t>https://ebookcentral.proquest.com/lib/NKNU/detail.action?docID=3011431</t>
  </si>
  <si>
    <t>https://ebookcentral.proquest.com/lib/NKNU/detail.action?docID=3011446</t>
  </si>
  <si>
    <t>https://ebookcentral.proquest.com/lib/NKNU/detail.action?docID=3011454</t>
  </si>
  <si>
    <t>https://ebookcentral.proquest.com/lib/NKNU/detail.action?docID=3011460</t>
  </si>
  <si>
    <t>https://ebookcentral.proquest.com/lib/NKNU/detail.action?docID=3011473</t>
  </si>
  <si>
    <t>https://ebookcentral.proquest.com/lib/NKNU/detail.action?docID=3011479</t>
  </si>
  <si>
    <t>https://ebookcentral.proquest.com/lib/NKNU/detail.action?docID=3011481</t>
  </si>
  <si>
    <t>https://ebookcentral.proquest.com/lib/NKNU/detail.action?docID=3011491</t>
  </si>
  <si>
    <t>https://ebookcentral.proquest.com/lib/NKNU/detail.action?docID=3011503</t>
  </si>
  <si>
    <t>https://ebookcentral.proquest.com/lib/NKNU/detail.action?docID=3011509</t>
  </si>
  <si>
    <t>https://ebookcentral.proquest.com/lib/NKNU/detail.action?docID=3011601</t>
  </si>
  <si>
    <t>https://ebookcentral.proquest.com/lib/NKNU/detail.action?docID=3012051</t>
  </si>
  <si>
    <t>https://ebookcentral.proquest.com/lib/NKNU/detail.action?docID=3015691</t>
  </si>
  <si>
    <t>https://ebookcentral.proquest.com/lib/NKNU/detail.action?docID=3015887</t>
  </si>
  <si>
    <t>https://ebookcentral.proquest.com/lib/NKNU/detail.action?docID=3015891</t>
  </si>
  <si>
    <t>https://ebookcentral.proquest.com/lib/NKNU/detail.action?docID=3016090</t>
  </si>
  <si>
    <t>https://ebookcentral.proquest.com/lib/NKNU/detail.action?docID=3016160</t>
  </si>
  <si>
    <t>https://ebookcentral.proquest.com/lib/NKNU/detail.action?docID=3016171</t>
  </si>
  <si>
    <t>https://ebookcentral.proquest.com/lib/NKNU/detail.action?docID=3016296</t>
  </si>
  <si>
    <t>https://ebookcentral.proquest.com/lib/NKNU/detail.action?docID=3017155</t>
  </si>
  <si>
    <t>https://ebookcentral.proquest.com/lib/NKNU/detail.action?docID=3017162</t>
  </si>
  <si>
    <t>https://ebookcentral.proquest.com/lib/NKNU/detail.action?docID=3017174</t>
  </si>
  <si>
    <t>https://ebookcentral.proquest.com/lib/NKNU/detail.action?docID=3017179</t>
  </si>
  <si>
    <t>https://ebookcentral.proquest.com/lib/NKNU/detail.action?docID=3017403</t>
  </si>
  <si>
    <t>https://ebookcentral.proquest.com/lib/NKNU/detail.action?docID=3017412</t>
  </si>
  <si>
    <t>https://ebookcentral.proquest.com/lib/NKNU/detail.action?docID=3017418</t>
  </si>
  <si>
    <t>https://ebookcentral.proquest.com/lib/NKNU/detail.action?docID=3017420</t>
  </si>
  <si>
    <t>https://ebookcentral.proquest.com/lib/NKNU/detail.action?docID=3017424</t>
  </si>
  <si>
    <t>https://ebookcentral.proquest.com/lib/NKNU/detail.action?docID=3017430</t>
  </si>
  <si>
    <t>https://ebookcentral.proquest.com/lib/NKNU/detail.action?docID=3017451</t>
  </si>
  <si>
    <t>https://ebookcentral.proquest.com/lib/NKNU/detail.action?docID=3017453</t>
  </si>
  <si>
    <t>https://ebookcentral.proquest.com/lib/NKNU/detail.action?docID=3017599</t>
  </si>
  <si>
    <t>https://ebookcentral.proquest.com/lib/NKNU/detail.action?docID=3025658</t>
  </si>
  <si>
    <t>https://ebookcentral.proquest.com/lib/NKNU/detail.action?docID=3025676</t>
  </si>
  <si>
    <t>https://ebookcentral.proquest.com/lib/NKNU/detail.action?docID=3025987</t>
  </si>
  <si>
    <t>https://ebookcentral.proquest.com/lib/NKNU/detail.action?docID=3026435</t>
  </si>
  <si>
    <t>https://ebookcentral.proquest.com/lib/NKNU/detail.action?docID=3026932</t>
  </si>
  <si>
    <t>https://ebookcentral.proquest.com/lib/NKNU/detail.action?docID=3026948</t>
  </si>
  <si>
    <t>https://ebookcentral.proquest.com/lib/NKNU/detail.action?docID=3026983</t>
  </si>
  <si>
    <t>https://ebookcentral.proquest.com/lib/NKNU/detail.action?docID=3026984</t>
  </si>
  <si>
    <t>https://ebookcentral.proquest.com/lib/NKNU/detail.action?docID=3026985</t>
  </si>
  <si>
    <t>https://ebookcentral.proquest.com/lib/NKNU/detail.action?docID=3027420</t>
  </si>
  <si>
    <t>https://ebookcentral.proquest.com/lib/NKNU/detail.action?docID=3027882</t>
  </si>
  <si>
    <t>https://ebookcentral.proquest.com/lib/NKNU/detail.action?docID=3027992</t>
  </si>
  <si>
    <t>https://ebookcentral.proquest.com/lib/NKNU/detail.action?docID=3028001</t>
  </si>
  <si>
    <t>https://ebookcentral.proquest.com/lib/NKNU/detail.action?docID=3028109</t>
  </si>
  <si>
    <t>https://ebookcentral.proquest.com/lib/NKNU/detail.action?docID=3028126</t>
  </si>
  <si>
    <t>https://ebookcentral.proquest.com/lib/NKNU/detail.action?docID=3028128</t>
  </si>
  <si>
    <t>https://ebookcentral.proquest.com/lib/NKNU/detail.action?docID=3028137</t>
  </si>
  <si>
    <t>https://ebookcentral.proquest.com/lib/NKNU/detail.action?docID=3028138</t>
  </si>
  <si>
    <t>https://ebookcentral.proquest.com/lib/NKNU/detail.action?docID=3028245</t>
  </si>
  <si>
    <t>https://ebookcentral.proquest.com/lib/NKNU/detail.action?docID=3028263</t>
  </si>
  <si>
    <t>https://ebookcentral.proquest.com/lib/NKNU/detail.action?docID=3028265</t>
  </si>
  <si>
    <t>https://ebookcentral.proquest.com/lib/NKNU/detail.action?docID=3028272</t>
  </si>
  <si>
    <t>https://ebookcentral.proquest.com/lib/NKNU/detail.action?docID=3028273</t>
  </si>
  <si>
    <t>https://ebookcentral.proquest.com/lib/NKNU/detail.action?docID=3028274</t>
  </si>
  <si>
    <t>https://ebookcentral.proquest.com/lib/NKNU/detail.action?docID=3028275</t>
  </si>
  <si>
    <t>https://ebookcentral.proquest.com/lib/NKNU/detail.action?docID=3028277</t>
  </si>
  <si>
    <t>https://ebookcentral.proquest.com/lib/NKNU/detail.action?docID=3028665</t>
  </si>
  <si>
    <t>https://ebookcentral.proquest.com/lib/NKNU/detail.action?docID=3031603</t>
  </si>
  <si>
    <t>https://ebookcentral.proquest.com/lib/NKNU/detail.action?docID=3032143</t>
  </si>
  <si>
    <t>https://ebookcentral.proquest.com/lib/NKNU/detail.action?docID=3032198</t>
  </si>
  <si>
    <t>https://ebookcentral.proquest.com/lib/NKNU/detail.action?docID=3032268</t>
  </si>
  <si>
    <t>https://ebookcentral.proquest.com/lib/NKNU/detail.action?docID=3032304</t>
  </si>
  <si>
    <t>https://ebookcentral.proquest.com/lib/NKNU/detail.action?docID=3032313</t>
  </si>
  <si>
    <t>https://ebookcentral.proquest.com/lib/NKNU/detail.action?docID=3032320</t>
  </si>
  <si>
    <t>https://ebookcentral.proquest.com/lib/NKNU/detail.action?docID=3032333</t>
  </si>
  <si>
    <t>https://ebookcentral.proquest.com/lib/NKNU/detail.action?docID=3035092</t>
  </si>
  <si>
    <t>https://ebookcentral.proquest.com/lib/NKNU/detail.action?docID=3037263</t>
  </si>
  <si>
    <t>https://ebookcentral.proquest.com/lib/NKNU/detail.action?docID=3037550</t>
  </si>
  <si>
    <t>https://ebookcentral.proquest.com/lib/NKNU/detail.action?docID=3037551</t>
  </si>
  <si>
    <t>https://ebookcentral.proquest.com/lib/NKNU/detail.action?docID=3037562</t>
  </si>
  <si>
    <t>https://ebookcentral.proquest.com/lib/NKNU/detail.action?docID=3038104</t>
  </si>
  <si>
    <t>https://ebookcentral.proquest.com/lib/NKNU/detail.action?docID=3038203</t>
  </si>
  <si>
    <t>https://ebookcentral.proquest.com/lib/NKNU/detail.action?docID=3038824</t>
  </si>
  <si>
    <t>https://ebookcentral.proquest.com/lib/NKNU/detail.action?docID=3039297</t>
  </si>
  <si>
    <t>https://ebookcentral.proquest.com/lib/NKNU/detail.action?docID=3039365</t>
  </si>
  <si>
    <t>https://ebookcentral.proquest.com/lib/NKNU/detail.action?docID=3039366</t>
  </si>
  <si>
    <t>https://ebookcentral.proquest.com/lib/NKNU/detail.action?docID=3039598</t>
  </si>
  <si>
    <t>https://ebookcentral.proquest.com/lib/NKNU/detail.action?docID=3039611</t>
  </si>
  <si>
    <t>https://ebookcentral.proquest.com/lib/NKNU/detail.action?docID=3039613</t>
  </si>
  <si>
    <t>https://ebookcentral.proquest.com/lib/NKNU/detail.action?docID=3039615</t>
  </si>
  <si>
    <t>https://ebookcentral.proquest.com/lib/NKNU/detail.action?docID=3039616</t>
  </si>
  <si>
    <t>https://ebookcentral.proquest.com/lib/NKNU/detail.action?docID=3039617</t>
  </si>
  <si>
    <t>https://ebookcentral.proquest.com/lib/NKNU/detail.action?docID=3039620</t>
  </si>
  <si>
    <t>https://ebookcentral.proquest.com/lib/NKNU/detail.action?docID=3039621</t>
  </si>
  <si>
    <t>https://ebookcentral.proquest.com/lib/NKNU/detail.action?docID=3039645</t>
  </si>
  <si>
    <t>https://ebookcentral.proquest.com/lib/NKNU/detail.action?docID=3039913</t>
  </si>
  <si>
    <t>https://ebookcentral.proquest.com/lib/NKNU/detail.action?docID=3039921</t>
  </si>
  <si>
    <t>https://ebookcentral.proquest.com/lib/NKNU/detail.action?docID=3039979</t>
  </si>
  <si>
    <t>https://ebookcentral.proquest.com/lib/NKNU/detail.action?docID=3039989</t>
  </si>
  <si>
    <t>https://ebookcentral.proquest.com/lib/NKNU/detail.action?docID=3039992</t>
  </si>
  <si>
    <t>https://ebookcentral.proquest.com/lib/NKNU/detail.action?docID=3040026</t>
  </si>
  <si>
    <t>https://ebookcentral.proquest.com/lib/NKNU/detail.action?docID=3050184</t>
  </si>
  <si>
    <t>https://ebookcentral.proquest.com/lib/NKNU/detail.action?docID=3050186</t>
  </si>
  <si>
    <t>https://ebookcentral.proquest.com/lib/NKNU/detail.action?docID=3050202</t>
  </si>
  <si>
    <t>https://ebookcentral.proquest.com/lib/NKNU/detail.action?docID=3051868</t>
  </si>
  <si>
    <t>https://ebookcentral.proquest.com/lib/NKNU/detail.action?docID=3051958</t>
  </si>
  <si>
    <t>https://ebookcentral.proquest.com/lib/NKNU/detail.action?docID=3052021</t>
  </si>
  <si>
    <t>https://ebookcentral.proquest.com/lib/NKNU/detail.action?docID=3052031</t>
  </si>
  <si>
    <t>https://ebookcentral.proquest.com/lib/NKNU/detail.action?docID=3052054</t>
  </si>
  <si>
    <t>https://ebookcentral.proquest.com/lib/NKNU/detail.action?docID=3052081</t>
  </si>
  <si>
    <t>https://ebookcentral.proquest.com/lib/NKNU/detail.action?docID=3052119</t>
  </si>
  <si>
    <t>https://ebookcentral.proquest.com/lib/NKNU/detail.action?docID=3052137</t>
  </si>
  <si>
    <t>https://ebookcentral.proquest.com/lib/NKNU/detail.action?docID=3052156</t>
  </si>
  <si>
    <t>https://ebookcentral.proquest.com/lib/NKNU/detail.action?docID=3052167</t>
  </si>
  <si>
    <t>https://ebookcentral.proquest.com/lib/NKNU/detail.action?docID=3052275</t>
  </si>
  <si>
    <t>https://ebookcentral.proquest.com/lib/NKNU/detail.action?docID=3052301</t>
  </si>
  <si>
    <t>https://ebookcentral.proquest.com/lib/NKNU/detail.action?docID=3052386</t>
  </si>
  <si>
    <t>https://ebookcentral.proquest.com/lib/NKNU/detail.action?docID=3052428</t>
  </si>
  <si>
    <t>https://ebookcentral.proquest.com/lib/NKNU/detail.action?docID=3052601</t>
  </si>
  <si>
    <t>https://ebookcentral.proquest.com/lib/NKNU/detail.action?docID=3052610</t>
  </si>
  <si>
    <t>https://ebookcentral.proquest.com/lib/NKNU/detail.action?docID=3053429</t>
  </si>
  <si>
    <t>https://ebookcentral.proquest.com/lib/NKNU/detail.action?docID=3053430</t>
  </si>
  <si>
    <t>https://ebookcentral.proquest.com/lib/NKNU/detail.action?docID=3053675</t>
  </si>
  <si>
    <t>https://ebookcentral.proquest.com/lib/NKNU/detail.action?docID=3053687</t>
  </si>
  <si>
    <t>https://ebookcentral.proquest.com/lib/NKNU/detail.action?docID=3053699</t>
  </si>
  <si>
    <t>https://ebookcentral.proquest.com/lib/NKNU/detail.action?docID=3059128</t>
  </si>
  <si>
    <t>https://ebookcentral.proquest.com/lib/NKNU/detail.action?docID=3059336</t>
  </si>
  <si>
    <t>https://ebookcentral.proquest.com/lib/NKNU/detail.action?docID=3059429</t>
  </si>
  <si>
    <t>https://ebookcentral.proquest.com/lib/NKNU/detail.action?docID=3059438</t>
  </si>
  <si>
    <t>https://ebookcentral.proquest.com/lib/NKNU/detail.action?docID=3059441</t>
  </si>
  <si>
    <t>https://ebookcentral.proquest.com/lib/NKNU/detail.action?docID=3059540</t>
  </si>
  <si>
    <t>https://ebookcentral.proquest.com/lib/NKNU/detail.action?docID=3059638</t>
  </si>
  <si>
    <t>https://ebookcentral.proquest.com/lib/NKNU/detail.action?docID=3059639</t>
  </si>
  <si>
    <t>https://ebookcentral.proquest.com/lib/NKNU/detail.action?docID=3060244</t>
  </si>
  <si>
    <t>https://ebookcentral.proquest.com/lib/NKNU/detail.action?docID=3060285</t>
  </si>
  <si>
    <t>https://ebookcentral.proquest.com/lib/NKNU/detail.action?docID=3060295</t>
  </si>
  <si>
    <t>https://ebookcentral.proquest.com/lib/NKNU/detail.action?docID=3060311</t>
  </si>
  <si>
    <t>https://ebookcentral.proquest.com/lib/NKNU/detail.action?docID=3060319</t>
  </si>
  <si>
    <t>https://ebookcentral.proquest.com/lib/NKNU/detail.action?docID=3060342</t>
  </si>
  <si>
    <t>https://ebookcentral.proquest.com/lib/NKNU/detail.action?docID=3060355</t>
  </si>
  <si>
    <t>https://ebookcentral.proquest.com/lib/NKNU/detail.action?docID=3060356</t>
  </si>
  <si>
    <t>https://ebookcentral.proquest.com/lib/NKNU/detail.action?docID=3060359</t>
  </si>
  <si>
    <t>https://ebookcentral.proquest.com/lib/NKNU/detail.action?docID=3060376</t>
  </si>
  <si>
    <t>https://ebookcentral.proquest.com/lib/NKNU/detail.action?docID=3060383</t>
  </si>
  <si>
    <t>https://ebookcentral.proquest.com/lib/NKNU/detail.action?docID=3060386</t>
  </si>
  <si>
    <t>https://ebookcentral.proquest.com/lib/NKNU/detail.action?docID=3060388</t>
  </si>
  <si>
    <t>https://ebookcentral.proquest.com/lib/NKNU/detail.action?docID=3060413</t>
  </si>
  <si>
    <t>https://ebookcentral.proquest.com/lib/NKNU/detail.action?docID=3060415</t>
  </si>
  <si>
    <t>https://ebookcentral.proquest.com/lib/NKNU/detail.action?docID=3060426</t>
  </si>
  <si>
    <t>https://ebookcentral.proquest.com/lib/NKNU/detail.action?docID=3060457</t>
  </si>
  <si>
    <t>https://ebookcentral.proquest.com/lib/NKNU/detail.action?docID=3060458</t>
  </si>
  <si>
    <t>https://ebookcentral.proquest.com/lib/NKNU/detail.action?docID=3060460</t>
  </si>
  <si>
    <t>https://ebookcentral.proquest.com/lib/NKNU/detail.action?docID=3060467</t>
  </si>
  <si>
    <t>https://ebookcentral.proquest.com/lib/NKNU/detail.action?docID=3060493</t>
  </si>
  <si>
    <t>https://ebookcentral.proquest.com/lib/NKNU/detail.action?docID=3060494</t>
  </si>
  <si>
    <t>https://ebookcentral.proquest.com/lib/NKNU/detail.action?docID=3060518</t>
  </si>
  <si>
    <t>https://ebookcentral.proquest.com/lib/NKNU/detail.action?docID=3060576</t>
  </si>
  <si>
    <t>https://ebookcentral.proquest.com/lib/NKNU/detail.action?docID=3060579</t>
  </si>
  <si>
    <t>https://ebookcentral.proquest.com/lib/NKNU/detail.action?docID=3060603</t>
  </si>
  <si>
    <t>https://ebookcentral.proquest.com/lib/NKNU/detail.action?docID=3060610</t>
  </si>
  <si>
    <t>https://ebookcentral.proquest.com/lib/NKNU/detail.action?docID=3060638</t>
  </si>
  <si>
    <t>https://ebookcentral.proquest.com/lib/NKNU/detail.action?docID=3060639</t>
  </si>
  <si>
    <t>https://ebookcentral.proquest.com/lib/NKNU/detail.action?docID=3060640</t>
  </si>
  <si>
    <t>https://ebookcentral.proquest.com/lib/NKNU/detail.action?docID=3060642</t>
  </si>
  <si>
    <t>https://ebookcentral.proquest.com/lib/NKNU/detail.action?docID=3060645</t>
  </si>
  <si>
    <t>https://ebookcentral.proquest.com/lib/NKNU/detail.action?docID=3060647</t>
  </si>
  <si>
    <t>https://ebookcentral.proquest.com/lib/NKNU/detail.action?docID=3060650</t>
  </si>
  <si>
    <t>https://ebookcentral.proquest.com/lib/NKNU/detail.action?docID=3060652</t>
  </si>
  <si>
    <t>https://ebookcentral.proquest.com/lib/NKNU/detail.action?docID=3060829</t>
  </si>
  <si>
    <t>https://ebookcentral.proquest.com/lib/NKNU/detail.action?docID=3060862</t>
  </si>
  <si>
    <t>https://ebookcentral.proquest.com/lib/NKNU/detail.action?docID=3060992</t>
  </si>
  <si>
    <t>https://ebookcentral.proquest.com/lib/NKNU/detail.action?docID=3061229</t>
  </si>
  <si>
    <t>https://ebookcentral.proquest.com/lib/NKNU/detail.action?docID=3061384</t>
  </si>
  <si>
    <t>https://ebookcentral.proquest.com/lib/NKNU/detail.action?docID=3111724</t>
  </si>
  <si>
    <t>https://ebookcentral.proquest.com/lib/NKNU/detail.action?docID=3111734</t>
  </si>
  <si>
    <t>https://ebookcentral.proquest.com/lib/NKNU/detail.action?docID=3111906</t>
  </si>
  <si>
    <t>https://ebookcentral.proquest.com/lib/NKNU/detail.action?docID=3111914</t>
  </si>
  <si>
    <t>https://ebookcentral.proquest.com/lib/NKNU/detail.action?docID=3112042</t>
  </si>
  <si>
    <t>https://ebookcentral.proquest.com/lib/NKNU/detail.action?docID=3112479</t>
  </si>
  <si>
    <t>https://ebookcentral.proquest.com/lib/NKNU/detail.action?docID=3115296</t>
  </si>
  <si>
    <t>https://ebookcentral.proquest.com/lib/NKNU/detail.action?docID=3115899</t>
  </si>
  <si>
    <t>https://ebookcentral.proquest.com/lib/NKNU/detail.action?docID=3115939</t>
  </si>
  <si>
    <t>https://ebookcentral.proquest.com/lib/NKNU/detail.action?docID=3115959</t>
  </si>
  <si>
    <t>https://ebookcentral.proquest.com/lib/NKNU/detail.action?docID=3116722</t>
  </si>
  <si>
    <t>https://ebookcentral.proquest.com/lib/NKNU/detail.action?docID=3118064</t>
  </si>
  <si>
    <t>https://ebookcentral.proquest.com/lib/NKNU/detail.action?docID=3118130</t>
  </si>
  <si>
    <t>https://ebookcentral.proquest.com/lib/NKNU/detail.action?docID=3134932</t>
  </si>
  <si>
    <t>https://ebookcentral.proquest.com/lib/NKNU/detail.action?docID=3136098</t>
  </si>
  <si>
    <t>https://ebookcentral.proquest.com/lib/NKNU/detail.action?docID=3136373</t>
  </si>
  <si>
    <t>https://ebookcentral.proquest.com/lib/NKNU/detail.action?docID=3137205</t>
  </si>
  <si>
    <t>https://ebookcentral.proquest.com/lib/NKNU/detail.action?docID=3137222</t>
  </si>
  <si>
    <t>https://ebookcentral.proquest.com/lib/NKNU/detail.action?docID=3137238</t>
  </si>
  <si>
    <t>https://ebookcentral.proquest.com/lib/NKNU/detail.action?docID=3137251</t>
  </si>
  <si>
    <t>https://ebookcentral.proquest.com/lib/NKNU/detail.action?docID=3137255</t>
  </si>
  <si>
    <t>https://ebookcentral.proquest.com/lib/NKNU/detail.action?docID=3138984</t>
  </si>
  <si>
    <t>https://ebookcentral.proquest.com/lib/NKNU/detail.action?docID=3138993</t>
  </si>
  <si>
    <t>https://ebookcentral.proquest.com/lib/NKNU/detail.action?docID=3180102</t>
  </si>
  <si>
    <t>https://ebookcentral.proquest.com/lib/NKNU/detail.action?docID=3186078</t>
  </si>
  <si>
    <t>https://ebookcentral.proquest.com/lib/NKNU/detail.action?docID=3186129</t>
  </si>
  <si>
    <t>https://ebookcentral.proquest.com/lib/NKNU/detail.action?docID=3186577</t>
  </si>
  <si>
    <t>https://ebookcentral.proquest.com/lib/NKNU/detail.action?docID=3188916</t>
  </si>
  <si>
    <t>https://ebookcentral.proquest.com/lib/NKNU/detail.action?docID=3190053</t>
  </si>
  <si>
    <t>https://ebookcentral.proquest.com/lib/NKNU/detail.action?docID=3238300</t>
  </si>
  <si>
    <t>https://ebookcentral.proquest.com/lib/NKNU/detail.action?docID=3238302</t>
  </si>
  <si>
    <t>https://ebookcentral.proquest.com/lib/NKNU/detail.action?docID=3239425</t>
  </si>
  <si>
    <t>https://ebookcentral.proquest.com/lib/NKNU/detail.action?docID=3239522</t>
  </si>
  <si>
    <t>https://ebookcentral.proquest.com/lib/NKNU/detail.action?docID=3239558</t>
  </si>
  <si>
    <t>https://ebookcentral.proquest.com/lib/NKNU/detail.action?docID=3239572</t>
  </si>
  <si>
    <t>https://ebookcentral.proquest.com/lib/NKNU/detail.action?docID=3239576</t>
  </si>
  <si>
    <t>https://ebookcentral.proquest.com/lib/NKNU/detail.action?docID=3242611</t>
  </si>
  <si>
    <t>https://ebookcentral.proquest.com/lib/NKNU/detail.action?docID=3244424</t>
  </si>
  <si>
    <t>https://ebookcentral.proquest.com/lib/NKNU/detail.action?docID=3247912</t>
  </si>
  <si>
    <t>https://ebookcentral.proquest.com/lib/NKNU/detail.action?docID=3254757</t>
  </si>
  <si>
    <t>https://ebookcentral.proquest.com/lib/NKNU/detail.action?docID=3254909</t>
  </si>
  <si>
    <t>https://ebookcentral.proquest.com/lib/NKNU/detail.action?docID=3255006</t>
  </si>
  <si>
    <t>https://ebookcentral.proquest.com/lib/NKNU/detail.action?docID=3255069</t>
  </si>
  <si>
    <t>https://ebookcentral.proquest.com/lib/NKNU/detail.action?docID=3255263</t>
  </si>
  <si>
    <t>https://ebookcentral.proquest.com/lib/NKNU/detail.action?docID=3255497</t>
  </si>
  <si>
    <t>https://ebookcentral.proquest.com/lib/NKNU/detail.action?docID=3257847</t>
  </si>
  <si>
    <t>https://ebookcentral.proquest.com/lib/NKNU/detail.action?docID=3257854</t>
  </si>
  <si>
    <t>https://ebookcentral.proquest.com/lib/NKNU/detail.action?docID=3257894</t>
  </si>
  <si>
    <t>https://ebookcentral.proquest.com/lib/NKNU/detail.action?docID=3262331</t>
  </si>
  <si>
    <t>https://ebookcentral.proquest.com/lib/NKNU/detail.action?docID=3265294</t>
  </si>
  <si>
    <t>https://ebookcentral.proquest.com/lib/NKNU/detail.action?docID=3266245</t>
  </si>
  <si>
    <t>https://ebookcentral.proquest.com/lib/NKNU/detail.action?docID=3266773</t>
  </si>
  <si>
    <t>https://ebookcentral.proquest.com/lib/NKNU/detail.action?docID=3268259</t>
  </si>
  <si>
    <t>https://ebookcentral.proquest.com/lib/NKNU/detail.action?docID=3299298</t>
  </si>
  <si>
    <t>https://ebookcentral.proquest.com/lib/NKNU/detail.action?docID=3299749</t>
  </si>
  <si>
    <t>https://ebookcentral.proquest.com/lib/NKNU/detail.action?docID=3301768</t>
  </si>
  <si>
    <t>https://ebookcentral.proquest.com/lib/NKNU/detail.action?docID=3301774</t>
  </si>
  <si>
    <t>https://ebookcentral.proquest.com/lib/NKNU/detail.action?docID=3301776</t>
  </si>
  <si>
    <t>https://ebookcentral.proquest.com/lib/NKNU/detail.action?docID=3301777</t>
  </si>
  <si>
    <t>https://ebookcentral.proquest.com/lib/NKNU/detail.action?docID=3301778</t>
  </si>
  <si>
    <t>https://ebookcentral.proquest.com/lib/NKNU/detail.action?docID=3301783</t>
  </si>
  <si>
    <t>https://ebookcentral.proquest.com/lib/NKNU/detail.action?docID=3308732</t>
  </si>
  <si>
    <t>https://ebookcentral.proquest.com/lib/NKNU/detail.action?docID=3308785</t>
  </si>
  <si>
    <t>https://ebookcentral.proquest.com/lib/NKNU/detail.action?docID=3308834</t>
  </si>
  <si>
    <t>https://ebookcentral.proquest.com/lib/NKNU/detail.action?docID=3308842</t>
  </si>
  <si>
    <t>https://ebookcentral.proquest.com/lib/NKNU/detail.action?docID=3308845</t>
  </si>
  <si>
    <t>https://ebookcentral.proquest.com/lib/NKNU/detail.action?docID=3308846</t>
  </si>
  <si>
    <t>https://ebookcentral.proquest.com/lib/NKNU/detail.action?docID=3308847</t>
  </si>
  <si>
    <t>https://ebookcentral.proquest.com/lib/NKNU/detail.action?docID=3308852</t>
  </si>
  <si>
    <t>https://ebookcentral.proquest.com/lib/NKNU/detail.action?docID=3308853</t>
  </si>
  <si>
    <t>https://ebookcentral.proquest.com/lib/NKNU/detail.action?docID=3308856</t>
  </si>
  <si>
    <t>https://ebookcentral.proquest.com/lib/NKNU/detail.action?docID=3308859</t>
  </si>
  <si>
    <t>https://ebookcentral.proquest.com/lib/NKNU/detail.action?docID=3308861</t>
  </si>
  <si>
    <t>https://ebookcentral.proquest.com/lib/NKNU/detail.action?docID=3308862</t>
  </si>
  <si>
    <t>https://ebookcentral.proquest.com/lib/NKNU/detail.action?docID=3308865</t>
  </si>
  <si>
    <t>https://ebookcentral.proquest.com/lib/NKNU/detail.action?docID=3308866</t>
  </si>
  <si>
    <t>https://ebookcentral.proquest.com/lib/NKNU/detail.action?docID=3308887</t>
  </si>
  <si>
    <t>https://ebookcentral.proquest.com/lib/NKNU/detail.action?docID=3308894</t>
  </si>
  <si>
    <t>https://ebookcentral.proquest.com/lib/NKNU/detail.action?docID=3308900</t>
  </si>
  <si>
    <t>https://ebookcentral.proquest.com/lib/NKNU/detail.action?docID=3308901</t>
  </si>
  <si>
    <t>https://ebookcentral.proquest.com/lib/NKNU/detail.action?docID=3308902</t>
  </si>
  <si>
    <t>https://ebookcentral.proquest.com/lib/NKNU/detail.action?docID=3308903</t>
  </si>
  <si>
    <t>https://ebookcentral.proquest.com/lib/NKNU/detail.action?docID=3308905</t>
  </si>
  <si>
    <t>https://ebookcentral.proquest.com/lib/NKNU/detail.action?docID=3308907</t>
  </si>
  <si>
    <t>https://ebookcentral.proquest.com/lib/NKNU/detail.action?docID=3308909</t>
  </si>
  <si>
    <t>https://ebookcentral.proquest.com/lib/NKNU/detail.action?docID=3308915</t>
  </si>
  <si>
    <t>https://ebookcentral.proquest.com/lib/NKNU/detail.action?docID=3308916</t>
  </si>
  <si>
    <t>https://ebookcentral.proquest.com/lib/NKNU/detail.action?docID=3308917</t>
  </si>
  <si>
    <t>https://ebookcentral.proquest.com/lib/NKNU/detail.action?docID=3308922</t>
  </si>
  <si>
    <t>https://ebookcentral.proquest.com/lib/NKNU/detail.action?docID=3308923</t>
  </si>
  <si>
    <t>https://ebookcentral.proquest.com/lib/NKNU/detail.action?docID=3308965</t>
  </si>
  <si>
    <t>https://ebookcentral.proquest.com/lib/NKNU/detail.action?docID=3308966</t>
  </si>
  <si>
    <t>https://ebookcentral.proquest.com/lib/NKNU/detail.action?docID=3308968</t>
  </si>
  <si>
    <t>https://ebookcentral.proquest.com/lib/NKNU/detail.action?docID=3308970</t>
  </si>
  <si>
    <t>https://ebookcentral.proquest.com/lib/NKNU/detail.action?docID=3308971</t>
  </si>
  <si>
    <t>https://ebookcentral.proquest.com/lib/NKNU/detail.action?docID=3308972</t>
  </si>
  <si>
    <t>https://ebookcentral.proquest.com/lib/NKNU/detail.action?docID=3308973</t>
  </si>
  <si>
    <t>https://ebookcentral.proquest.com/lib/NKNU/detail.action?docID=3308974</t>
  </si>
  <si>
    <t>https://ebookcentral.proquest.com/lib/NKNU/detail.action?docID=3308977</t>
  </si>
  <si>
    <t>https://ebookcentral.proquest.com/lib/NKNU/detail.action?docID=3308979</t>
  </si>
  <si>
    <t>https://ebookcentral.proquest.com/lib/NKNU/detail.action?docID=3308982</t>
  </si>
  <si>
    <t>https://ebookcentral.proquest.com/lib/NKNU/detail.action?docID=3308983</t>
  </si>
  <si>
    <t>https://ebookcentral.proquest.com/lib/NKNU/detail.action?docID=3308984</t>
  </si>
  <si>
    <t>https://ebookcentral.proquest.com/lib/NKNU/detail.action?docID=3308985</t>
  </si>
  <si>
    <t>https://ebookcentral.proquest.com/lib/NKNU/detail.action?docID=3308986</t>
  </si>
  <si>
    <t>https://ebookcentral.proquest.com/lib/NKNU/detail.action?docID=3309003</t>
  </si>
  <si>
    <t>https://ebookcentral.proquest.com/lib/NKNU/detail.action?docID=3309007</t>
  </si>
  <si>
    <t>https://ebookcentral.proquest.com/lib/NKNU/detail.action?docID=3309008</t>
  </si>
  <si>
    <t>https://ebookcentral.proquest.com/lib/NKNU/detail.action?docID=3309009</t>
  </si>
  <si>
    <t>https://ebookcentral.proquest.com/lib/NKNU/detail.action?docID=3309010</t>
  </si>
  <si>
    <t>https://ebookcentral.proquest.com/lib/NKNU/detail.action?docID=3309011</t>
  </si>
  <si>
    <t>https://ebookcentral.proquest.com/lib/NKNU/detail.action?docID=3309012</t>
  </si>
  <si>
    <t>https://ebookcentral.proquest.com/lib/NKNU/detail.action?docID=3309013</t>
  </si>
  <si>
    <t>https://ebookcentral.proquest.com/lib/NKNU/detail.action?docID=3309014</t>
  </si>
  <si>
    <t>https://ebookcentral.proquest.com/lib/NKNU/detail.action?docID=3309015</t>
  </si>
  <si>
    <t>https://ebookcentral.proquest.com/lib/NKNU/detail.action?docID=3309016</t>
  </si>
  <si>
    <t>https://ebookcentral.proquest.com/lib/NKNU/detail.action?docID=3309017</t>
  </si>
  <si>
    <t>https://ebookcentral.proquest.com/lib/NKNU/detail.action?docID=3309018</t>
  </si>
  <si>
    <t>https://ebookcentral.proquest.com/lib/NKNU/detail.action?docID=3309019</t>
  </si>
  <si>
    <t>https://ebookcentral.proquest.com/lib/NKNU/detail.action?docID=3309020</t>
  </si>
  <si>
    <t>https://ebookcentral.proquest.com/lib/NKNU/detail.action?docID=3309021</t>
  </si>
  <si>
    <t>https://ebookcentral.proquest.com/lib/NKNU/detail.action?docID=3309022</t>
  </si>
  <si>
    <t>https://ebookcentral.proquest.com/lib/NKNU/detail.action?docID=3309023</t>
  </si>
  <si>
    <t>https://ebookcentral.proquest.com/lib/NKNU/detail.action?docID=3309024</t>
  </si>
  <si>
    <t>https://ebookcentral.proquest.com/lib/NKNU/detail.action?docID=3309025</t>
  </si>
  <si>
    <t>https://ebookcentral.proquest.com/lib/NKNU/detail.action?docID=3309026</t>
  </si>
  <si>
    <t>https://ebookcentral.proquest.com/lib/NKNU/detail.action?docID=3309027</t>
  </si>
  <si>
    <t>https://ebookcentral.proquest.com/lib/NKNU/detail.action?docID=3309028</t>
  </si>
  <si>
    <t>https://ebookcentral.proquest.com/lib/NKNU/detail.action?docID=3309029</t>
  </si>
  <si>
    <t>https://ebookcentral.proquest.com/lib/NKNU/detail.action?docID=3309030</t>
  </si>
  <si>
    <t>https://ebookcentral.proquest.com/lib/NKNU/detail.action?docID=3309031</t>
  </si>
  <si>
    <t>https://ebookcentral.proquest.com/lib/NKNU/detail.action?docID=3309032</t>
  </si>
  <si>
    <t>https://ebookcentral.proquest.com/lib/NKNU/detail.action?docID=3309033</t>
  </si>
  <si>
    <t>https://ebookcentral.proquest.com/lib/NKNU/detail.action?docID=3309034</t>
  </si>
  <si>
    <t>https://ebookcentral.proquest.com/lib/NKNU/detail.action?docID=3309036</t>
  </si>
  <si>
    <t>https://ebookcentral.proquest.com/lib/NKNU/detail.action?docID=3309038</t>
  </si>
  <si>
    <t>https://ebookcentral.proquest.com/lib/NKNU/detail.action?docID=3309039</t>
  </si>
  <si>
    <t>https://ebookcentral.proquest.com/lib/NKNU/detail.action?docID=3309040</t>
  </si>
  <si>
    <t>https://ebookcentral.proquest.com/lib/NKNU/detail.action?docID=3309041</t>
  </si>
  <si>
    <t>https://ebookcentral.proquest.com/lib/NKNU/detail.action?docID=3309042</t>
  </si>
  <si>
    <t>https://ebookcentral.proquest.com/lib/NKNU/detail.action?docID=3309043</t>
  </si>
  <si>
    <t>https://ebookcentral.proquest.com/lib/NKNU/detail.action?docID=3309044</t>
  </si>
  <si>
    <t>https://ebookcentral.proquest.com/lib/NKNU/detail.action?docID=3309045</t>
  </si>
  <si>
    <t>https://ebookcentral.proquest.com/lib/NKNU/detail.action?docID=3309046</t>
  </si>
  <si>
    <t>https://ebookcentral.proquest.com/lib/NKNU/detail.action?docID=3309047</t>
  </si>
  <si>
    <t>https://ebookcentral.proquest.com/lib/NKNU/detail.action?docID=3309048</t>
  </si>
  <si>
    <t>https://ebookcentral.proquest.com/lib/NKNU/detail.action?docID=3309050</t>
  </si>
  <si>
    <t>https://ebookcentral.proquest.com/lib/NKNU/detail.action?docID=3309052</t>
  </si>
  <si>
    <t>https://ebookcentral.proquest.com/lib/NKNU/detail.action?docID=3309053</t>
  </si>
  <si>
    <t>https://ebookcentral.proquest.com/lib/NKNU/detail.action?docID=3309054</t>
  </si>
  <si>
    <t>https://ebookcentral.proquest.com/lib/NKNU/detail.action?docID=3309055</t>
  </si>
  <si>
    <t>https://ebookcentral.proquest.com/lib/NKNU/detail.action?docID=3309056</t>
  </si>
  <si>
    <t>https://ebookcentral.proquest.com/lib/NKNU/detail.action?docID=3309058</t>
  </si>
  <si>
    <t>https://ebookcentral.proquest.com/lib/NKNU/detail.action?docID=3309059</t>
  </si>
  <si>
    <t>https://ebookcentral.proquest.com/lib/NKNU/detail.action?docID=3309060</t>
  </si>
  <si>
    <t>https://ebookcentral.proquest.com/lib/NKNU/detail.action?docID=3309061</t>
  </si>
  <si>
    <t>https://ebookcentral.proquest.com/lib/NKNU/detail.action?docID=3309062</t>
  </si>
  <si>
    <t>https://ebookcentral.proquest.com/lib/NKNU/detail.action?docID=3309063</t>
  </si>
  <si>
    <t>https://ebookcentral.proquest.com/lib/NKNU/detail.action?docID=3309064</t>
  </si>
  <si>
    <t>https://ebookcentral.proquest.com/lib/NKNU/detail.action?docID=3309066</t>
  </si>
  <si>
    <t>https://ebookcentral.proquest.com/lib/NKNU/detail.action?docID=3309067</t>
  </si>
  <si>
    <t>https://ebookcentral.proquest.com/lib/NKNU/detail.action?docID=3309070</t>
  </si>
  <si>
    <t>https://ebookcentral.proquest.com/lib/NKNU/detail.action?docID=3309071</t>
  </si>
  <si>
    <t>https://ebookcentral.proquest.com/lib/NKNU/detail.action?docID=3309072</t>
  </si>
  <si>
    <t>https://ebookcentral.proquest.com/lib/NKNU/detail.action?docID=3309073</t>
  </si>
  <si>
    <t>https://ebookcentral.proquest.com/lib/NKNU/detail.action?docID=3309074</t>
  </si>
  <si>
    <t>https://ebookcentral.proquest.com/lib/NKNU/detail.action?docID=3309075</t>
  </si>
  <si>
    <t>https://ebookcentral.proquest.com/lib/NKNU/detail.action?docID=3309076</t>
  </si>
  <si>
    <t>https://ebookcentral.proquest.com/lib/NKNU/detail.action?docID=3309077</t>
  </si>
  <si>
    <t>https://ebookcentral.proquest.com/lib/NKNU/detail.action?docID=3309078</t>
  </si>
  <si>
    <t>https://ebookcentral.proquest.com/lib/NKNU/detail.action?docID=3309079</t>
  </si>
  <si>
    <t>https://ebookcentral.proquest.com/lib/NKNU/detail.action?docID=3309080</t>
  </si>
  <si>
    <t>https://ebookcentral.proquest.com/lib/NKNU/detail.action?docID=3309081</t>
  </si>
  <si>
    <t>https://ebookcentral.proquest.com/lib/NKNU/detail.action?docID=3309082</t>
  </si>
  <si>
    <t>https://ebookcentral.proquest.com/lib/NKNU/detail.action?docID=3309083</t>
  </si>
  <si>
    <t>https://ebookcentral.proquest.com/lib/NKNU/detail.action?docID=3309084</t>
  </si>
  <si>
    <t>https://ebookcentral.proquest.com/lib/NKNU/detail.action?docID=3309085</t>
  </si>
  <si>
    <t>https://ebookcentral.proquest.com/lib/NKNU/detail.action?docID=3309086</t>
  </si>
  <si>
    <t>https://ebookcentral.proquest.com/lib/NKNU/detail.action?docID=3309087</t>
  </si>
  <si>
    <t>https://ebookcentral.proquest.com/lib/NKNU/detail.action?docID=3309088</t>
  </si>
  <si>
    <t>https://ebookcentral.proquest.com/lib/NKNU/detail.action?docID=3309089</t>
  </si>
  <si>
    <t>https://ebookcentral.proquest.com/lib/NKNU/detail.action?docID=3309090</t>
  </si>
  <si>
    <t>https://ebookcentral.proquest.com/lib/NKNU/detail.action?docID=3309091</t>
  </si>
  <si>
    <t>https://ebookcentral.proquest.com/lib/NKNU/detail.action?docID=3309092</t>
  </si>
  <si>
    <t>https://ebookcentral.proquest.com/lib/NKNU/detail.action?docID=3309093</t>
  </si>
  <si>
    <t>https://ebookcentral.proquest.com/lib/NKNU/detail.action?docID=3309094</t>
  </si>
  <si>
    <t>https://ebookcentral.proquest.com/lib/NKNU/detail.action?docID=3309095</t>
  </si>
  <si>
    <t>https://ebookcentral.proquest.com/lib/NKNU/detail.action?docID=3309096</t>
  </si>
  <si>
    <t>https://ebookcentral.proquest.com/lib/NKNU/detail.action?docID=3309097</t>
  </si>
  <si>
    <t>https://ebookcentral.proquest.com/lib/NKNU/detail.action?docID=3309098</t>
  </si>
  <si>
    <t>https://ebookcentral.proquest.com/lib/NKNU/detail.action?docID=3309099</t>
  </si>
  <si>
    <t>https://ebookcentral.proquest.com/lib/NKNU/detail.action?docID=3309100</t>
  </si>
  <si>
    <t>https://ebookcentral.proquest.com/lib/NKNU/detail.action?docID=3309101</t>
  </si>
  <si>
    <t>https://ebookcentral.proquest.com/lib/NKNU/detail.action?docID=3309102</t>
  </si>
  <si>
    <t>https://ebookcentral.proquest.com/lib/NKNU/detail.action?docID=3309103</t>
  </si>
  <si>
    <t>https://ebookcentral.proquest.com/lib/NKNU/detail.action?docID=3309104</t>
  </si>
  <si>
    <t>https://ebookcentral.proquest.com/lib/NKNU/detail.action?docID=3309168</t>
  </si>
  <si>
    <t>https://ebookcentral.proquest.com/lib/NKNU/detail.action?docID=3309169</t>
  </si>
  <si>
    <t>https://ebookcentral.proquest.com/lib/NKNU/detail.action?docID=3309170</t>
  </si>
  <si>
    <t>https://ebookcentral.proquest.com/lib/NKNU/detail.action?docID=3309171</t>
  </si>
  <si>
    <t>https://ebookcentral.proquest.com/lib/NKNU/detail.action?docID=3309173</t>
  </si>
  <si>
    <t>https://ebookcentral.proquest.com/lib/NKNU/detail.action?docID=3309174</t>
  </si>
  <si>
    <t>https://ebookcentral.proquest.com/lib/NKNU/detail.action?docID=3309175</t>
  </si>
  <si>
    <t>https://ebookcentral.proquest.com/lib/NKNU/detail.action?docID=3309176</t>
  </si>
  <si>
    <t>https://ebookcentral.proquest.com/lib/NKNU/detail.action?docID=3309177</t>
  </si>
  <si>
    <t>https://ebookcentral.proquest.com/lib/NKNU/detail.action?docID=3309178</t>
  </si>
  <si>
    <t>https://ebookcentral.proquest.com/lib/NKNU/detail.action?docID=3309179</t>
  </si>
  <si>
    <t>https://ebookcentral.proquest.com/lib/NKNU/detail.action?docID=3309180</t>
  </si>
  <si>
    <t>https://ebookcentral.proquest.com/lib/NKNU/detail.action?docID=3309181</t>
  </si>
  <si>
    <t>https://ebookcentral.proquest.com/lib/NKNU/detail.action?docID=3309183</t>
  </si>
  <si>
    <t>https://ebookcentral.proquest.com/lib/NKNU/detail.action?docID=3309184</t>
  </si>
  <si>
    <t>https://ebookcentral.proquest.com/lib/NKNU/detail.action?docID=3309185</t>
  </si>
  <si>
    <t>https://ebookcentral.proquest.com/lib/NKNU/detail.action?docID=3309186</t>
  </si>
  <si>
    <t>https://ebookcentral.proquest.com/lib/NKNU/detail.action?docID=3309187</t>
  </si>
  <si>
    <t>https://ebookcentral.proquest.com/lib/NKNU/detail.action?docID=3309188</t>
  </si>
  <si>
    <t>https://ebookcentral.proquest.com/lib/NKNU/detail.action?docID=3309189</t>
  </si>
  <si>
    <t>https://ebookcentral.proquest.com/lib/NKNU/detail.action?docID=3309190</t>
  </si>
  <si>
    <t>https://ebookcentral.proquest.com/lib/NKNU/detail.action?docID=3309192</t>
  </si>
  <si>
    <t>https://ebookcentral.proquest.com/lib/NKNU/detail.action?docID=3309193</t>
  </si>
  <si>
    <t>https://ebookcentral.proquest.com/lib/NKNU/detail.action?docID=3309194</t>
  </si>
  <si>
    <t>https://ebookcentral.proquest.com/lib/NKNU/detail.action?docID=3309195</t>
  </si>
  <si>
    <t>https://ebookcentral.proquest.com/lib/NKNU/detail.action?docID=3309196</t>
  </si>
  <si>
    <t>https://ebookcentral.proquest.com/lib/NKNU/detail.action?docID=3309197</t>
  </si>
  <si>
    <t>https://ebookcentral.proquest.com/lib/NKNU/detail.action?docID=3309198</t>
  </si>
  <si>
    <t>https://ebookcentral.proquest.com/lib/NKNU/detail.action?docID=3309199</t>
  </si>
  <si>
    <t>https://ebookcentral.proquest.com/lib/NKNU/detail.action?docID=3309200</t>
  </si>
  <si>
    <t>https://ebookcentral.proquest.com/lib/NKNU/detail.action?docID=3309201</t>
  </si>
  <si>
    <t>https://ebookcentral.proquest.com/lib/NKNU/detail.action?docID=3309202</t>
  </si>
  <si>
    <t>https://ebookcentral.proquest.com/lib/NKNU/detail.action?docID=3309203</t>
  </si>
  <si>
    <t>https://ebookcentral.proquest.com/lib/NKNU/detail.action?docID=3309204</t>
  </si>
  <si>
    <t>https://ebookcentral.proquest.com/lib/NKNU/detail.action?docID=3309205</t>
  </si>
  <si>
    <t>https://ebookcentral.proquest.com/lib/NKNU/detail.action?docID=3309206</t>
  </si>
  <si>
    <t>https://ebookcentral.proquest.com/lib/NKNU/detail.action?docID=3309207</t>
  </si>
  <si>
    <t>https://ebookcentral.proquest.com/lib/NKNU/detail.action?docID=3309208</t>
  </si>
  <si>
    <t>https://ebookcentral.proquest.com/lib/NKNU/detail.action?docID=3309209</t>
  </si>
  <si>
    <t>https://ebookcentral.proquest.com/lib/NKNU/detail.action?docID=3309210</t>
  </si>
  <si>
    <t>https://ebookcentral.proquest.com/lib/NKNU/detail.action?docID=3309211</t>
  </si>
  <si>
    <t>https://ebookcentral.proquest.com/lib/NKNU/detail.action?docID=3309212</t>
  </si>
  <si>
    <t>https://ebookcentral.proquest.com/lib/NKNU/detail.action?docID=3309213</t>
  </si>
  <si>
    <t>https://ebookcentral.proquest.com/lib/NKNU/detail.action?docID=3309214</t>
  </si>
  <si>
    <t>https://ebookcentral.proquest.com/lib/NKNU/detail.action?docID=3309223</t>
  </si>
  <si>
    <t>https://ebookcentral.proquest.com/lib/NKNU/detail.action?docID=3309230</t>
  </si>
  <si>
    <t>https://ebookcentral.proquest.com/lib/NKNU/detail.action?docID=3309231</t>
  </si>
  <si>
    <t>https://ebookcentral.proquest.com/lib/NKNU/detail.action?docID=3309234</t>
  </si>
  <si>
    <t>https://ebookcentral.proquest.com/lib/NKNU/detail.action?docID=3309236</t>
  </si>
  <si>
    <t>https://ebookcentral.proquest.com/lib/NKNU/detail.action?docID=3309237</t>
  </si>
  <si>
    <t>https://ebookcentral.proquest.com/lib/NKNU/detail.action?docID=3309238</t>
  </si>
  <si>
    <t>https://ebookcentral.proquest.com/lib/NKNU/detail.action?docID=3309239</t>
  </si>
  <si>
    <t>https://ebookcentral.proquest.com/lib/NKNU/detail.action?docID=3309241</t>
  </si>
  <si>
    <t>https://ebookcentral.proquest.com/lib/NKNU/detail.action?docID=3309242</t>
  </si>
  <si>
    <t>https://ebookcentral.proquest.com/lib/NKNU/detail.action?docID=3309243</t>
  </si>
  <si>
    <t>https://ebookcentral.proquest.com/lib/NKNU/detail.action?docID=3309245</t>
  </si>
  <si>
    <t>https://ebookcentral.proquest.com/lib/NKNU/detail.action?docID=3309247</t>
  </si>
  <si>
    <t>https://ebookcentral.proquest.com/lib/NKNU/detail.action?docID=3309248</t>
  </si>
  <si>
    <t>https://ebookcentral.proquest.com/lib/NKNU/detail.action?docID=3309249</t>
  </si>
  <si>
    <t>https://ebookcentral.proquest.com/lib/NKNU/detail.action?docID=3309250</t>
  </si>
  <si>
    <t>https://ebookcentral.proquest.com/lib/NKNU/detail.action?docID=3309251</t>
  </si>
  <si>
    <t>https://ebookcentral.proquest.com/lib/NKNU/detail.action?docID=3309252</t>
  </si>
  <si>
    <t>https://ebookcentral.proquest.com/lib/NKNU/detail.action?docID=3309254</t>
  </si>
  <si>
    <t>https://ebookcentral.proquest.com/lib/NKNU/detail.action?docID=3309255</t>
  </si>
  <si>
    <t>https://ebookcentral.proquest.com/lib/NKNU/detail.action?docID=3309256</t>
  </si>
  <si>
    <t>https://ebookcentral.proquest.com/lib/NKNU/detail.action?docID=3309257</t>
  </si>
  <si>
    <t>https://ebookcentral.proquest.com/lib/NKNU/detail.action?docID=3309258</t>
  </si>
  <si>
    <t>https://ebookcentral.proquest.com/lib/NKNU/detail.action?docID=3309262</t>
  </si>
  <si>
    <t>https://ebookcentral.proquest.com/lib/NKNU/detail.action?docID=3309264</t>
  </si>
  <si>
    <t>https://ebookcentral.proquest.com/lib/NKNU/detail.action?docID=3309266</t>
  </si>
  <si>
    <t>https://ebookcentral.proquest.com/lib/NKNU/detail.action?docID=3309268</t>
  </si>
  <si>
    <t>https://ebookcentral.proquest.com/lib/NKNU/detail.action?docID=3309269</t>
  </si>
  <si>
    <t>https://ebookcentral.proquest.com/lib/NKNU/detail.action?docID=3309271</t>
  </si>
  <si>
    <t>https://ebookcentral.proquest.com/lib/NKNU/detail.action?docID=3309276</t>
  </si>
  <si>
    <t>https://ebookcentral.proquest.com/lib/NKNU/detail.action?docID=3309278</t>
  </si>
  <si>
    <t>https://ebookcentral.proquest.com/lib/NKNU/detail.action?docID=3309282</t>
  </si>
  <si>
    <t>https://ebookcentral.proquest.com/lib/NKNU/detail.action?docID=3309285</t>
  </si>
  <si>
    <t>https://ebookcentral.proquest.com/lib/NKNU/detail.action?docID=3309287</t>
  </si>
  <si>
    <t>https://ebookcentral.proquest.com/lib/NKNU/detail.action?docID=3309288</t>
  </si>
  <si>
    <t>https://ebookcentral.proquest.com/lib/NKNU/detail.action?docID=3309289</t>
  </si>
  <si>
    <t>https://ebookcentral.proquest.com/lib/NKNU/detail.action?docID=3309291</t>
  </si>
  <si>
    <t>https://ebookcentral.proquest.com/lib/NKNU/detail.action?docID=3309292</t>
  </si>
  <si>
    <t>https://ebookcentral.proquest.com/lib/NKNU/detail.action?docID=3309293</t>
  </si>
  <si>
    <t>https://ebookcentral.proquest.com/lib/NKNU/detail.action?docID=3309294</t>
  </si>
  <si>
    <t>https://ebookcentral.proquest.com/lib/NKNU/detail.action?docID=3309295</t>
  </si>
  <si>
    <t>https://ebookcentral.proquest.com/lib/NKNU/detail.action?docID=3309297</t>
  </si>
  <si>
    <t>https://ebookcentral.proquest.com/lib/NKNU/detail.action?docID=3309298</t>
  </si>
  <si>
    <t>https://ebookcentral.proquest.com/lib/NKNU/detail.action?docID=3309299</t>
  </si>
  <si>
    <t>https://ebookcentral.proquest.com/lib/NKNU/detail.action?docID=3309301</t>
  </si>
  <si>
    <t>https://ebookcentral.proquest.com/lib/NKNU/detail.action?docID=3309302</t>
  </si>
  <si>
    <t>https://ebookcentral.proquest.com/lib/NKNU/detail.action?docID=3309304</t>
  </si>
  <si>
    <t>https://ebookcentral.proquest.com/lib/NKNU/detail.action?docID=3309306</t>
  </si>
  <si>
    <t>https://ebookcentral.proquest.com/lib/NKNU/detail.action?docID=3309307</t>
  </si>
  <si>
    <t>https://ebookcentral.proquest.com/lib/NKNU/detail.action?docID=3309308</t>
  </si>
  <si>
    <t>https://ebookcentral.proquest.com/lib/NKNU/detail.action?docID=3309310</t>
  </si>
  <si>
    <t>https://ebookcentral.proquest.com/lib/NKNU/detail.action?docID=3309311</t>
  </si>
  <si>
    <t>https://ebookcentral.proquest.com/lib/NKNU/detail.action?docID=3309312</t>
  </si>
  <si>
    <t>https://ebookcentral.proquest.com/lib/NKNU/detail.action?docID=3309313</t>
  </si>
  <si>
    <t>https://ebookcentral.proquest.com/lib/NKNU/detail.action?docID=3309314</t>
  </si>
  <si>
    <t>https://ebookcentral.proquest.com/lib/NKNU/detail.action?docID=3309319</t>
  </si>
  <si>
    <t>https://ebookcentral.proquest.com/lib/NKNU/detail.action?docID=3309320</t>
  </si>
  <si>
    <t>https://ebookcentral.proquest.com/lib/NKNU/detail.action?docID=3309323</t>
  </si>
  <si>
    <t>https://ebookcentral.proquest.com/lib/NKNU/detail.action?docID=3309325</t>
  </si>
  <si>
    <t>https://ebookcentral.proquest.com/lib/NKNU/detail.action?docID=3309329</t>
  </si>
  <si>
    <t>https://ebookcentral.proquest.com/lib/NKNU/detail.action?docID=3309337</t>
  </si>
  <si>
    <t>https://ebookcentral.proquest.com/lib/NKNU/detail.action?docID=3309342</t>
  </si>
  <si>
    <t>https://ebookcentral.proquest.com/lib/NKNU/detail.action?docID=3309347</t>
  </si>
  <si>
    <t>https://ebookcentral.proquest.com/lib/NKNU/detail.action?docID=3309349</t>
  </si>
  <si>
    <t>https://ebookcentral.proquest.com/lib/NKNU/detail.action?docID=3309351</t>
  </si>
  <si>
    <t>https://ebookcentral.proquest.com/lib/NKNU/detail.action?docID=3309353</t>
  </si>
  <si>
    <t>https://ebookcentral.proquest.com/lib/NKNU/detail.action?docID=3309369</t>
  </si>
  <si>
    <t>https://ebookcentral.proquest.com/lib/NKNU/detail.action?docID=3309402</t>
  </si>
  <si>
    <t>https://ebookcentral.proquest.com/lib/NKNU/detail.action?docID=3309421</t>
  </si>
  <si>
    <t>https://ebookcentral.proquest.com/lib/NKNU/detail.action?docID=3309445</t>
  </si>
  <si>
    <t>https://ebookcentral.proquest.com/lib/NKNU/detail.action?docID=3309497</t>
  </si>
  <si>
    <t>https://ebookcentral.proquest.com/lib/NKNU/detail.action?docID=3309553</t>
  </si>
  <si>
    <t>https://ebookcentral.proquest.com/lib/NKNU/detail.action?docID=3309574</t>
  </si>
  <si>
    <t>https://ebookcentral.proquest.com/lib/NKNU/detail.action?docID=3309580</t>
  </si>
  <si>
    <t>https://ebookcentral.proquest.com/lib/NKNU/detail.action?docID=3309584</t>
  </si>
  <si>
    <t>https://ebookcentral.proquest.com/lib/NKNU/detail.action?docID=3309594</t>
  </si>
  <si>
    <t>https://ebookcentral.proquest.com/lib/NKNU/detail.action?docID=3309602</t>
  </si>
  <si>
    <t>https://ebookcentral.proquest.com/lib/NKNU/detail.action?docID=3309603</t>
  </si>
  <si>
    <t>https://ebookcentral.proquest.com/lib/NKNU/detail.action?docID=3309605</t>
  </si>
  <si>
    <t>https://ebookcentral.proquest.com/lib/NKNU/detail.action?docID=3309611</t>
  </si>
  <si>
    <t>https://ebookcentral.proquest.com/lib/NKNU/detail.action?docID=3309614</t>
  </si>
  <si>
    <t>https://ebookcentral.proquest.com/lib/NKNU/detail.action?docID=3309618</t>
  </si>
  <si>
    <t>https://ebookcentral.proquest.com/lib/NKNU/detail.action?docID=3310218</t>
  </si>
  <si>
    <t>https://ebookcentral.proquest.com/lib/NKNU/detail.action?docID=3310219</t>
  </si>
  <si>
    <t>https://ebookcentral.proquest.com/lib/NKNU/detail.action?docID=3310220</t>
  </si>
  <si>
    <t>https://ebookcentral.proquest.com/lib/NKNU/detail.action?docID=3310221</t>
  </si>
  <si>
    <t>https://ebookcentral.proquest.com/lib/NKNU/detail.action?docID=3310224</t>
  </si>
  <si>
    <t>https://ebookcentral.proquest.com/lib/NKNU/detail.action?docID=3310231</t>
  </si>
  <si>
    <t>https://ebookcentral.proquest.com/lib/NKNU/detail.action?docID=3310232</t>
  </si>
  <si>
    <t>https://ebookcentral.proquest.com/lib/NKNU/detail.action?docID=3310234</t>
  </si>
  <si>
    <t>https://ebookcentral.proquest.com/lib/NKNU/detail.action?docID=3310235</t>
  </si>
  <si>
    <t>https://ebookcentral.proquest.com/lib/NKNU/detail.action?docID=3314996</t>
  </si>
  <si>
    <t>https://ebookcentral.proquest.com/lib/NKNU/detail.action?docID=3314997</t>
  </si>
  <si>
    <t>https://ebookcentral.proquest.com/lib/NKNU/detail.action?docID=3315005</t>
  </si>
  <si>
    <t>https://ebookcentral.proquest.com/lib/NKNU/detail.action?docID=3315006</t>
  </si>
  <si>
    <t>https://ebookcentral.proquest.com/lib/NKNU/detail.action?docID=3315008</t>
  </si>
  <si>
    <t>https://ebookcentral.proquest.com/lib/NKNU/detail.action?docID=3315046</t>
  </si>
  <si>
    <t>https://ebookcentral.proquest.com/lib/NKNU/detail.action?docID=3315058</t>
  </si>
  <si>
    <t>https://ebookcentral.proquest.com/lib/NKNU/detail.action?docID=3315094</t>
  </si>
  <si>
    <t>https://ebookcentral.proquest.com/lib/NKNU/detail.action?docID=3315105</t>
  </si>
  <si>
    <t>https://ebookcentral.proquest.com/lib/NKNU/detail.action?docID=3315126</t>
  </si>
  <si>
    <t>https://ebookcentral.proquest.com/lib/NKNU/detail.action?docID=3315128</t>
  </si>
  <si>
    <t>https://ebookcentral.proquest.com/lib/NKNU/detail.action?docID=3315130</t>
  </si>
  <si>
    <t>https://ebookcentral.proquest.com/lib/NKNU/detail.action?docID=3315154</t>
  </si>
  <si>
    <t>https://ebookcentral.proquest.com/lib/NKNU/detail.action?docID=3315170</t>
  </si>
  <si>
    <t>https://ebookcentral.proquest.com/lib/NKNU/detail.action?docID=3315183</t>
  </si>
  <si>
    <t>https://ebookcentral.proquest.com/lib/NKNU/detail.action?docID=3315205</t>
  </si>
  <si>
    <t>https://ebookcentral.proquest.com/lib/NKNU/detail.action?docID=3315216</t>
  </si>
  <si>
    <t>https://ebookcentral.proquest.com/lib/NKNU/detail.action?docID=3315223</t>
  </si>
  <si>
    <t>https://ebookcentral.proquest.com/lib/NKNU/detail.action?docID=3315236</t>
  </si>
  <si>
    <t>https://ebookcentral.proquest.com/lib/NKNU/detail.action?docID=3315247</t>
  </si>
  <si>
    <t>https://ebookcentral.proquest.com/lib/NKNU/detail.action?docID=3315251</t>
  </si>
  <si>
    <t>https://ebookcentral.proquest.com/lib/NKNU/detail.action?docID=3315252</t>
  </si>
  <si>
    <t>https://ebookcentral.proquest.com/lib/NKNU/detail.action?docID=3315254</t>
  </si>
  <si>
    <t>https://ebookcentral.proquest.com/lib/NKNU/detail.action?docID=3315267</t>
  </si>
  <si>
    <t>https://ebookcentral.proquest.com/lib/NKNU/detail.action?docID=3315273</t>
  </si>
  <si>
    <t>https://ebookcentral.proquest.com/lib/NKNU/detail.action?docID=3315274</t>
  </si>
  <si>
    <t>https://ebookcentral.proquest.com/lib/NKNU/detail.action?docID=3315278</t>
  </si>
  <si>
    <t>https://ebookcentral.proquest.com/lib/NKNU/detail.action?docID=3315295</t>
  </si>
  <si>
    <t>https://ebookcentral.proquest.com/lib/NKNU/detail.action?docID=3315296</t>
  </si>
  <si>
    <t>https://ebookcentral.proquest.com/lib/NKNU/detail.action?docID=3315298</t>
  </si>
  <si>
    <t>https://ebookcentral.proquest.com/lib/NKNU/detail.action?docID=3315301</t>
  </si>
  <si>
    <t>https://ebookcentral.proquest.com/lib/NKNU/detail.action?docID=3315311</t>
  </si>
  <si>
    <t>https://ebookcentral.proquest.com/lib/NKNU/detail.action?docID=3315315</t>
  </si>
  <si>
    <t>https://ebookcentral.proquest.com/lib/NKNU/detail.action?docID=3315319</t>
  </si>
  <si>
    <t>https://ebookcentral.proquest.com/lib/NKNU/detail.action?docID=3315328</t>
  </si>
  <si>
    <t>https://ebookcentral.proquest.com/lib/NKNU/detail.action?docID=3315341</t>
  </si>
  <si>
    <t>https://ebookcentral.proquest.com/lib/NKNU/detail.action?docID=3315343</t>
  </si>
  <si>
    <t>https://ebookcentral.proquest.com/lib/NKNU/detail.action?docID=3315344</t>
  </si>
  <si>
    <t>https://ebookcentral.proquest.com/lib/NKNU/detail.action?docID=3315346</t>
  </si>
  <si>
    <t>https://ebookcentral.proquest.com/lib/NKNU/detail.action?docID=3315349</t>
  </si>
  <si>
    <t>https://ebookcentral.proquest.com/lib/NKNU/detail.action?docID=3315355</t>
  </si>
  <si>
    <t>https://ebookcentral.proquest.com/lib/NKNU/detail.action?docID=3315359</t>
  </si>
  <si>
    <t>https://ebookcentral.proquest.com/lib/NKNU/detail.action?docID=3315363</t>
  </si>
  <si>
    <t>https://ebookcentral.proquest.com/lib/NKNU/detail.action?docID=3315371</t>
  </si>
  <si>
    <t>https://ebookcentral.proquest.com/lib/NKNU/detail.action?docID=3315374</t>
  </si>
  <si>
    <t>https://ebookcentral.proquest.com/lib/NKNU/detail.action?docID=3315375</t>
  </si>
  <si>
    <t>https://ebookcentral.proquest.com/lib/NKNU/detail.action?docID=3315379</t>
  </si>
  <si>
    <t>https://ebookcentral.proquest.com/lib/NKNU/detail.action?docID=3315382</t>
  </si>
  <si>
    <t>https://ebookcentral.proquest.com/lib/NKNU/detail.action?docID=3315383</t>
  </si>
  <si>
    <t>https://ebookcentral.proquest.com/lib/NKNU/detail.action?docID=3315385</t>
  </si>
  <si>
    <t>https://ebookcentral.proquest.com/lib/NKNU/detail.action?docID=3315388</t>
  </si>
  <si>
    <t>https://ebookcentral.proquest.com/lib/NKNU/detail.action?docID=3315393</t>
  </si>
  <si>
    <t>https://ebookcentral.proquest.com/lib/NKNU/detail.action?docID=3315395</t>
  </si>
  <si>
    <t>https://ebookcentral.proquest.com/lib/NKNU/detail.action?docID=3315396</t>
  </si>
  <si>
    <t>https://ebookcentral.proquest.com/lib/NKNU/detail.action?docID=3315403</t>
  </si>
  <si>
    <t>https://ebookcentral.proquest.com/lib/NKNU/detail.action?docID=3315407</t>
  </si>
  <si>
    <t>https://ebookcentral.proquest.com/lib/NKNU/detail.action?docID=3315412</t>
  </si>
  <si>
    <t>https://ebookcentral.proquest.com/lib/NKNU/detail.action?docID=3315414</t>
  </si>
  <si>
    <t>https://ebookcentral.proquest.com/lib/NKNU/detail.action?docID=3315417</t>
  </si>
  <si>
    <t>https://ebookcentral.proquest.com/lib/NKNU/detail.action?docID=3315419</t>
  </si>
  <si>
    <t>https://ebookcentral.proquest.com/lib/NKNU/detail.action?docID=3315421</t>
  </si>
  <si>
    <t>https://ebookcentral.proquest.com/lib/NKNU/detail.action?docID=3315431</t>
  </si>
  <si>
    <t>https://ebookcentral.proquest.com/lib/NKNU/detail.action?docID=3315441</t>
  </si>
  <si>
    <t>https://ebookcentral.proquest.com/lib/NKNU/detail.action?docID=3315444</t>
  </si>
  <si>
    <t>https://ebookcentral.proquest.com/lib/NKNU/detail.action?docID=3315448</t>
  </si>
  <si>
    <t>https://ebookcentral.proquest.com/lib/NKNU/detail.action?docID=3315449</t>
  </si>
  <si>
    <t>https://ebookcentral.proquest.com/lib/NKNU/detail.action?docID=3315450</t>
  </si>
  <si>
    <t>https://ebookcentral.proquest.com/lib/NKNU/detail.action?docID=3315455</t>
  </si>
  <si>
    <t>https://ebookcentral.proquest.com/lib/NKNU/detail.action?docID=3315472</t>
  </si>
  <si>
    <t>https://ebookcentral.proquest.com/lib/NKNU/detail.action?docID=3315478</t>
  </si>
  <si>
    <t>https://ebookcentral.proquest.com/lib/NKNU/detail.action?docID=3315482</t>
  </si>
  <si>
    <t>https://ebookcentral.proquest.com/lib/NKNU/detail.action?docID=3315488</t>
  </si>
  <si>
    <t>https://ebookcentral.proquest.com/lib/NKNU/detail.action?docID=3315495</t>
  </si>
  <si>
    <t>https://ebookcentral.proquest.com/lib/NKNU/detail.action?docID=3315512</t>
  </si>
  <si>
    <t>https://ebookcentral.proquest.com/lib/NKNU/detail.action?docID=3315528</t>
  </si>
  <si>
    <t>https://ebookcentral.proquest.com/lib/NKNU/detail.action?docID=3315533</t>
  </si>
  <si>
    <t>https://ebookcentral.proquest.com/lib/NKNU/detail.action?docID=3315534</t>
  </si>
  <si>
    <t>https://ebookcentral.proquest.com/lib/NKNU/detail.action?docID=3315536</t>
  </si>
  <si>
    <t>https://ebookcentral.proquest.com/lib/NKNU/detail.action?docID=3315573</t>
  </si>
  <si>
    <t>https://ebookcentral.proquest.com/lib/NKNU/detail.action?docID=3315576</t>
  </si>
  <si>
    <t>https://ebookcentral.proquest.com/lib/NKNU/detail.action?docID=3315621</t>
  </si>
  <si>
    <t>https://ebookcentral.proquest.com/lib/NKNU/detail.action?docID=3318265</t>
  </si>
  <si>
    <t>https://ebookcentral.proquest.com/lib/NKNU/detail.action?docID=3318339</t>
  </si>
  <si>
    <t>https://ebookcentral.proquest.com/lib/NKNU/detail.action?docID=3319464</t>
  </si>
  <si>
    <t>https://ebookcentral.proquest.com/lib/NKNU/detail.action?docID=3319472</t>
  </si>
  <si>
    <t>https://ebookcentral.proquest.com/lib/NKNU/detail.action?docID=3327105</t>
  </si>
  <si>
    <t>https://ebookcentral.proquest.com/lib/NKNU/detail.action?docID=3327112</t>
  </si>
  <si>
    <t>https://ebookcentral.proquest.com/lib/NKNU/detail.action?docID=3328207</t>
  </si>
  <si>
    <t>https://ebookcentral.proquest.com/lib/NKNU/detail.action?docID=3328210</t>
  </si>
  <si>
    <t>https://ebookcentral.proquest.com/lib/NKNU/detail.action?docID=3328212</t>
  </si>
  <si>
    <t>https://ebookcentral.proquest.com/lib/NKNU/detail.action?docID=3328216</t>
  </si>
  <si>
    <t>https://ebookcentral.proquest.com/lib/NKNU/detail.action?docID=3328217</t>
  </si>
  <si>
    <t>https://ebookcentral.proquest.com/lib/NKNU/detail.action?docID=3329163</t>
  </si>
  <si>
    <t>https://ebookcentral.proquest.com/lib/NKNU/detail.action?docID=3330705</t>
  </si>
  <si>
    <t>https://ebookcentral.proquest.com/lib/NKNU/detail.action?docID=3330948</t>
  </si>
  <si>
    <t>https://ebookcentral.proquest.com/lib/NKNU/detail.action?docID=3331349</t>
  </si>
  <si>
    <t>https://ebookcentral.proquest.com/lib/NKNU/detail.action?docID=3331422</t>
  </si>
  <si>
    <t>https://ebookcentral.proquest.com/lib/NKNU/detail.action?docID=3331451</t>
  </si>
  <si>
    <t>https://ebookcentral.proquest.com/lib/NKNU/detail.action?docID=3331467</t>
  </si>
  <si>
    <t>https://ebookcentral.proquest.com/lib/NKNU/detail.action?docID=3331478</t>
  </si>
  <si>
    <t>https://ebookcentral.proquest.com/lib/NKNU/detail.action?docID=3331491</t>
  </si>
  <si>
    <t>https://ebookcentral.proquest.com/lib/NKNU/detail.action?docID=3331499</t>
  </si>
  <si>
    <t>https://ebookcentral.proquest.com/lib/NKNU/detail.action?docID=3331561</t>
  </si>
  <si>
    <t>https://ebookcentral.proquest.com/lib/NKNU/detail.action?docID=3331605</t>
  </si>
  <si>
    <t>https://ebookcentral.proquest.com/lib/NKNU/detail.action?docID=3331811</t>
  </si>
  <si>
    <t>https://ebookcentral.proquest.com/lib/NKNU/detail.action?docID=3338547</t>
  </si>
  <si>
    <t>https://ebookcentral.proquest.com/lib/NKNU/detail.action?docID=3338579</t>
  </si>
  <si>
    <t>https://ebookcentral.proquest.com/lib/NKNU/detail.action?docID=3338587</t>
  </si>
  <si>
    <t>https://ebookcentral.proquest.com/lib/NKNU/detail.action?docID=3338692</t>
  </si>
  <si>
    <t>https://ebookcentral.proquest.com/lib/NKNU/detail.action?docID=3338696</t>
  </si>
  <si>
    <t>https://ebookcentral.proquest.com/lib/NKNU/detail.action?docID=3338723</t>
  </si>
  <si>
    <t>https://ebookcentral.proquest.com/lib/NKNU/detail.action?docID=3338729</t>
  </si>
  <si>
    <t>https://ebookcentral.proquest.com/lib/NKNU/detail.action?docID=3338730</t>
  </si>
  <si>
    <t>https://ebookcentral.proquest.com/lib/NKNU/detail.action?docID=3338733</t>
  </si>
  <si>
    <t>https://ebookcentral.proquest.com/lib/NKNU/detail.action?docID=3338734</t>
  </si>
  <si>
    <t>https://ebookcentral.proquest.com/lib/NKNU/detail.action?docID=3338759</t>
  </si>
  <si>
    <t>https://ebookcentral.proquest.com/lib/NKNU/detail.action?docID=3338779</t>
  </si>
  <si>
    <t>https://ebookcentral.proquest.com/lib/NKNU/detail.action?docID=3338780</t>
  </si>
  <si>
    <t>https://ebookcentral.proquest.com/lib/NKNU/detail.action?docID=3338785</t>
  </si>
  <si>
    <t>https://ebookcentral.proquest.com/lib/NKNU/detail.action?docID=3338786</t>
  </si>
  <si>
    <t>https://ebookcentral.proquest.com/lib/NKNU/detail.action?docID=3338787</t>
  </si>
  <si>
    <t>https://ebookcentral.proquest.com/lib/NKNU/detail.action?docID=3338970</t>
  </si>
  <si>
    <t>https://ebookcentral.proquest.com/lib/NKNU/detail.action?docID=3338977</t>
  </si>
  <si>
    <t>https://ebookcentral.proquest.com/lib/NKNU/detail.action?docID=3338979</t>
  </si>
  <si>
    <t>https://ebookcentral.proquest.com/lib/NKNU/detail.action?docID=3339003</t>
  </si>
  <si>
    <t>https://ebookcentral.proquest.com/lib/NKNU/detail.action?docID=3339004</t>
  </si>
  <si>
    <t>https://ebookcentral.proquest.com/lib/NKNU/detail.action?docID=3339017</t>
  </si>
  <si>
    <t>https://ebookcentral.proquest.com/lib/NKNU/detail.action?docID=3339020</t>
  </si>
  <si>
    <t>https://ebookcentral.proquest.com/lib/NKNU/detail.action?docID=3339022</t>
  </si>
  <si>
    <t>https://ebookcentral.proquest.com/lib/NKNU/detail.action?docID=3339025</t>
  </si>
  <si>
    <t>https://ebookcentral.proquest.com/lib/NKNU/detail.action?docID=3339030</t>
  </si>
  <si>
    <t>https://ebookcentral.proquest.com/lib/NKNU/detail.action?docID=3339041</t>
  </si>
  <si>
    <t>https://ebookcentral.proquest.com/lib/NKNU/detail.action?docID=3339077</t>
  </si>
  <si>
    <t>https://ebookcentral.proquest.com/lib/NKNU/detail.action?docID=3339085</t>
  </si>
  <si>
    <t>https://ebookcentral.proquest.com/lib/NKNU/detail.action?docID=3339120</t>
  </si>
  <si>
    <t>https://ebookcentral.proquest.com/lib/NKNU/detail.action?docID=3339129</t>
  </si>
  <si>
    <t>https://ebookcentral.proquest.com/lib/NKNU/detail.action?docID=3339136</t>
  </si>
  <si>
    <t>https://ebookcentral.proquest.com/lib/NKNU/detail.action?docID=3339138</t>
  </si>
  <si>
    <t>https://ebookcentral.proquest.com/lib/NKNU/detail.action?docID=3339139</t>
  </si>
  <si>
    <t>https://ebookcentral.proquest.com/lib/NKNU/detail.action?docID=3339140</t>
  </si>
  <si>
    <t>https://ebookcentral.proquest.com/lib/NKNU/detail.action?docID=3339141</t>
  </si>
  <si>
    <t>https://ebookcentral.proquest.com/lib/NKNU/detail.action?docID=3339148</t>
  </si>
  <si>
    <t>https://ebookcentral.proquest.com/lib/NKNU/detail.action?docID=3339150</t>
  </si>
  <si>
    <t>https://ebookcentral.proquest.com/lib/NKNU/detail.action?docID=3339154</t>
  </si>
  <si>
    <t>https://ebookcentral.proquest.com/lib/NKNU/detail.action?docID=3339196</t>
  </si>
  <si>
    <t>https://ebookcentral.proquest.com/lib/NKNU/detail.action?docID=3339265</t>
  </si>
  <si>
    <t>https://ebookcentral.proquest.com/lib/NKNU/detail.action?docID=3339468</t>
  </si>
  <si>
    <t>https://ebookcentral.proquest.com/lib/NKNU/detail.action?docID=3375238</t>
  </si>
  <si>
    <t>https://ebookcentral.proquest.com/lib/NKNU/detail.action?docID=3375241</t>
  </si>
  <si>
    <t>https://ebookcentral.proquest.com/lib/NKNU/detail.action?docID=3375333</t>
  </si>
  <si>
    <t>https://ebookcentral.proquest.com/lib/NKNU/detail.action?docID=3375788</t>
  </si>
  <si>
    <t>https://ebookcentral.proquest.com/lib/NKNU/detail.action?docID=3375894</t>
  </si>
  <si>
    <t>https://ebookcentral.proquest.com/lib/NKNU/detail.action?docID=3376750</t>
  </si>
  <si>
    <t>https://ebookcentral.proquest.com/lib/NKNU/detail.action?docID=3376822</t>
  </si>
  <si>
    <t>https://ebookcentral.proquest.com/lib/NKNU/detail.action?docID=3377234</t>
  </si>
  <si>
    <t>https://ebookcentral.proquest.com/lib/NKNU/detail.action?docID=3377423</t>
  </si>
  <si>
    <t>https://ebookcentral.proquest.com/lib/NKNU/detail.action?docID=3377865</t>
  </si>
  <si>
    <t>https://ebookcentral.proquest.com/lib/NKNU/detail.action?docID=3377882</t>
  </si>
  <si>
    <t>https://ebookcentral.proquest.com/lib/NKNU/detail.action?docID=3378009</t>
  </si>
  <si>
    <t>https://ebookcentral.proquest.com/lib/NKNU/detail.action?docID=3378033</t>
  </si>
  <si>
    <t>https://ebookcentral.proquest.com/lib/NKNU/detail.action?docID=3378041</t>
  </si>
  <si>
    <t>https://ebookcentral.proquest.com/lib/NKNU/detail.action?docID=3378049</t>
  </si>
  <si>
    <t>https://ebookcentral.proquest.com/lib/NKNU/detail.action?docID=3378058</t>
  </si>
  <si>
    <t>https://ebookcentral.proquest.com/lib/NKNU/detail.action?docID=3378077</t>
  </si>
  <si>
    <t>https://ebookcentral.proquest.com/lib/NKNU/detail.action?docID=3378100</t>
  </si>
  <si>
    <t>https://ebookcentral.proquest.com/lib/NKNU/detail.action?docID=3378102</t>
  </si>
  <si>
    <t>https://ebookcentral.proquest.com/lib/NKNU/detail.action?docID=3378107</t>
  </si>
  <si>
    <t>https://ebookcentral.proquest.com/lib/NKNU/detail.action?docID=3378111</t>
  </si>
  <si>
    <t>https://ebookcentral.proquest.com/lib/NKNU/detail.action?docID=3378112</t>
  </si>
  <si>
    <t>https://ebookcentral.proquest.com/lib/NKNU/detail.action?docID=3378114</t>
  </si>
  <si>
    <t>https://ebookcentral.proquest.com/lib/NKNU/detail.action?docID=3378123</t>
  </si>
  <si>
    <t>https://ebookcentral.proquest.com/lib/NKNU/detail.action?docID=3378124</t>
  </si>
  <si>
    <t>https://ebookcentral.proquest.com/lib/NKNU/detail.action?docID=3378134</t>
  </si>
  <si>
    <t>https://ebookcentral.proquest.com/lib/NKNU/detail.action?docID=3378136</t>
  </si>
  <si>
    <t>https://ebookcentral.proquest.com/lib/NKNU/detail.action?docID=3378151</t>
  </si>
  <si>
    <t>https://ebookcentral.proquest.com/lib/NKNU/detail.action?docID=3378157</t>
  </si>
  <si>
    <t>https://ebookcentral.proquest.com/lib/NKNU/detail.action?docID=3378192</t>
  </si>
  <si>
    <t>https://ebookcentral.proquest.com/lib/NKNU/detail.action?docID=3378193</t>
  </si>
  <si>
    <t>https://ebookcentral.proquest.com/lib/NKNU/detail.action?docID=3378220</t>
  </si>
  <si>
    <t>https://ebookcentral.proquest.com/lib/NKNU/detail.action?docID=3378266</t>
  </si>
  <si>
    <t>https://ebookcentral.proquest.com/lib/NKNU/detail.action?docID=3378269</t>
  </si>
  <si>
    <t>https://ebookcentral.proquest.com/lib/NKNU/detail.action?docID=3378283</t>
  </si>
  <si>
    <t>https://ebookcentral.proquest.com/lib/NKNU/detail.action?docID=3378287</t>
  </si>
  <si>
    <t>https://ebookcentral.proquest.com/lib/NKNU/detail.action?docID=3378288</t>
  </si>
  <si>
    <t>https://ebookcentral.proquest.com/lib/NKNU/detail.action?docID=3378292</t>
  </si>
  <si>
    <t>https://ebookcentral.proquest.com/lib/NKNU/detail.action?docID=3378293</t>
  </si>
  <si>
    <t>https://ebookcentral.proquest.com/lib/NKNU/detail.action?docID=3378655</t>
  </si>
  <si>
    <t>https://ebookcentral.proquest.com/lib/NKNU/detail.action?docID=3378695</t>
  </si>
  <si>
    <t>https://ebookcentral.proquest.com/lib/NKNU/detail.action?docID=3378755</t>
  </si>
  <si>
    <t>https://ebookcentral.proquest.com/lib/NKNU/detail.action?docID=3378885</t>
  </si>
  <si>
    <t>https://ebookcentral.proquest.com/lib/NKNU/detail.action?docID=3382411</t>
  </si>
  <si>
    <t>https://ebookcentral.proquest.com/lib/NKNU/detail.action?docID=3383559</t>
  </si>
  <si>
    <t>https://ebookcentral.proquest.com/lib/NKNU/detail.action?docID=3383560</t>
  </si>
  <si>
    <t>https://ebookcentral.proquest.com/lib/NKNU/detail.action?docID=3383565</t>
  </si>
  <si>
    <t>https://ebookcentral.proquest.com/lib/NKNU/detail.action?docID=3383572</t>
  </si>
  <si>
    <t>https://ebookcentral.proquest.com/lib/NKNU/detail.action?docID=3383574</t>
  </si>
  <si>
    <t>https://ebookcentral.proquest.com/lib/NKNU/detail.action?docID=3383584</t>
  </si>
  <si>
    <t>https://ebookcentral.proquest.com/lib/NKNU/detail.action?docID=3383585</t>
  </si>
  <si>
    <t>https://ebookcentral.proquest.com/lib/NKNU/detail.action?docID=3383598</t>
  </si>
  <si>
    <t>https://ebookcentral.proquest.com/lib/NKNU/detail.action?docID=3383602</t>
  </si>
  <si>
    <t>https://ebookcentral.proquest.com/lib/NKNU/detail.action?docID=3383608</t>
  </si>
  <si>
    <t>https://ebookcentral.proquest.com/lib/NKNU/detail.action?docID=3383623</t>
  </si>
  <si>
    <t>https://ebookcentral.proquest.com/lib/NKNU/detail.action?docID=3384084</t>
  </si>
  <si>
    <t>https://ebookcentral.proquest.com/lib/NKNU/detail.action?docID=3384085</t>
  </si>
  <si>
    <t>https://ebookcentral.proquest.com/lib/NKNU/detail.action?docID=3384088</t>
  </si>
  <si>
    <t>https://ebookcentral.proquest.com/lib/NKNU/detail.action?docID=3384139</t>
  </si>
  <si>
    <t>https://ebookcentral.proquest.com/lib/NKNU/detail.action?docID=3384184</t>
  </si>
  <si>
    <t>https://ebookcentral.proquest.com/lib/NKNU/detail.action?docID=3384186</t>
  </si>
  <si>
    <t>https://ebookcentral.proquest.com/lib/NKNU/detail.action?docID=3384187</t>
  </si>
  <si>
    <t>https://ebookcentral.proquest.com/lib/NKNU/detail.action?docID=3384188</t>
  </si>
  <si>
    <t>https://ebookcentral.proquest.com/lib/NKNU/detail.action?docID=3384189</t>
  </si>
  <si>
    <t>https://ebookcentral.proquest.com/lib/NKNU/detail.action?docID=3384190</t>
  </si>
  <si>
    <t>https://ebookcentral.proquest.com/lib/NKNU/detail.action?docID=3384191</t>
  </si>
  <si>
    <t>https://ebookcentral.proquest.com/lib/NKNU/detail.action?docID=3384194</t>
  </si>
  <si>
    <t>https://ebookcentral.proquest.com/lib/NKNU/detail.action?docID=3384195</t>
  </si>
  <si>
    <t>https://ebookcentral.proquest.com/lib/NKNU/detail.action?docID=3384196</t>
  </si>
  <si>
    <t>https://ebookcentral.proquest.com/lib/NKNU/detail.action?docID=3384749</t>
  </si>
  <si>
    <t>https://ebookcentral.proquest.com/lib/NKNU/detail.action?docID=3384753</t>
  </si>
  <si>
    <t>https://ebookcentral.proquest.com/lib/NKNU/detail.action?docID=3385456</t>
  </si>
  <si>
    <t>https://ebookcentral.proquest.com/lib/NKNU/detail.action?docID=3385467</t>
  </si>
  <si>
    <t>https://ebookcentral.proquest.com/lib/NKNU/detail.action?docID=3385470</t>
  </si>
  <si>
    <t>https://ebookcentral.proquest.com/lib/NKNU/detail.action?docID=3385471</t>
  </si>
  <si>
    <t>https://ebookcentral.proquest.com/lib/NKNU/detail.action?docID=3385473</t>
  </si>
  <si>
    <t>https://ebookcentral.proquest.com/lib/NKNU/detail.action?docID=3385476</t>
  </si>
  <si>
    <t>https://ebookcentral.proquest.com/lib/NKNU/detail.action?docID=3385484</t>
  </si>
  <si>
    <t>https://ebookcentral.proquest.com/lib/NKNU/detail.action?docID=3385487</t>
  </si>
  <si>
    <t>https://ebookcentral.proquest.com/lib/NKNU/detail.action?docID=3385489</t>
  </si>
  <si>
    <t>https://ebookcentral.proquest.com/lib/NKNU/detail.action?docID=3385493</t>
  </si>
  <si>
    <t>https://ebookcentral.proquest.com/lib/NKNU/detail.action?docID=3385495</t>
  </si>
  <si>
    <t>https://ebookcentral.proquest.com/lib/NKNU/detail.action?docID=3385508</t>
  </si>
  <si>
    <t>https://ebookcentral.proquest.com/lib/NKNU/detail.action?docID=3385512</t>
  </si>
  <si>
    <t>https://ebookcentral.proquest.com/lib/NKNU/detail.action?docID=3385515</t>
  </si>
  <si>
    <t>https://ebookcentral.proquest.com/lib/NKNU/detail.action?docID=3385516</t>
  </si>
  <si>
    <t>https://ebookcentral.proquest.com/lib/NKNU/detail.action?docID=3385517</t>
  </si>
  <si>
    <t>https://ebookcentral.proquest.com/lib/NKNU/detail.action?docID=3385668</t>
  </si>
  <si>
    <t>https://ebookcentral.proquest.com/lib/NKNU/detail.action?docID=3385669</t>
  </si>
  <si>
    <t>https://ebookcentral.proquest.com/lib/NKNU/detail.action?docID=3385670</t>
  </si>
  <si>
    <t>https://ebookcentral.proquest.com/lib/NKNU/detail.action?docID=3386140</t>
  </si>
  <si>
    <t>https://ebookcentral.proquest.com/lib/NKNU/detail.action?docID=3386168</t>
  </si>
  <si>
    <t>https://ebookcentral.proquest.com/lib/NKNU/detail.action?docID=3386180</t>
  </si>
  <si>
    <t>https://ebookcentral.proquest.com/lib/NKNU/detail.action?docID=3386255</t>
  </si>
  <si>
    <t>https://ebookcentral.proquest.com/lib/NKNU/detail.action?docID=3386287</t>
  </si>
  <si>
    <t>https://ebookcentral.proquest.com/lib/NKNU/detail.action?docID=3386346</t>
  </si>
  <si>
    <t>https://ebookcentral.proquest.com/lib/NKNU/detail.action?docID=3386440</t>
  </si>
  <si>
    <t>https://ebookcentral.proquest.com/lib/NKNU/detail.action?docID=3386531</t>
  </si>
  <si>
    <t>https://ebookcentral.proquest.com/lib/NKNU/detail.action?docID=3386579</t>
  </si>
  <si>
    <t>https://ebookcentral.proquest.com/lib/NKNU/detail.action?docID=3386603</t>
  </si>
  <si>
    <t>https://ebookcentral.proquest.com/lib/NKNU/detail.action?docID=3386906</t>
  </si>
  <si>
    <t>https://ebookcentral.proquest.com/lib/NKNU/detail.action?docID=3386912</t>
  </si>
  <si>
    <t>https://ebookcentral.proquest.com/lib/NKNU/detail.action?docID=3399989</t>
  </si>
  <si>
    <t>https://ebookcentral.proquest.com/lib/NKNU/detail.action?docID=3400079</t>
  </si>
  <si>
    <t>https://ebookcentral.proquest.com/lib/NKNU/detail.action?docID=3400386</t>
  </si>
  <si>
    <t>https://ebookcentral.proquest.com/lib/NKNU/detail.action?docID=3400414</t>
  </si>
  <si>
    <t>https://ebookcentral.proquest.com/lib/NKNU/detail.action?docID=3400415</t>
  </si>
  <si>
    <t>https://ebookcentral.proquest.com/lib/NKNU/detail.action?docID=3400417</t>
  </si>
  <si>
    <t>https://ebookcentral.proquest.com/lib/NKNU/detail.action?docID=3400426</t>
  </si>
  <si>
    <t>https://ebookcentral.proquest.com/lib/NKNU/detail.action?docID=3400702</t>
  </si>
  <si>
    <t>https://ebookcentral.proquest.com/lib/NKNU/detail.action?docID=3404264</t>
  </si>
  <si>
    <t>https://ebookcentral.proquest.com/lib/NKNU/detail.action?docID=3404269</t>
  </si>
  <si>
    <t>https://ebookcentral.proquest.com/lib/NKNU/detail.action?docID=3404283</t>
  </si>
  <si>
    <t>https://ebookcentral.proquest.com/lib/NKNU/detail.action?docID=3404297</t>
  </si>
  <si>
    <t>https://ebookcentral.proquest.com/lib/NKNU/detail.action?docID=3410607</t>
  </si>
  <si>
    <t>https://ebookcentral.proquest.com/lib/NKNU/detail.action?docID=3410612</t>
  </si>
  <si>
    <t>https://ebookcentral.proquest.com/lib/NKNU/detail.action?docID=3410614</t>
  </si>
  <si>
    <t>https://ebookcentral.proquest.com/lib/NKNU/detail.action?docID=3410615</t>
  </si>
  <si>
    <t>https://ebookcentral.proquest.com/lib/NKNU/detail.action?docID=3410621</t>
  </si>
  <si>
    <t>https://ebookcentral.proquest.com/lib/NKNU/detail.action?docID=3410623</t>
  </si>
  <si>
    <t>https://ebookcentral.proquest.com/lib/NKNU/detail.action?docID=3410625</t>
  </si>
  <si>
    <t>https://ebookcentral.proquest.com/lib/NKNU/detail.action?docID=3410737</t>
  </si>
  <si>
    <t>https://ebookcentral.proquest.com/lib/NKNU/detail.action?docID=3410767</t>
  </si>
  <si>
    <t>https://ebookcentral.proquest.com/lib/NKNU/detail.action?docID=3410842</t>
  </si>
  <si>
    <t>https://ebookcentral.proquest.com/lib/NKNU/detail.action?docID=3410856</t>
  </si>
  <si>
    <t>https://ebookcentral.proquest.com/lib/NKNU/detail.action?docID=3410862</t>
  </si>
  <si>
    <t>https://ebookcentral.proquest.com/lib/NKNU/detail.action?docID=3412402</t>
  </si>
  <si>
    <t>https://ebookcentral.proquest.com/lib/NKNU/detail.action?docID=3412627</t>
  </si>
  <si>
    <t>https://ebookcentral.proquest.com/lib/NKNU/detail.action?docID=3413228</t>
  </si>
  <si>
    <t>https://ebookcentral.proquest.com/lib/NKNU/detail.action?docID=3413235</t>
  </si>
  <si>
    <t>https://ebookcentral.proquest.com/lib/NKNU/detail.action?docID=3413239</t>
  </si>
  <si>
    <t>https://ebookcentral.proquest.com/lib/NKNU/detail.action?docID=3413243</t>
  </si>
  <si>
    <t>https://ebookcentral.proquest.com/lib/NKNU/detail.action?docID=3413246</t>
  </si>
  <si>
    <t>https://ebookcentral.proquest.com/lib/NKNU/detail.action?docID=3413250</t>
  </si>
  <si>
    <t>https://ebookcentral.proquest.com/lib/NKNU/detail.action?docID=3413251</t>
  </si>
  <si>
    <t>https://ebookcentral.proquest.com/lib/NKNU/detail.action?docID=3413252</t>
  </si>
  <si>
    <t>https://ebookcentral.proquest.com/lib/NKNU/detail.action?docID=3413258</t>
  </si>
  <si>
    <t>https://ebookcentral.proquest.com/lib/NKNU/detail.action?docID=3413259</t>
  </si>
  <si>
    <t>https://ebookcentral.proquest.com/lib/NKNU/detail.action?docID=3413263</t>
  </si>
  <si>
    <t>https://ebookcentral.proquest.com/lib/NKNU/detail.action?docID=3413273</t>
  </si>
  <si>
    <t>https://ebookcentral.proquest.com/lib/NKNU/detail.action?docID=3413280</t>
  </si>
  <si>
    <t>https://ebookcentral.proquest.com/lib/NKNU/detail.action?docID=3413282</t>
  </si>
  <si>
    <t>https://ebookcentral.proquest.com/lib/NKNU/detail.action?docID=3413289</t>
  </si>
  <si>
    <t>https://ebookcentral.proquest.com/lib/NKNU/detail.action?docID=3413291</t>
  </si>
  <si>
    <t>https://ebookcentral.proquest.com/lib/NKNU/detail.action?docID=3413292</t>
  </si>
  <si>
    <t>https://ebookcentral.proquest.com/lib/NKNU/detail.action?docID=3413302</t>
  </si>
  <si>
    <t>https://ebookcentral.proquest.com/lib/NKNU/detail.action?docID=3413304</t>
  </si>
  <si>
    <t>https://ebookcentral.proquest.com/lib/NKNU/detail.action?docID=3413320</t>
  </si>
  <si>
    <t>https://ebookcentral.proquest.com/lib/NKNU/detail.action?docID=3413322</t>
  </si>
  <si>
    <t>https://ebookcentral.proquest.com/lib/NKNU/detail.action?docID=3413324</t>
  </si>
  <si>
    <t>https://ebookcentral.proquest.com/lib/NKNU/detail.action?docID=3413333</t>
  </si>
  <si>
    <t>https://ebookcentral.proquest.com/lib/NKNU/detail.action?docID=3413337</t>
  </si>
  <si>
    <t>https://ebookcentral.proquest.com/lib/NKNU/detail.action?docID=3413341</t>
  </si>
  <si>
    <t>https://ebookcentral.proquest.com/lib/NKNU/detail.action?docID=3413347</t>
  </si>
  <si>
    <t>https://ebookcentral.proquest.com/lib/NKNU/detail.action?docID=3413353</t>
  </si>
  <si>
    <t>https://ebookcentral.proquest.com/lib/NKNU/detail.action?docID=3414503</t>
  </si>
  <si>
    <t>https://ebookcentral.proquest.com/lib/NKNU/detail.action?docID=3414752</t>
  </si>
  <si>
    <t>https://ebookcentral.proquest.com/lib/NKNU/detail.action?docID=3414757</t>
  </si>
  <si>
    <t>https://ebookcentral.proquest.com/lib/NKNU/detail.action?docID=3414958</t>
  </si>
  <si>
    <t>https://ebookcentral.proquest.com/lib/NKNU/detail.action?docID=3414975</t>
  </si>
  <si>
    <t>https://ebookcentral.proquest.com/lib/NKNU/detail.action?docID=3416243</t>
  </si>
  <si>
    <t>https://ebookcentral.proquest.com/lib/NKNU/detail.action?docID=3416251</t>
  </si>
  <si>
    <t>https://ebookcentral.proquest.com/lib/NKNU/detail.action?docID=3419828</t>
  </si>
  <si>
    <t>https://ebookcentral.proquest.com/lib/NKNU/detail.action?docID=3419853</t>
  </si>
  <si>
    <t>https://ebookcentral.proquest.com/lib/NKNU/detail.action?docID=3419854</t>
  </si>
  <si>
    <t>https://ebookcentral.proquest.com/lib/NKNU/detail.action?docID=3419879</t>
  </si>
  <si>
    <t>https://ebookcentral.proquest.com/lib/NKNU/detail.action?docID=3419892</t>
  </si>
  <si>
    <t>https://ebookcentral.proquest.com/lib/NKNU/detail.action?docID=3419903</t>
  </si>
  <si>
    <t>https://ebookcentral.proquest.com/lib/NKNU/detail.action?docID=3419916</t>
  </si>
  <si>
    <t>https://ebookcentral.proquest.com/lib/NKNU/detail.action?docID=3419939</t>
  </si>
  <si>
    <t>https://ebookcentral.proquest.com/lib/NKNU/detail.action?docID=3419940</t>
  </si>
  <si>
    <t>https://ebookcentral.proquest.com/lib/NKNU/detail.action?docID=3419955</t>
  </si>
  <si>
    <t>https://ebookcentral.proquest.com/lib/NKNU/detail.action?docID=3419961</t>
  </si>
  <si>
    <t>https://ebookcentral.proquest.com/lib/NKNU/detail.action?docID=3420003</t>
  </si>
  <si>
    <t>https://ebookcentral.proquest.com/lib/NKNU/detail.action?docID=3420025</t>
  </si>
  <si>
    <t>https://ebookcentral.proquest.com/lib/NKNU/detail.action?docID=3420039</t>
  </si>
  <si>
    <t>https://ebookcentral.proquest.com/lib/NKNU/detail.action?docID=3420040</t>
  </si>
  <si>
    <t>https://ebookcentral.proquest.com/lib/NKNU/detail.action?docID=3420052</t>
  </si>
  <si>
    <t>https://ebookcentral.proquest.com/lib/NKNU/detail.action?docID=3420055</t>
  </si>
  <si>
    <t>https://ebookcentral.proquest.com/lib/NKNU/detail.action?docID=3420063</t>
  </si>
  <si>
    <t>https://ebookcentral.proquest.com/lib/NKNU/detail.action?docID=3420112</t>
  </si>
  <si>
    <t>https://ebookcentral.proquest.com/lib/NKNU/detail.action?docID=3420139</t>
  </si>
  <si>
    <t>https://ebookcentral.proquest.com/lib/NKNU/detail.action?docID=3420144</t>
  </si>
  <si>
    <t>https://ebookcentral.proquest.com/lib/NKNU/detail.action?docID=3420148</t>
  </si>
  <si>
    <t>https://ebookcentral.proquest.com/lib/NKNU/detail.action?docID=3420168</t>
  </si>
  <si>
    <t>https://ebookcentral.proquest.com/lib/NKNU/detail.action?docID=3420170</t>
  </si>
  <si>
    <t>https://ebookcentral.proquest.com/lib/NKNU/detail.action?docID=3420176</t>
  </si>
  <si>
    <t>https://ebookcentral.proquest.com/lib/NKNU/detail.action?docID=3420183</t>
  </si>
  <si>
    <t>https://ebookcentral.proquest.com/lib/NKNU/detail.action?docID=3420196</t>
  </si>
  <si>
    <t>https://ebookcentral.proquest.com/lib/NKNU/detail.action?docID=3420216</t>
  </si>
  <si>
    <t>https://ebookcentral.proquest.com/lib/NKNU/detail.action?docID=3420240</t>
  </si>
  <si>
    <t>https://ebookcentral.proquest.com/lib/NKNU/detail.action?docID=3420244</t>
  </si>
  <si>
    <t>https://ebookcentral.proquest.com/lib/NKNU/detail.action?docID=3420248</t>
  </si>
  <si>
    <t>https://ebookcentral.proquest.com/lib/NKNU/detail.action?docID=3420249</t>
  </si>
  <si>
    <t>https://ebookcentral.proquest.com/lib/NKNU/detail.action?docID=3420254</t>
  </si>
  <si>
    <t>https://ebookcentral.proquest.com/lib/NKNU/detail.action?docID=3420258</t>
  </si>
  <si>
    <t>https://ebookcentral.proquest.com/lib/NKNU/detail.action?docID=3420260</t>
  </si>
  <si>
    <t>https://ebookcentral.proquest.com/lib/NKNU/detail.action?docID=3420263</t>
  </si>
  <si>
    <t>https://ebookcentral.proquest.com/lib/NKNU/detail.action?docID=3420269</t>
  </si>
  <si>
    <t>https://ebookcentral.proquest.com/lib/NKNU/detail.action?docID=3420276</t>
  </si>
  <si>
    <t>https://ebookcentral.proquest.com/lib/NKNU/detail.action?docID=3420278</t>
  </si>
  <si>
    <t>https://ebookcentral.proquest.com/lib/NKNU/detail.action?docID=3420287</t>
  </si>
  <si>
    <t>https://ebookcentral.proquest.com/lib/NKNU/detail.action?docID=3420300</t>
  </si>
  <si>
    <t>https://ebookcentral.proquest.com/lib/NKNU/detail.action?docID=3420303</t>
  </si>
  <si>
    <t>https://ebookcentral.proquest.com/lib/NKNU/detail.action?docID=3420337</t>
  </si>
  <si>
    <t>https://ebookcentral.proquest.com/lib/NKNU/detail.action?docID=3420349</t>
  </si>
  <si>
    <t>https://ebookcentral.proquest.com/lib/NKNU/detail.action?docID=3420357</t>
  </si>
  <si>
    <t>https://ebookcentral.proquest.com/lib/NKNU/detail.action?docID=3420368</t>
  </si>
  <si>
    <t>https://ebookcentral.proquest.com/lib/NKNU/detail.action?docID=3420385</t>
  </si>
  <si>
    <t>https://ebookcentral.proquest.com/lib/NKNU/detail.action?docID=3420441</t>
  </si>
  <si>
    <t>https://ebookcentral.proquest.com/lib/NKNU/detail.action?docID=3420452</t>
  </si>
  <si>
    <t>https://ebookcentral.proquest.com/lib/NKNU/detail.action?docID=3420497</t>
  </si>
  <si>
    <t>https://ebookcentral.proquest.com/lib/NKNU/detail.action?docID=3420525</t>
  </si>
  <si>
    <t>https://ebookcentral.proquest.com/lib/NKNU/detail.action?docID=3420529</t>
  </si>
  <si>
    <t>https://ebookcentral.proquest.com/lib/NKNU/detail.action?docID=3420531</t>
  </si>
  <si>
    <t>https://ebookcentral.proquest.com/lib/NKNU/detail.action?docID=3420545</t>
  </si>
  <si>
    <t>https://ebookcentral.proquest.com/lib/NKNU/detail.action?docID=3420549</t>
  </si>
  <si>
    <t>https://ebookcentral.proquest.com/lib/NKNU/detail.action?docID=3420572</t>
  </si>
  <si>
    <t>https://ebookcentral.proquest.com/lib/NKNU/detail.action?docID=3420580</t>
  </si>
  <si>
    <t>https://ebookcentral.proquest.com/lib/NKNU/detail.action?docID=3420589</t>
  </si>
  <si>
    <t>https://ebookcentral.proquest.com/lib/NKNU/detail.action?docID=3420645</t>
  </si>
  <si>
    <t>https://ebookcentral.proquest.com/lib/NKNU/detail.action?docID=3433313</t>
  </si>
  <si>
    <t>https://ebookcentral.proquest.com/lib/NKNU/detail.action?docID=3440318</t>
  </si>
  <si>
    <t>https://ebookcentral.proquest.com/lib/NKNU/detail.action?docID=3440352</t>
  </si>
  <si>
    <t>https://ebookcentral.proquest.com/lib/NKNU/detail.action?docID=3442978</t>
  </si>
  <si>
    <t>https://ebookcentral.proquest.com/lib/NKNU/detail.action?docID=3442990</t>
  </si>
  <si>
    <t>https://ebookcentral.proquest.com/lib/NKNU/detail.action?docID=3443007</t>
  </si>
  <si>
    <t>https://ebookcentral.proquest.com/lib/NKNU/detail.action?docID=3443014</t>
  </si>
  <si>
    <t>https://ebookcentral.proquest.com/lib/NKNU/detail.action?docID=3443017</t>
  </si>
  <si>
    <t>https://ebookcentral.proquest.com/lib/NKNU/detail.action?docID=3443021</t>
  </si>
  <si>
    <t>https://ebookcentral.proquest.com/lib/NKNU/detail.action?docID=3443039</t>
  </si>
  <si>
    <t>https://ebookcentral.proquest.com/lib/NKNU/detail.action?docID=3443097</t>
  </si>
  <si>
    <t>https://ebookcentral.proquest.com/lib/NKNU/detail.action?docID=3443199</t>
  </si>
  <si>
    <t>https://ebookcentral.proquest.com/lib/NKNU/detail.action?docID=3443217</t>
  </si>
  <si>
    <t>https://ebookcentral.proquest.com/lib/NKNU/detail.action?docID=3443242</t>
  </si>
  <si>
    <t>https://ebookcentral.proquest.com/lib/NKNU/detail.action?docID=3443246</t>
  </si>
  <si>
    <t>https://ebookcentral.proquest.com/lib/NKNU/detail.action?docID=3443274</t>
  </si>
  <si>
    <t>https://ebookcentral.proquest.com/lib/NKNU/detail.action?docID=3443293</t>
  </si>
  <si>
    <t>https://ebookcentral.proquest.com/lib/NKNU/detail.action?docID=3443313</t>
  </si>
  <si>
    <t>https://ebookcentral.proquest.com/lib/NKNU/detail.action?docID=3443324</t>
  </si>
  <si>
    <t>https://ebookcentral.proquest.com/lib/NKNU/detail.action?docID=3443373</t>
  </si>
  <si>
    <t>https://ebookcentral.proquest.com/lib/NKNU/detail.action?docID=3443378</t>
  </si>
  <si>
    <t>https://ebookcentral.proquest.com/lib/NKNU/detail.action?docID=3443379</t>
  </si>
  <si>
    <t>https://ebookcentral.proquest.com/lib/NKNU/detail.action?docID=3443382</t>
  </si>
  <si>
    <t>https://ebookcentral.proquest.com/lib/NKNU/detail.action?docID=3443405</t>
  </si>
  <si>
    <t>https://ebookcentral.proquest.com/lib/NKNU/detail.action?docID=3443426</t>
  </si>
  <si>
    <t>https://ebookcentral.proquest.com/lib/NKNU/detail.action?docID=3444281</t>
  </si>
  <si>
    <t>https://ebookcentral.proquest.com/lib/NKNU/detail.action?docID=3444419</t>
  </si>
  <si>
    <t>https://ebookcentral.proquest.com/lib/NKNU/detail.action?docID=3444678</t>
  </si>
  <si>
    <t>https://ebookcentral.proquest.com/lib/NKNU/detail.action?docID=3444683</t>
  </si>
  <si>
    <t>https://ebookcentral.proquest.com/lib/NKNU/detail.action?docID=3444691</t>
  </si>
  <si>
    <t>https://ebookcentral.proquest.com/lib/NKNU/detail.action?docID=3444692</t>
  </si>
  <si>
    <t>https://ebookcentral.proquest.com/lib/NKNU/detail.action?docID=3444700</t>
  </si>
  <si>
    <t>https://ebookcentral.proquest.com/lib/NKNU/detail.action?docID=3444705</t>
  </si>
  <si>
    <t>https://ebookcentral.proquest.com/lib/NKNU/detail.action?docID=3444707</t>
  </si>
  <si>
    <t>https://ebookcentral.proquest.com/lib/NKNU/detail.action?docID=3444719</t>
  </si>
  <si>
    <t>https://ebookcentral.proquest.com/lib/NKNU/detail.action?docID=3444727</t>
  </si>
  <si>
    <t>https://ebookcentral.proquest.com/lib/NKNU/detail.action?docID=3444729</t>
  </si>
  <si>
    <t>https://ebookcentral.proquest.com/lib/NKNU/detail.action?docID=3444750</t>
  </si>
  <si>
    <t>https://ebookcentral.proquest.com/lib/NKNU/detail.action?docID=3444756</t>
  </si>
  <si>
    <t>https://ebookcentral.proquest.com/lib/NKNU/detail.action?docID=3444760</t>
  </si>
  <si>
    <t>https://ebookcentral.proquest.com/lib/NKNU/detail.action?docID=3444780</t>
  </si>
  <si>
    <t>https://ebookcentral.proquest.com/lib/NKNU/detail.action?docID=3444789</t>
  </si>
  <si>
    <t>https://ebookcentral.proquest.com/lib/NKNU/detail.action?docID=3444799</t>
  </si>
  <si>
    <t>https://ebookcentral.proquest.com/lib/NKNU/detail.action?docID=3444803</t>
  </si>
  <si>
    <t>https://ebookcentral.proquest.com/lib/NKNU/detail.action?docID=3444805</t>
  </si>
  <si>
    <t>https://ebookcentral.proquest.com/lib/NKNU/detail.action?docID=3444811</t>
  </si>
  <si>
    <t>https://ebookcentral.proquest.com/lib/NKNU/detail.action?docID=3444820</t>
  </si>
  <si>
    <t>https://ebookcentral.proquest.com/lib/NKNU/detail.action?docID=3444824</t>
  </si>
  <si>
    <t>https://ebookcentral.proquest.com/lib/NKNU/detail.action?docID=3444843</t>
  </si>
  <si>
    <t>https://ebookcentral.proquest.com/lib/NKNU/detail.action?docID=3444849</t>
  </si>
  <si>
    <t>https://ebookcentral.proquest.com/lib/NKNU/detail.action?docID=3444852</t>
  </si>
  <si>
    <t>https://ebookcentral.proquest.com/lib/NKNU/detail.action?docID=3444855</t>
  </si>
  <si>
    <t>https://ebookcentral.proquest.com/lib/NKNU/detail.action?docID=3444866</t>
  </si>
  <si>
    <t>https://ebookcentral.proquest.com/lib/NKNU/detail.action?docID=3444867</t>
  </si>
  <si>
    <t>https://ebookcentral.proquest.com/lib/NKNU/detail.action?docID=3562432</t>
  </si>
  <si>
    <t>https://ebookcentral.proquest.com/lib/NKNU/detail.action?docID=3562904</t>
  </si>
  <si>
    <t>https://ebookcentral.proquest.com/lib/NKNU/detail.action?docID=3563182</t>
  </si>
  <si>
    <t>https://ebookcentral.proquest.com/lib/NKNU/detail.action?docID=3563623</t>
  </si>
  <si>
    <t>https://ebookcentral.proquest.com/lib/NKNU/detail.action?docID=3563630</t>
  </si>
  <si>
    <t>https://ebookcentral.proquest.com/lib/NKNU/detail.action?docID=3564093</t>
  </si>
  <si>
    <t>https://ebookcentral.proquest.com/lib/NKNU/detail.action?docID=3564096</t>
  </si>
  <si>
    <t>https://ebookcentral.proquest.com/lib/NKNU/detail.action?docID=3564122</t>
  </si>
  <si>
    <t>https://ebookcentral.proquest.com/lib/NKNU/detail.action?docID=3564127</t>
  </si>
  <si>
    <t>https://ebookcentral.proquest.com/lib/NKNU/detail.action?docID=3571675</t>
  </si>
  <si>
    <t>https://ebookcentral.proquest.com/lib/NKNU/detail.action?docID=3571689</t>
  </si>
  <si>
    <t>https://ebookcentral.proquest.com/lib/NKNU/detail.action?docID=3571697</t>
  </si>
  <si>
    <t>https://ebookcentral.proquest.com/lib/NKNU/detail.action?docID=3571717</t>
  </si>
  <si>
    <t>https://ebookcentral.proquest.com/lib/NKNU/detail.action?docID=4000368</t>
  </si>
  <si>
    <t>https://ebookcentral.proquest.com/lib/NKNU/detail.action?docID=4000371</t>
  </si>
  <si>
    <t>https://ebookcentral.proquest.com/lib/NKNU/detail.action?docID=4007399</t>
  </si>
  <si>
    <t>https://ebookcentral.proquest.com/lib/NKNU/detail.action?docID=4007454</t>
  </si>
  <si>
    <t>https://ebookcentral.proquest.com/lib/NKNU/detail.action?docID=4014425</t>
  </si>
  <si>
    <t>https://ebookcentral.proquest.com/lib/NKNU/detail.action?docID=4014438</t>
  </si>
  <si>
    <t>https://ebookcentral.proquest.com/lib/NKNU/detail.action?docID=4014442</t>
  </si>
  <si>
    <t>https://ebookcentral.proquest.com/lib/NKNU/detail.action?docID=4039102</t>
  </si>
  <si>
    <t>https://ebookcentral.proquest.com/lib/NKNU/detail.action?docID=4082735</t>
  </si>
  <si>
    <t>https://ebookcentral.proquest.com/lib/NKNU/detail.action?docID=4082742</t>
  </si>
  <si>
    <t>https://ebookcentral.proquest.com/lib/NKNU/detail.action?docID=4092780</t>
  </si>
  <si>
    <t>https://ebookcentral.proquest.com/lib/NKNU/detail.action?docID=4102324</t>
  </si>
  <si>
    <t>https://ebookcentral.proquest.com/lib/NKNU/detail.action?docID=4102334</t>
  </si>
  <si>
    <t>https://ebookcentral.proquest.com/lib/NKNU/detail.action?docID=4102336</t>
  </si>
  <si>
    <t>https://ebookcentral.proquest.com/lib/NKNU/detail.action?docID=4102337</t>
  </si>
  <si>
    <t>https://ebookcentral.proquest.com/lib/NKNU/detail.action?docID=4102340</t>
  </si>
  <si>
    <t>https://ebookcentral.proquest.com/lib/NKNU/detail.action?docID=4102342</t>
  </si>
  <si>
    <t>https://ebookcentral.proquest.com/lib/NKNU/detail.action?docID=4102343</t>
  </si>
  <si>
    <t>https://ebookcentral.proquest.com/lib/NKNU/detail.action?docID=4102347</t>
  </si>
  <si>
    <t>https://ebookcentral.proquest.com/lib/NKNU/detail.action?docID=4102348</t>
  </si>
  <si>
    <t>https://ebookcentral.proquest.com/lib/NKNU/detail.action?docID=4102349</t>
  </si>
  <si>
    <t>https://ebookcentral.proquest.com/lib/NKNU/detail.action?docID=4102350</t>
  </si>
  <si>
    <t>https://ebookcentral.proquest.com/lib/NKNU/detail.action?docID=4102357</t>
  </si>
  <si>
    <t>https://ebookcentral.proquest.com/lib/NKNU/detail.action?docID=4102364</t>
  </si>
  <si>
    <t>https://ebookcentral.proquest.com/lib/NKNU/detail.action?docID=4103423</t>
  </si>
  <si>
    <t>https://ebookcentral.proquest.com/lib/NKNU/detail.action?docID=4107864</t>
  </si>
  <si>
    <t>https://ebookcentral.proquest.com/lib/NKNU/detail.action?docID=4182298</t>
  </si>
  <si>
    <t>https://ebookcentral.proquest.com/lib/NKNU/detail.action?docID=4182299</t>
  </si>
  <si>
    <t>https://ebookcentral.proquest.com/lib/NKNU/detail.action?docID=4182301</t>
  </si>
  <si>
    <t>https://ebookcentral.proquest.com/lib/NKNU/detail.action?docID=4182305</t>
  </si>
  <si>
    <t>https://ebookcentral.proquest.com/lib/NKNU/detail.action?docID=4182309</t>
  </si>
  <si>
    <t>https://ebookcentral.proquest.com/lib/NKNU/detail.action?docID=4190908</t>
  </si>
  <si>
    <t>https://ebookcentral.proquest.com/lib/NKNU/detail.action?docID=4198003</t>
  </si>
  <si>
    <t>https://ebookcentral.proquest.com/lib/NKNU/detail.action?docID=4206064</t>
  </si>
  <si>
    <t>https://ebookcentral.proquest.com/lib/NKNU/detail.action?docID=4206562</t>
  </si>
  <si>
    <t>https://ebookcentral.proquest.com/lib/NKNU/detail.action?docID=4248746</t>
  </si>
  <si>
    <t>https://ebookcentral.proquest.com/lib/NKNU/detail.action?docID=4337987</t>
  </si>
  <si>
    <t>https://ebookcentral.proquest.com/lib/NKNU/detail.action?docID=4338853</t>
  </si>
  <si>
    <t>https://ebookcentral.proquest.com/lib/NKNU/detail.action?docID=4351205</t>
  </si>
  <si>
    <t>https://ebookcentral.proquest.com/lib/NKNU/detail.action?docID=4385657</t>
  </si>
  <si>
    <t>https://ebookcentral.proquest.com/lib/NKNU/detail.action?docID=4388349</t>
  </si>
  <si>
    <t>https://ebookcentral.proquest.com/lib/NKNU/detail.action?docID=4388751</t>
  </si>
  <si>
    <t>https://ebookcentral.proquest.com/lib/NKNU/detail.action?docID=4398697</t>
  </si>
  <si>
    <t>https://ebookcentral.proquest.com/lib/NKNU/detail.action?docID=4406006</t>
  </si>
  <si>
    <t>https://ebookcentral.proquest.com/lib/NKNU/detail.action?docID=4415038</t>
  </si>
  <si>
    <t>https://ebookcentral.proquest.com/lib/NKNU/detail.action?docID=4433095</t>
  </si>
  <si>
    <t>https://ebookcentral.proquest.com/lib/NKNU/detail.action?docID=4442075</t>
  </si>
  <si>
    <t>https://ebookcentral.proquest.com/lib/NKNU/detail.action?docID=4442409</t>
  </si>
  <si>
    <t>https://ebookcentral.proquest.com/lib/NKNU/detail.action?docID=4442520</t>
  </si>
  <si>
    <t>https://ebookcentral.proquest.com/lib/NKNU/detail.action?docID=4451352</t>
  </si>
  <si>
    <t>https://ebookcentral.proquest.com/lib/NKNU/detail.action?docID=4451418</t>
  </si>
  <si>
    <t>https://ebookcentral.proquest.com/lib/NKNU/detail.action?docID=4454388</t>
  </si>
  <si>
    <t>https://ebookcentral.proquest.com/lib/NKNU/detail.action?docID=4455034</t>
  </si>
  <si>
    <t>https://ebookcentral.proquest.com/lib/NKNU/detail.action?docID=4456619</t>
  </si>
  <si>
    <t>https://ebookcentral.proquest.com/lib/NKNU/detail.action?docID=4458676</t>
  </si>
  <si>
    <t>https://ebookcentral.proquest.com/lib/NKNU/detail.action?docID=4462096</t>
  </si>
  <si>
    <t>https://ebookcentral.proquest.com/lib/NKNU/detail.action?docID=4471419</t>
  </si>
  <si>
    <t>https://ebookcentral.proquest.com/lib/NKNU/detail.action?docID=4471421</t>
  </si>
  <si>
    <t>https://ebookcentral.proquest.com/lib/NKNU/detail.action?docID=4471422</t>
  </si>
  <si>
    <t>https://ebookcentral.proquest.com/lib/NKNU/detail.action?docID=4471426</t>
  </si>
  <si>
    <t>https://ebookcentral.proquest.com/lib/NKNU/detail.action?docID=4471441</t>
  </si>
  <si>
    <t>https://ebookcentral.proquest.com/lib/NKNU/detail.action?docID=4471443</t>
  </si>
  <si>
    <t>https://ebookcentral.proquest.com/lib/NKNU/detail.action?docID=4471444</t>
  </si>
  <si>
    <t>https://ebookcentral.proquest.com/lib/NKNU/detail.action?docID=4471445</t>
  </si>
  <si>
    <t>https://ebookcentral.proquest.com/lib/NKNU/detail.action?docID=4471501</t>
  </si>
  <si>
    <t>https://ebookcentral.proquest.com/lib/NKNU/detail.action?docID=4500502</t>
  </si>
  <si>
    <t>https://ebookcentral.proquest.com/lib/NKNU/detail.action?docID=4505174</t>
  </si>
  <si>
    <t>https://ebookcentral.proquest.com/lib/NKNU/detail.action?docID=4509144</t>
  </si>
  <si>
    <t>https://ebookcentral.proquest.com/lib/NKNU/detail.action?docID=4512049</t>
  </si>
  <si>
    <t>https://ebookcentral.proquest.com/lib/NKNU/detail.action?docID=4516156</t>
  </si>
  <si>
    <t>https://ebookcentral.proquest.com/lib/NKNU/detail.action?docID=4526401</t>
  </si>
  <si>
    <t>https://ebookcentral.proquest.com/lib/NKNU/detail.action?docID=4532992</t>
  </si>
  <si>
    <t>https://ebookcentral.proquest.com/lib/NKNU/detail.action?docID=4533754</t>
  </si>
  <si>
    <t>https://ebookcentral.proquest.com/lib/NKNU/detail.action?docID=4556996</t>
  </si>
  <si>
    <t>https://ebookcentral.proquest.com/lib/NKNU/detail.action?docID=4558318</t>
  </si>
  <si>
    <t>https://ebookcentral.proquest.com/lib/NKNU/detail.action?docID=4591604</t>
  </si>
  <si>
    <t>https://ebookcentral.proquest.com/lib/NKNU/detail.action?docID=4591803</t>
  </si>
  <si>
    <t>https://ebookcentral.proquest.com/lib/NKNU/detail.action?docID=4592150</t>
  </si>
  <si>
    <t>https://ebookcentral.proquest.com/lib/NKNU/detail.action?docID=4592619</t>
  </si>
  <si>
    <t>https://ebookcentral.proquest.com/lib/NKNU/detail.action?docID=4603097</t>
  </si>
  <si>
    <t>https://ebookcentral.proquest.com/lib/NKNU/detail.action?docID=4605474</t>
  </si>
  <si>
    <t>https://ebookcentral.proquest.com/lib/NKNU/detail.action?docID=4616240</t>
  </si>
  <si>
    <t>https://ebookcentral.proquest.com/lib/NKNU/detail.action?docID=4621037</t>
  </si>
  <si>
    <t>https://ebookcentral.proquest.com/lib/NKNU/detail.action?docID=4625094</t>
  </si>
  <si>
    <t>https://ebookcentral.proquest.com/lib/NKNU/detail.action?docID=4625095</t>
  </si>
  <si>
    <t>https://ebookcentral.proquest.com/lib/NKNU/detail.action?docID=4634297</t>
  </si>
  <si>
    <t>https://ebookcentral.proquest.com/lib/NKNU/detail.action?docID=4634779</t>
  </si>
  <si>
    <t>https://ebookcentral.proquest.com/lib/NKNU/detail.action?docID=4634801</t>
  </si>
  <si>
    <t>https://ebookcentral.proquest.com/lib/NKNU/detail.action?docID=4635025</t>
  </si>
  <si>
    <t>https://ebookcentral.proquest.com/lib/NKNU/detail.action?docID=4635039</t>
  </si>
  <si>
    <t>https://ebookcentral.proquest.com/lib/NKNU/detail.action?docID=4636333</t>
  </si>
  <si>
    <t>https://ebookcentral.proquest.com/lib/NKNU/detail.action?docID=4636363</t>
  </si>
  <si>
    <t>https://ebookcentral.proquest.com/lib/NKNU/detail.action?docID=4636471</t>
  </si>
  <si>
    <t>https://ebookcentral.proquest.com/lib/NKNU/detail.action?docID=4641607</t>
  </si>
  <si>
    <t>https://ebookcentral.proquest.com/lib/NKNU/detail.action?docID=4642291</t>
  </si>
  <si>
    <t>https://ebookcentral.proquest.com/lib/NKNU/detail.action?docID=4642296</t>
  </si>
  <si>
    <t>https://ebookcentral.proquest.com/lib/NKNU/detail.action?docID=4642299</t>
  </si>
  <si>
    <t>https://ebookcentral.proquest.com/lib/NKNU/detail.action?docID=4642302</t>
  </si>
  <si>
    <t>https://ebookcentral.proquest.com/lib/NKNU/detail.action?docID=4642304</t>
  </si>
  <si>
    <t>https://ebookcentral.proquest.com/lib/NKNU/detail.action?docID=4642308</t>
  </si>
  <si>
    <t>https://ebookcentral.proquest.com/lib/NKNU/detail.action?docID=4642310</t>
  </si>
  <si>
    <t>https://ebookcentral.proquest.com/lib/NKNU/detail.action?docID=4642313</t>
  </si>
  <si>
    <t>https://ebookcentral.proquest.com/lib/NKNU/detail.action?docID=4642322</t>
  </si>
  <si>
    <t>https://ebookcentral.proquest.com/lib/NKNU/detail.action?docID=4642324</t>
  </si>
  <si>
    <t>https://ebookcentral.proquest.com/lib/NKNU/detail.action?docID=4642330</t>
  </si>
  <si>
    <t>https://ebookcentral.proquest.com/lib/NKNU/detail.action?docID=4642332</t>
  </si>
  <si>
    <t>https://ebookcentral.proquest.com/lib/NKNU/detail.action?docID=4642335</t>
  </si>
  <si>
    <t>https://ebookcentral.proquest.com/lib/NKNU/detail.action?docID=4642336</t>
  </si>
  <si>
    <t>https://ebookcentral.proquest.com/lib/NKNU/detail.action?docID=4642339</t>
  </si>
  <si>
    <t>https://ebookcentral.proquest.com/lib/NKNU/detail.action?docID=4642352</t>
  </si>
  <si>
    <t>https://ebookcentral.proquest.com/lib/NKNU/detail.action?docID=4642353</t>
  </si>
  <si>
    <t>https://ebookcentral.proquest.com/lib/NKNU/detail.action?docID=4642361</t>
  </si>
  <si>
    <t>https://ebookcentral.proquest.com/lib/NKNU/detail.action?docID=4642363</t>
  </si>
  <si>
    <t>https://ebookcentral.proquest.com/lib/NKNU/detail.action?docID=4642372</t>
  </si>
  <si>
    <t>https://ebookcentral.proquest.com/lib/NKNU/detail.action?docID=4642373</t>
  </si>
  <si>
    <t>https://ebookcentral.proquest.com/lib/NKNU/detail.action?docID=4642375</t>
  </si>
  <si>
    <t>https://ebookcentral.proquest.com/lib/NKNU/detail.action?docID=4642378</t>
  </si>
  <si>
    <t>https://ebookcentral.proquest.com/lib/NKNU/detail.action?docID=4642381</t>
  </si>
  <si>
    <t>https://ebookcentral.proquest.com/lib/NKNU/detail.action?docID=4642391</t>
  </si>
  <si>
    <t>https://ebookcentral.proquest.com/lib/NKNU/detail.action?docID=4642396</t>
  </si>
  <si>
    <t>https://ebookcentral.proquest.com/lib/NKNU/detail.action?docID=4642405</t>
  </si>
  <si>
    <t>https://ebookcentral.proquest.com/lib/NKNU/detail.action?docID=4642475</t>
  </si>
  <si>
    <t>https://ebookcentral.proquest.com/lib/NKNU/detail.action?docID=4642480</t>
  </si>
  <si>
    <t>https://ebookcentral.proquest.com/lib/NKNU/detail.action?docID=4642495</t>
  </si>
  <si>
    <t>https://ebookcentral.proquest.com/lib/NKNU/detail.action?docID=4642516</t>
  </si>
  <si>
    <t>https://ebookcentral.proquest.com/lib/NKNU/detail.action?docID=4642525</t>
  </si>
  <si>
    <t>https://ebookcentral.proquest.com/lib/NKNU/detail.action?docID=4642526</t>
  </si>
  <si>
    <t>https://ebookcentral.proquest.com/lib/NKNU/detail.action?docID=4642527</t>
  </si>
  <si>
    <t>https://ebookcentral.proquest.com/lib/NKNU/detail.action?docID=4642535</t>
  </si>
  <si>
    <t>https://ebookcentral.proquest.com/lib/NKNU/detail.action?docID=4642536</t>
  </si>
  <si>
    <t>https://ebookcentral.proquest.com/lib/NKNU/detail.action?docID=4642540</t>
  </si>
  <si>
    <t>https://ebookcentral.proquest.com/lib/NKNU/detail.action?docID=4642542</t>
  </si>
  <si>
    <t>https://ebookcentral.proquest.com/lib/NKNU/detail.action?docID=4642543</t>
  </si>
  <si>
    <t>https://ebookcentral.proquest.com/lib/NKNU/detail.action?docID=4642544</t>
  </si>
  <si>
    <t>https://ebookcentral.proquest.com/lib/NKNU/detail.action?docID=4642545</t>
  </si>
  <si>
    <t>https://ebookcentral.proquest.com/lib/NKNU/detail.action?docID=4642546</t>
  </si>
  <si>
    <t>https://ebookcentral.proquest.com/lib/NKNU/detail.action?docID=4642549</t>
  </si>
  <si>
    <t>https://ebookcentral.proquest.com/lib/NKNU/detail.action?docID=4642550</t>
  </si>
  <si>
    <t>https://ebookcentral.proquest.com/lib/NKNU/detail.action?docID=4642551</t>
  </si>
  <si>
    <t>https://ebookcentral.proquest.com/lib/NKNU/detail.action?docID=4642552</t>
  </si>
  <si>
    <t>https://ebookcentral.proquest.com/lib/NKNU/detail.action?docID=4642553</t>
  </si>
  <si>
    <t>https://ebookcentral.proquest.com/lib/NKNU/detail.action?docID=4642554</t>
  </si>
  <si>
    <t>https://ebookcentral.proquest.com/lib/NKNU/detail.action?docID=4642555</t>
  </si>
  <si>
    <t>https://ebookcentral.proquest.com/lib/NKNU/detail.action?docID=4642556</t>
  </si>
  <si>
    <t>https://ebookcentral.proquest.com/lib/NKNU/detail.action?docID=4642557</t>
  </si>
  <si>
    <t>https://ebookcentral.proquest.com/lib/NKNU/detail.action?docID=4642558</t>
  </si>
  <si>
    <t>https://ebookcentral.proquest.com/lib/NKNU/detail.action?docID=4642565</t>
  </si>
  <si>
    <t>https://ebookcentral.proquest.com/lib/NKNU/detail.action?docID=4642616</t>
  </si>
  <si>
    <t>https://ebookcentral.proquest.com/lib/NKNU/detail.action?docID=4642857</t>
  </si>
  <si>
    <t>https://ebookcentral.proquest.com/lib/NKNU/detail.action?docID=4642928</t>
  </si>
  <si>
    <t>https://ebookcentral.proquest.com/lib/NKNU/detail.action?docID=4642931</t>
  </si>
  <si>
    <t>https://ebookcentral.proquest.com/lib/NKNU/detail.action?docID=4642944</t>
  </si>
  <si>
    <t>https://ebookcentral.proquest.com/lib/NKNU/detail.action?docID=4642946</t>
  </si>
  <si>
    <t>https://ebookcentral.proquest.com/lib/NKNU/detail.action?docID=4643311</t>
  </si>
  <si>
    <t>https://ebookcentral.proquest.com/lib/NKNU/detail.action?docID=4643360</t>
  </si>
  <si>
    <t>https://ebookcentral.proquest.com/lib/NKNU/detail.action?docID=4643361</t>
  </si>
  <si>
    <t>https://ebookcentral.proquest.com/lib/NKNU/detail.action?docID=4643373</t>
  </si>
  <si>
    <t>https://ebookcentral.proquest.com/lib/NKNU/detail.action?docID=4643378</t>
  </si>
  <si>
    <t>https://ebookcentral.proquest.com/lib/NKNU/detail.action?docID=4643591</t>
  </si>
  <si>
    <t>https://ebookcentral.proquest.com/lib/NKNU/detail.action?docID=4644556</t>
  </si>
  <si>
    <t>https://ebookcentral.proquest.com/lib/NKNU/detail.action?docID=4648112</t>
  </si>
  <si>
    <t>https://ebookcentral.proquest.com/lib/NKNU/detail.action?docID=4649816</t>
  </si>
  <si>
    <t>https://ebookcentral.proquest.com/lib/NKNU/detail.action?docID=4654074</t>
  </si>
  <si>
    <t>https://ebookcentral.proquest.com/lib/NKNU/detail.action?docID=4654086</t>
  </si>
  <si>
    <t>https://ebookcentral.proquest.com/lib/NKNU/detail.action?docID=4654092</t>
  </si>
  <si>
    <t>https://ebookcentral.proquest.com/lib/NKNU/detail.action?docID=4654093</t>
  </si>
  <si>
    <t>https://ebookcentral.proquest.com/lib/NKNU/detail.action?docID=4654095</t>
  </si>
  <si>
    <t>https://ebookcentral.proquest.com/lib/NKNU/detail.action?docID=4654098</t>
  </si>
  <si>
    <t>https://ebookcentral.proquest.com/lib/NKNU/detail.action?docID=4654101</t>
  </si>
  <si>
    <t>https://ebookcentral.proquest.com/lib/NKNU/detail.action?docID=4654106</t>
  </si>
  <si>
    <t>https://ebookcentral.proquest.com/lib/NKNU/detail.action?docID=4654107</t>
  </si>
  <si>
    <t>https://ebookcentral.proquest.com/lib/NKNU/detail.action?docID=4654108</t>
  </si>
  <si>
    <t>https://ebookcentral.proquest.com/lib/NKNU/detail.action?docID=4654110</t>
  </si>
  <si>
    <t>https://ebookcentral.proquest.com/lib/NKNU/detail.action?docID=4654111</t>
  </si>
  <si>
    <t>https://ebookcentral.proquest.com/lib/NKNU/detail.action?docID=4654200</t>
  </si>
  <si>
    <t>https://ebookcentral.proquest.com/lib/NKNU/detail.action?docID=4654318</t>
  </si>
  <si>
    <t>https://ebookcentral.proquest.com/lib/NKNU/detail.action?docID=4654536</t>
  </si>
  <si>
    <t>https://ebookcentral.proquest.com/lib/NKNU/detail.action?docID=4654888</t>
  </si>
  <si>
    <t>https://ebookcentral.proquest.com/lib/NKNU/detail.action?docID=4654932</t>
  </si>
  <si>
    <t>https://ebookcentral.proquest.com/lib/NKNU/detail.action?docID=4655000</t>
  </si>
  <si>
    <t>https://ebookcentral.proquest.com/lib/NKNU/detail.action?docID=4655003</t>
  </si>
  <si>
    <t>https://ebookcentral.proquest.com/lib/NKNU/detail.action?docID=4655033</t>
  </si>
  <si>
    <t>https://ebookcentral.proquest.com/lib/NKNU/detail.action?docID=4655082</t>
  </si>
  <si>
    <t>https://ebookcentral.proquest.com/lib/NKNU/detail.action?docID=4655120</t>
  </si>
  <si>
    <t>https://ebookcentral.proquest.com/lib/NKNU/detail.action?docID=4655138</t>
  </si>
  <si>
    <t>https://ebookcentral.proquest.com/lib/NKNU/detail.action?docID=4655166</t>
  </si>
  <si>
    <t>https://ebookcentral.proquest.com/lib/NKNU/detail.action?docID=4655199</t>
  </si>
  <si>
    <t>https://ebookcentral.proquest.com/lib/NKNU/detail.action?docID=4655207</t>
  </si>
  <si>
    <t>https://ebookcentral.proquest.com/lib/NKNU/detail.action?docID=4655212</t>
  </si>
  <si>
    <t>https://ebookcentral.proquest.com/lib/NKNU/detail.action?docID=4655215</t>
  </si>
  <si>
    <t>https://ebookcentral.proquest.com/lib/NKNU/detail.action?docID=4655230</t>
  </si>
  <si>
    <t>https://ebookcentral.proquest.com/lib/NKNU/detail.action?docID=4655237</t>
  </si>
  <si>
    <t>https://ebookcentral.proquest.com/lib/NKNU/detail.action?docID=4655245</t>
  </si>
  <si>
    <t>https://ebookcentral.proquest.com/lib/NKNU/detail.action?docID=4655290</t>
  </si>
  <si>
    <t>https://ebookcentral.proquest.com/lib/NKNU/detail.action?docID=4655291</t>
  </si>
  <si>
    <t>https://ebookcentral.proquest.com/lib/NKNU/detail.action?docID=4655296</t>
  </si>
  <si>
    <t>https://ebookcentral.proquest.com/lib/NKNU/detail.action?docID=4655301</t>
  </si>
  <si>
    <t>https://ebookcentral.proquest.com/lib/NKNU/detail.action?docID=4655312</t>
  </si>
  <si>
    <t>https://ebookcentral.proquest.com/lib/NKNU/detail.action?docID=4655319</t>
  </si>
  <si>
    <t>https://ebookcentral.proquest.com/lib/NKNU/detail.action?docID=4655343</t>
  </si>
  <si>
    <t>https://ebookcentral.proquest.com/lib/NKNU/detail.action?docID=4655348</t>
  </si>
  <si>
    <t>https://ebookcentral.proquest.com/lib/NKNU/detail.action?docID=4655350</t>
  </si>
  <si>
    <t>https://ebookcentral.proquest.com/lib/NKNU/detail.action?docID=4655351</t>
  </si>
  <si>
    <t>https://ebookcentral.proquest.com/lib/NKNU/detail.action?docID=4655356</t>
  </si>
  <si>
    <t>https://ebookcentral.proquest.com/lib/NKNU/detail.action?docID=4655362</t>
  </si>
  <si>
    <t>https://ebookcentral.proquest.com/lib/NKNU/detail.action?docID=4655363</t>
  </si>
  <si>
    <t>https://ebookcentral.proquest.com/lib/NKNU/detail.action?docID=4655379</t>
  </si>
  <si>
    <t>https://ebookcentral.proquest.com/lib/NKNU/detail.action?docID=4655398</t>
  </si>
  <si>
    <t>https://ebookcentral.proquest.com/lib/NKNU/detail.action?docID=4655399</t>
  </si>
  <si>
    <t>https://ebookcentral.proquest.com/lib/NKNU/detail.action?docID=4655412</t>
  </si>
  <si>
    <t>https://ebookcentral.proquest.com/lib/NKNU/detail.action?docID=4655426</t>
  </si>
  <si>
    <t>https://ebookcentral.proquest.com/lib/NKNU/detail.action?docID=4655449</t>
  </si>
  <si>
    <t>https://ebookcentral.proquest.com/lib/NKNU/detail.action?docID=4655482</t>
  </si>
  <si>
    <t>https://ebookcentral.proquest.com/lib/NKNU/detail.action?docID=4655530</t>
  </si>
  <si>
    <t>https://ebookcentral.proquest.com/lib/NKNU/detail.action?docID=4655551</t>
  </si>
  <si>
    <t>https://ebookcentral.proquest.com/lib/NKNU/detail.action?docID=4655562</t>
  </si>
  <si>
    <t>https://ebookcentral.proquest.com/lib/NKNU/detail.action?docID=4655582</t>
  </si>
  <si>
    <t>https://ebookcentral.proquest.com/lib/NKNU/detail.action?docID=4655594</t>
  </si>
  <si>
    <t>https://ebookcentral.proquest.com/lib/NKNU/detail.action?docID=4655605</t>
  </si>
  <si>
    <t>https://ebookcentral.proquest.com/lib/NKNU/detail.action?docID=4655607</t>
  </si>
  <si>
    <t>https://ebookcentral.proquest.com/lib/NKNU/detail.action?docID=4655617</t>
  </si>
  <si>
    <t>https://ebookcentral.proquest.com/lib/NKNU/detail.action?docID=4655627</t>
  </si>
  <si>
    <t>https://ebookcentral.proquest.com/lib/NKNU/detail.action?docID=4655628</t>
  </si>
  <si>
    <t>https://ebookcentral.proquest.com/lib/NKNU/detail.action?docID=4655629</t>
  </si>
  <si>
    <t>https://ebookcentral.proquest.com/lib/NKNU/detail.action?docID=4655633</t>
  </si>
  <si>
    <t>https://ebookcentral.proquest.com/lib/NKNU/detail.action?docID=4655636</t>
  </si>
  <si>
    <t>https://ebookcentral.proquest.com/lib/NKNU/detail.action?docID=4655648</t>
  </si>
  <si>
    <t>https://ebookcentral.proquest.com/lib/NKNU/detail.action?docID=4655651</t>
  </si>
  <si>
    <t>https://ebookcentral.proquest.com/lib/NKNU/detail.action?docID=4655652</t>
  </si>
  <si>
    <t>https://ebookcentral.proquest.com/lib/NKNU/detail.action?docID=4655653</t>
  </si>
  <si>
    <t>https://ebookcentral.proquest.com/lib/NKNU/detail.action?docID=4655654</t>
  </si>
  <si>
    <t>https://ebookcentral.proquest.com/lib/NKNU/detail.action?docID=4655657</t>
  </si>
  <si>
    <t>https://ebookcentral.proquest.com/lib/NKNU/detail.action?docID=4655661</t>
  </si>
  <si>
    <t>https://ebookcentral.proquest.com/lib/NKNU/detail.action?docID=4655664</t>
  </si>
  <si>
    <t>https://ebookcentral.proquest.com/lib/NKNU/detail.action?docID=4655665</t>
  </si>
  <si>
    <t>https://ebookcentral.proquest.com/lib/NKNU/detail.action?docID=4655668</t>
  </si>
  <si>
    <t>https://ebookcentral.proquest.com/lib/NKNU/detail.action?docID=4655669</t>
  </si>
  <si>
    <t>https://ebookcentral.proquest.com/lib/NKNU/detail.action?docID=4655682</t>
  </si>
  <si>
    <t>https://ebookcentral.proquest.com/lib/NKNU/detail.action?docID=4655693</t>
  </si>
  <si>
    <t>https://ebookcentral.proquest.com/lib/NKNU/detail.action?docID=4655697</t>
  </si>
  <si>
    <t>https://ebookcentral.proquest.com/lib/NKNU/detail.action?docID=4655699</t>
  </si>
  <si>
    <t>https://ebookcentral.proquest.com/lib/NKNU/detail.action?docID=4655701</t>
  </si>
  <si>
    <t>https://ebookcentral.proquest.com/lib/NKNU/detail.action?docID=4655703</t>
  </si>
  <si>
    <t>https://ebookcentral.proquest.com/lib/NKNU/detail.action?docID=4655707</t>
  </si>
  <si>
    <t>https://ebookcentral.proquest.com/lib/NKNU/detail.action?docID=4655713</t>
  </si>
  <si>
    <t>https://ebookcentral.proquest.com/lib/NKNU/detail.action?docID=4655726</t>
  </si>
  <si>
    <t>https://ebookcentral.proquest.com/lib/NKNU/detail.action?docID=4655732</t>
  </si>
  <si>
    <t>https://ebookcentral.proquest.com/lib/NKNU/detail.action?docID=4655736</t>
  </si>
  <si>
    <t>https://ebookcentral.proquest.com/lib/NKNU/detail.action?docID=4655737</t>
  </si>
  <si>
    <t>https://ebookcentral.proquest.com/lib/NKNU/detail.action?docID=4655742</t>
  </si>
  <si>
    <t>https://ebookcentral.proquest.com/lib/NKNU/detail.action?docID=4655747</t>
  </si>
  <si>
    <t>https://ebookcentral.proquest.com/lib/NKNU/detail.action?docID=4655750</t>
  </si>
  <si>
    <t>https://ebookcentral.proquest.com/lib/NKNU/detail.action?docID=4655755</t>
  </si>
  <si>
    <t>https://ebookcentral.proquest.com/lib/NKNU/detail.action?docID=4655758</t>
  </si>
  <si>
    <t>https://ebookcentral.proquest.com/lib/NKNU/detail.action?docID=4655761</t>
  </si>
  <si>
    <t>https://ebookcentral.proquest.com/lib/NKNU/detail.action?docID=4655762</t>
  </si>
  <si>
    <t>https://ebookcentral.proquest.com/lib/NKNU/detail.action?docID=4655763</t>
  </si>
  <si>
    <t>https://ebookcentral.proquest.com/lib/NKNU/detail.action?docID=4655765</t>
  </si>
  <si>
    <t>https://ebookcentral.proquest.com/lib/NKNU/detail.action?docID=4655766</t>
  </si>
  <si>
    <t>https://ebookcentral.proquest.com/lib/NKNU/detail.action?docID=4655768</t>
  </si>
  <si>
    <t>https://ebookcentral.proquest.com/lib/NKNU/detail.action?docID=4655770</t>
  </si>
  <si>
    <t>https://ebookcentral.proquest.com/lib/NKNU/detail.action?docID=4655773</t>
  </si>
  <si>
    <t>https://ebookcentral.proquest.com/lib/NKNU/detail.action?docID=4655777</t>
  </si>
  <si>
    <t>https://ebookcentral.proquest.com/lib/NKNU/detail.action?docID=4655778</t>
  </si>
  <si>
    <t>https://ebookcentral.proquest.com/lib/NKNU/detail.action?docID=4655779</t>
  </si>
  <si>
    <t>https://ebookcentral.proquest.com/lib/NKNU/detail.action?docID=4655784</t>
  </si>
  <si>
    <t>https://ebookcentral.proquest.com/lib/NKNU/detail.action?docID=4655787</t>
  </si>
  <si>
    <t>https://ebookcentral.proquest.com/lib/NKNU/detail.action?docID=4655792</t>
  </si>
  <si>
    <t>https://ebookcentral.proquest.com/lib/NKNU/detail.action?docID=4655793</t>
  </si>
  <si>
    <t>https://ebookcentral.proquest.com/lib/NKNU/detail.action?docID=4655794</t>
  </si>
  <si>
    <t>https://ebookcentral.proquest.com/lib/NKNU/detail.action?docID=4655855</t>
  </si>
  <si>
    <t>https://ebookcentral.proquest.com/lib/NKNU/detail.action?docID=4655883</t>
  </si>
  <si>
    <t>https://ebookcentral.proquest.com/lib/NKNU/detail.action?docID=4655968</t>
  </si>
  <si>
    <t>https://ebookcentral.proquest.com/lib/NKNU/detail.action?docID=4656004</t>
  </si>
  <si>
    <t>https://ebookcentral.proquest.com/lib/NKNU/detail.action?docID=4656015</t>
  </si>
  <si>
    <t>https://ebookcentral.proquest.com/lib/NKNU/detail.action?docID=4656021</t>
  </si>
  <si>
    <t>https://ebookcentral.proquest.com/lib/NKNU/detail.action?docID=4656057</t>
  </si>
  <si>
    <t>https://ebookcentral.proquest.com/lib/NKNU/detail.action?docID=4656080</t>
  </si>
  <si>
    <t>https://ebookcentral.proquest.com/lib/NKNU/detail.action?docID=4656101</t>
  </si>
  <si>
    <t>https://ebookcentral.proquest.com/lib/NKNU/detail.action?docID=4656104</t>
  </si>
  <si>
    <t>https://ebookcentral.proquest.com/lib/NKNU/detail.action?docID=4656114</t>
  </si>
  <si>
    <t>https://ebookcentral.proquest.com/lib/NKNU/detail.action?docID=4656123</t>
  </si>
  <si>
    <t>https://ebookcentral.proquest.com/lib/NKNU/detail.action?docID=4656132</t>
  </si>
  <si>
    <t>https://ebookcentral.proquest.com/lib/NKNU/detail.action?docID=4656143</t>
  </si>
  <si>
    <t>https://ebookcentral.proquest.com/lib/NKNU/detail.action?docID=4656166</t>
  </si>
  <si>
    <t>https://ebookcentral.proquest.com/lib/NKNU/detail.action?docID=4656171</t>
  </si>
  <si>
    <t>https://ebookcentral.proquest.com/lib/NKNU/detail.action?docID=4656182</t>
  </si>
  <si>
    <t>https://ebookcentral.proquest.com/lib/NKNU/detail.action?docID=4656194</t>
  </si>
  <si>
    <t>https://ebookcentral.proquest.com/lib/NKNU/detail.action?docID=4656204</t>
  </si>
  <si>
    <t>https://ebookcentral.proquest.com/lib/NKNU/detail.action?docID=4656206</t>
  </si>
  <si>
    <t>https://ebookcentral.proquest.com/lib/NKNU/detail.action?docID=4656219</t>
  </si>
  <si>
    <t>https://ebookcentral.proquest.com/lib/NKNU/detail.action?docID=4656221</t>
  </si>
  <si>
    <t>https://ebookcentral.proquest.com/lib/NKNU/detail.action?docID=4656227</t>
  </si>
  <si>
    <t>https://ebookcentral.proquest.com/lib/NKNU/detail.action?docID=4656244</t>
  </si>
  <si>
    <t>https://ebookcentral.proquest.com/lib/NKNU/detail.action?docID=4656250</t>
  </si>
  <si>
    <t>https://ebookcentral.proquest.com/lib/NKNU/detail.action?docID=4656253</t>
  </si>
  <si>
    <t>https://ebookcentral.proquest.com/lib/NKNU/detail.action?docID=4656254</t>
  </si>
  <si>
    <t>https://ebookcentral.proquest.com/lib/NKNU/detail.action?docID=4656258</t>
  </si>
  <si>
    <t>https://ebookcentral.proquest.com/lib/NKNU/detail.action?docID=4656259</t>
  </si>
  <si>
    <t>https://ebookcentral.proquest.com/lib/NKNU/detail.action?docID=4656269</t>
  </si>
  <si>
    <t>https://ebookcentral.proquest.com/lib/NKNU/detail.action?docID=4656271</t>
  </si>
  <si>
    <t>https://ebookcentral.proquest.com/lib/NKNU/detail.action?docID=4656272</t>
  </si>
  <si>
    <t>https://ebookcentral.proquest.com/lib/NKNU/detail.action?docID=4656273</t>
  </si>
  <si>
    <t>https://ebookcentral.proquest.com/lib/NKNU/detail.action?docID=4656274</t>
  </si>
  <si>
    <t>https://ebookcentral.proquest.com/lib/NKNU/detail.action?docID=4656276</t>
  </si>
  <si>
    <t>https://ebookcentral.proquest.com/lib/NKNU/detail.action?docID=4656278</t>
  </si>
  <si>
    <t>https://ebookcentral.proquest.com/lib/NKNU/detail.action?docID=4656281</t>
  </si>
  <si>
    <t>https://ebookcentral.proquest.com/lib/NKNU/detail.action?docID=4656293</t>
  </si>
  <si>
    <t>https://ebookcentral.proquest.com/lib/NKNU/detail.action?docID=4656297</t>
  </si>
  <si>
    <t>https://ebookcentral.proquest.com/lib/NKNU/detail.action?docID=4656320</t>
  </si>
  <si>
    <t>https://ebookcentral.proquest.com/lib/NKNU/detail.action?docID=4656331</t>
  </si>
  <si>
    <t>https://ebookcentral.proquest.com/lib/NKNU/detail.action?docID=4656339</t>
  </si>
  <si>
    <t>https://ebookcentral.proquest.com/lib/NKNU/detail.action?docID=4656490</t>
  </si>
  <si>
    <t>https://ebookcentral.proquest.com/lib/NKNU/detail.action?docID=4656713</t>
  </si>
  <si>
    <t>https://ebookcentral.proquest.com/lib/NKNU/detail.action?docID=4657046</t>
  </si>
  <si>
    <t>https://ebookcentral.proquest.com/lib/NKNU/detail.action?docID=4659183</t>
  </si>
  <si>
    <t>https://ebookcentral.proquest.com/lib/NKNU/detail.action?docID=4661977</t>
  </si>
  <si>
    <t>https://ebookcentral.proquest.com/lib/NKNU/detail.action?docID=4662348</t>
  </si>
  <si>
    <t>https://ebookcentral.proquest.com/lib/NKNU/detail.action?docID=4663876</t>
  </si>
  <si>
    <t>https://ebookcentral.proquest.com/lib/NKNU/detail.action?docID=4669087</t>
  </si>
  <si>
    <t>https://ebookcentral.proquest.com/lib/NKNU/detail.action?docID=4669088</t>
  </si>
  <si>
    <t>https://ebookcentral.proquest.com/lib/NKNU/detail.action?docID=4669090</t>
  </si>
  <si>
    <t>https://ebookcentral.proquest.com/lib/NKNU/detail.action?docID=4673118</t>
  </si>
  <si>
    <t>https://ebookcentral.proquest.com/lib/NKNU/detail.action?docID=4676123</t>
  </si>
  <si>
    <t>https://ebookcentral.proquest.com/lib/NKNU/detail.action?docID=4689018</t>
  </si>
  <si>
    <t>https://ebookcentral.proquest.com/lib/NKNU/detail.action?docID=4689103</t>
  </si>
  <si>
    <t>https://ebookcentral.proquest.com/lib/NKNU/detail.action?docID=4689189</t>
  </si>
  <si>
    <t>https://ebookcentral.proquest.com/lib/NKNU/detail.action?docID=4689452</t>
  </si>
  <si>
    <t>https://ebookcentral.proquest.com/lib/NKNU/detail.action?docID=4694212</t>
  </si>
  <si>
    <t>https://ebookcentral.proquest.com/lib/NKNU/detail.action?docID=4697898</t>
  </si>
  <si>
    <t>https://ebookcentral.proquest.com/lib/NKNU/detail.action?docID=4700133</t>
  </si>
  <si>
    <t>https://ebookcentral.proquest.com/lib/NKNU/detail.action?docID=4700680</t>
  </si>
  <si>
    <t>https://ebookcentral.proquest.com/lib/NKNU/detail.action?docID=4701068</t>
  </si>
  <si>
    <t>https://ebookcentral.proquest.com/lib/NKNU/detail.action?docID=4701159</t>
  </si>
  <si>
    <t>https://ebookcentral.proquest.com/lib/NKNU/detail.action?docID=4701224</t>
  </si>
  <si>
    <t>https://ebookcentral.proquest.com/lib/NKNU/detail.action?docID=4701387</t>
  </si>
  <si>
    <t>https://ebookcentral.proquest.com/lib/NKNU/detail.action?docID=4701650</t>
  </si>
  <si>
    <t>https://ebookcentral.proquest.com/lib/NKNU/detail.action?docID=4701932</t>
  </si>
  <si>
    <t>https://ebookcentral.proquest.com/lib/NKNU/detail.action?docID=4702011</t>
  </si>
  <si>
    <t>https://ebookcentral.proquest.com/lib/NKNU/detail.action?docID=4702046</t>
  </si>
  <si>
    <t>https://ebookcentral.proquest.com/lib/NKNU/detail.action?docID=4702100</t>
  </si>
  <si>
    <t>https://ebookcentral.proquest.com/lib/NKNU/detail.action?docID=4702161</t>
  </si>
  <si>
    <t>https://ebookcentral.proquest.com/lib/NKNU/detail.action?docID=4702214</t>
  </si>
  <si>
    <t>https://ebookcentral.proquest.com/lib/NKNU/detail.action?docID=4702239</t>
  </si>
  <si>
    <t>https://ebookcentral.proquest.com/lib/NKNU/detail.action?docID=4702333</t>
  </si>
  <si>
    <t>https://ebookcentral.proquest.com/lib/NKNU/detail.action?docID=4702510</t>
  </si>
  <si>
    <t>https://ebookcentral.proquest.com/lib/NKNU/detail.action?docID=4702557</t>
  </si>
  <si>
    <t>https://ebookcentral.proquest.com/lib/NKNU/detail.action?docID=4702661</t>
  </si>
  <si>
    <t>https://ebookcentral.proquest.com/lib/NKNU/detail.action?docID=4702790</t>
  </si>
  <si>
    <t>https://ebookcentral.proquest.com/lib/NKNU/detail.action?docID=4703158</t>
  </si>
  <si>
    <t>https://ebookcentral.proquest.com/lib/NKNU/detail.action?docID=4703192</t>
  </si>
  <si>
    <t>https://ebookcentral.proquest.com/lib/NKNU/detail.action?docID=4703215</t>
  </si>
  <si>
    <t>https://ebookcentral.proquest.com/lib/NKNU/detail.action?docID=4704972</t>
  </si>
  <si>
    <t>https://ebookcentral.proquest.com/lib/NKNU/detail.action?docID=4704981</t>
  </si>
  <si>
    <t>https://ebookcentral.proquest.com/lib/NKNU/detail.action?docID=4705106</t>
  </si>
  <si>
    <t>https://ebookcentral.proquest.com/lib/NKNU/detail.action?docID=4705389</t>
  </si>
  <si>
    <t>https://ebookcentral.proquest.com/lib/NKNU/detail.action?docID=4705662</t>
  </si>
  <si>
    <t>https://ebookcentral.proquest.com/lib/NKNU/detail.action?docID=4717912</t>
  </si>
  <si>
    <t>https://ebookcentral.proquest.com/lib/NKNU/detail.action?docID=4722558</t>
  </si>
  <si>
    <t>https://ebookcentral.proquest.com/lib/NKNU/detail.action?docID=4746229</t>
  </si>
  <si>
    <t>https://ebookcentral.proquest.com/lib/NKNU/detail.action?docID=4749050</t>
  </si>
  <si>
    <t>https://ebookcentral.proquest.com/lib/NKNU/detail.action?docID=4749051</t>
  </si>
  <si>
    <t>https://ebookcentral.proquest.com/lib/NKNU/detail.action?docID=4751471</t>
  </si>
  <si>
    <t>https://ebookcentral.proquest.com/lib/NKNU/detail.action?docID=4762953</t>
  </si>
  <si>
    <t>https://ebookcentral.proquest.com/lib/NKNU/detail.action?docID=4763252</t>
  </si>
  <si>
    <t>https://ebookcentral.proquest.com/lib/NKNU/detail.action?docID=4767116</t>
  </si>
  <si>
    <t>https://ebookcentral.proquest.com/lib/NKNU/detail.action?docID=4770918</t>
  </si>
  <si>
    <t>https://ebookcentral.proquest.com/lib/NKNU/detail.action?docID=4771453</t>
  </si>
  <si>
    <t>https://ebookcentral.proquest.com/lib/NKNU/detail.action?docID=4773817</t>
  </si>
  <si>
    <t>https://ebookcentral.proquest.com/lib/NKNU/detail.action?docID=4778018</t>
  </si>
  <si>
    <t>https://ebookcentral.proquest.com/lib/NKNU/detail.action?docID=4786456</t>
  </si>
  <si>
    <t>https://ebookcentral.proquest.com/lib/NKNU/detail.action?docID=4786983</t>
  </si>
  <si>
    <t>https://ebookcentral.proquest.com/lib/NKNU/detail.action?docID=4789956</t>
  </si>
  <si>
    <t>https://ebookcentral.proquest.com/lib/NKNU/detail.action?docID=4812133</t>
  </si>
  <si>
    <t>https://ebookcentral.proquest.com/lib/NKNU/detail.action?docID=4812145</t>
  </si>
  <si>
    <t>https://ebookcentral.proquest.com/lib/NKNU/detail.action?docID=4817858</t>
  </si>
  <si>
    <t>https://ebookcentral.proquest.com/lib/NKNU/detail.action?docID=4840096</t>
  </si>
  <si>
    <t>https://ebookcentral.proquest.com/lib/NKNU/detail.action?docID=4843334</t>
  </si>
  <si>
    <t>https://ebookcentral.proquest.com/lib/NKNU/detail.action?docID=4843538</t>
  </si>
  <si>
    <t>https://ebookcentral.proquest.com/lib/NKNU/detail.action?docID=4863070</t>
  </si>
  <si>
    <t>https://ebookcentral.proquest.com/lib/NKNU/detail.action?docID=4872943</t>
  </si>
  <si>
    <t>https://ebookcentral.proquest.com/lib/NKNU/detail.action?docID=4874729</t>
  </si>
  <si>
    <t>https://ebookcentral.proquest.com/lib/NKNU/detail.action?docID=4875438</t>
  </si>
  <si>
    <t>https://ebookcentral.proquest.com/lib/NKNU/detail.action?docID=4875798</t>
  </si>
  <si>
    <t>https://ebookcentral.proquest.com/lib/NKNU/detail.action?docID=4882703</t>
  </si>
  <si>
    <t>https://ebookcentral.proquest.com/lib/NKNU/detail.action?docID=4883899</t>
  </si>
  <si>
    <t>https://ebookcentral.proquest.com/lib/NKNU/detail.action?docID=4898782</t>
  </si>
  <si>
    <t>https://ebookcentral.proquest.com/lib/NKNU/detail.action?docID=4901321</t>
  </si>
  <si>
    <t>https://ebookcentral.proquest.com/lib/NKNU/detail.action?docID=4912136</t>
  </si>
  <si>
    <t>https://ebookcentral.proquest.com/lib/NKNU/detail.action?docID=4914169</t>
  </si>
  <si>
    <t>https://ebookcentral.proquest.com/lib/NKNU/detail.action?docID=4929801</t>
  </si>
  <si>
    <t>https://ebookcentral.proquest.com/lib/NKNU/detail.action?docID=4935907</t>
  </si>
  <si>
    <t>https://ebookcentral.proquest.com/lib/NKNU/detail.action?docID=4939398</t>
  </si>
  <si>
    <t>https://ebookcentral.proquest.com/lib/NKNU/detail.action?docID=4947627</t>
  </si>
  <si>
    <t>https://ebookcentral.proquest.com/lib/NKNU/detail.action?docID=4947636</t>
  </si>
  <si>
    <t>https://ebookcentral.proquest.com/lib/NKNU/detail.action?docID=4947654</t>
  </si>
  <si>
    <t>https://ebookcentral.proquest.com/lib/NKNU/detail.action?docID=4947661</t>
  </si>
  <si>
    <t>https://ebookcentral.proquest.com/lib/NKNU/detail.action?docID=4947679</t>
  </si>
  <si>
    <t>https://ebookcentral.proquest.com/lib/NKNU/detail.action?docID=4947743</t>
  </si>
  <si>
    <t>https://ebookcentral.proquest.com/lib/NKNU/detail.action?docID=4947744</t>
  </si>
  <si>
    <t>https://ebookcentral.proquest.com/lib/NKNU/detail.action?docID=4947745</t>
  </si>
  <si>
    <t>https://ebookcentral.proquest.com/lib/NKNU/detail.action?docID=4947746</t>
  </si>
  <si>
    <t>https://ebookcentral.proquest.com/lib/NKNU/detail.action?docID=4947750</t>
  </si>
  <si>
    <t>https://ebookcentral.proquest.com/lib/NKNU/detail.action?docID=4947751</t>
  </si>
  <si>
    <t>https://ebookcentral.proquest.com/lib/NKNU/detail.action?docID=4947753</t>
  </si>
  <si>
    <t>https://ebookcentral.proquest.com/lib/NKNU/detail.action?docID=4947754</t>
  </si>
  <si>
    <t>https://ebookcentral.proquest.com/lib/NKNU/detail.action?docID=4947755</t>
  </si>
  <si>
    <t>https://ebookcentral.proquest.com/lib/NKNU/detail.action?docID=4947756</t>
  </si>
  <si>
    <t>https://ebookcentral.proquest.com/lib/NKNU/detail.action?docID=4947757</t>
  </si>
  <si>
    <t>https://ebookcentral.proquest.com/lib/NKNU/detail.action?docID=4947759</t>
  </si>
  <si>
    <t>https://ebookcentral.proquest.com/lib/NKNU/detail.action?docID=4947761</t>
  </si>
  <si>
    <t>https://ebookcentral.proquest.com/lib/NKNU/detail.action?docID=4947764</t>
  </si>
  <si>
    <t>https://ebookcentral.proquest.com/lib/NKNU/detail.action?docID=4947765</t>
  </si>
  <si>
    <t>https://ebookcentral.proquest.com/lib/NKNU/detail.action?docID=4947766</t>
  </si>
  <si>
    <t>https://ebookcentral.proquest.com/lib/NKNU/detail.action?docID=4947769</t>
  </si>
  <si>
    <t>https://ebookcentral.proquest.com/lib/NKNU/detail.action?docID=4947771</t>
  </si>
  <si>
    <t>https://ebookcentral.proquest.com/lib/NKNU/detail.action?docID=4947772</t>
  </si>
  <si>
    <t>https://ebookcentral.proquest.com/lib/NKNU/detail.action?docID=4947773</t>
  </si>
  <si>
    <t>https://ebookcentral.proquest.com/lib/NKNU/detail.action?docID=4947774</t>
  </si>
  <si>
    <t>https://ebookcentral.proquest.com/lib/NKNU/detail.action?docID=4947775</t>
  </si>
  <si>
    <t>https://ebookcentral.proquest.com/lib/NKNU/detail.action?docID=4947776</t>
  </si>
  <si>
    <t>https://ebookcentral.proquest.com/lib/NKNU/detail.action?docID=4947777</t>
  </si>
  <si>
    <t>https://ebookcentral.proquest.com/lib/NKNU/detail.action?docID=4947778</t>
  </si>
  <si>
    <t>https://ebookcentral.proquest.com/lib/NKNU/detail.action?docID=4947779</t>
  </si>
  <si>
    <t>https://ebookcentral.proquest.com/lib/NKNU/detail.action?docID=4947781</t>
  </si>
  <si>
    <t>https://ebookcentral.proquest.com/lib/NKNU/detail.action?docID=4947782</t>
  </si>
  <si>
    <t>https://ebookcentral.proquest.com/lib/NKNU/detail.action?docID=4947783</t>
  </si>
  <si>
    <t>https://ebookcentral.proquest.com/lib/NKNU/detail.action?docID=4947785</t>
  </si>
  <si>
    <t>https://ebookcentral.proquest.com/lib/NKNU/detail.action?docID=4947786</t>
  </si>
  <si>
    <t>https://ebookcentral.proquest.com/lib/NKNU/detail.action?docID=4947788</t>
  </si>
  <si>
    <t>https://ebookcentral.proquest.com/lib/NKNU/detail.action?docID=4947789</t>
  </si>
  <si>
    <t>https://ebookcentral.proquest.com/lib/NKNU/detail.action?docID=4947790</t>
  </si>
  <si>
    <t>https://ebookcentral.proquest.com/lib/NKNU/detail.action?docID=4947792</t>
  </si>
  <si>
    <t>https://ebookcentral.proquest.com/lib/NKNU/detail.action?docID=4947794</t>
  </si>
  <si>
    <t>https://ebookcentral.proquest.com/lib/NKNU/detail.action?docID=4947796</t>
  </si>
  <si>
    <t>https://ebookcentral.proquest.com/lib/NKNU/detail.action?docID=4947797</t>
  </si>
  <si>
    <t>https://ebookcentral.proquest.com/lib/NKNU/detail.action?docID=4947799</t>
  </si>
  <si>
    <t>https://ebookcentral.proquest.com/lib/NKNU/detail.action?docID=4947800</t>
  </si>
  <si>
    <t>https://ebookcentral.proquest.com/lib/NKNU/detail.action?docID=4947801</t>
  </si>
  <si>
    <t>https://ebookcentral.proquest.com/lib/NKNU/detail.action?docID=4947802</t>
  </si>
  <si>
    <t>https://ebookcentral.proquest.com/lib/NKNU/detail.action?docID=4947804</t>
  </si>
  <si>
    <t>https://ebookcentral.proquest.com/lib/NKNU/detail.action?docID=4947806</t>
  </si>
  <si>
    <t>https://ebookcentral.proquest.com/lib/NKNU/detail.action?docID=4947807</t>
  </si>
  <si>
    <t>https://ebookcentral.proquest.com/lib/NKNU/detail.action?docID=4947808</t>
  </si>
  <si>
    <t>https://ebookcentral.proquest.com/lib/NKNU/detail.action?docID=4947809</t>
  </si>
  <si>
    <t>https://ebookcentral.proquest.com/lib/NKNU/detail.action?docID=4947810</t>
  </si>
  <si>
    <t>https://ebookcentral.proquest.com/lib/NKNU/detail.action?docID=4947815</t>
  </si>
  <si>
    <t>https://ebookcentral.proquest.com/lib/NKNU/detail.action?docID=4947818</t>
  </si>
  <si>
    <t>https://ebookcentral.proquest.com/lib/NKNU/detail.action?docID=4948000</t>
  </si>
  <si>
    <t>https://ebookcentral.proquest.com/lib/NKNU/detail.action?docID=4948027</t>
  </si>
  <si>
    <t>https://ebookcentral.proquest.com/lib/NKNU/detail.action?docID=4948029</t>
  </si>
  <si>
    <t>https://ebookcentral.proquest.com/lib/NKNU/detail.action?docID=4948041</t>
  </si>
  <si>
    <t>https://ebookcentral.proquest.com/lib/NKNU/detail.action?docID=4948042</t>
  </si>
  <si>
    <t>https://ebookcentral.proquest.com/lib/NKNU/detail.action?docID=4948046</t>
  </si>
  <si>
    <t>https://ebookcentral.proquest.com/lib/NKNU/detail.action?docID=4948047</t>
  </si>
  <si>
    <t>https://ebookcentral.proquest.com/lib/NKNU/detail.action?docID=4948048</t>
  </si>
  <si>
    <t>https://ebookcentral.proquest.com/lib/NKNU/detail.action?docID=4948050</t>
  </si>
  <si>
    <t>https://ebookcentral.proquest.com/lib/NKNU/detail.action?docID=4949270</t>
  </si>
  <si>
    <t>https://ebookcentral.proquest.com/lib/NKNU/detail.action?docID=4949272</t>
  </si>
  <si>
    <t>https://ebookcentral.proquest.com/lib/NKNU/detail.action?docID=4949275</t>
  </si>
  <si>
    <t>https://ebookcentral.proquest.com/lib/NKNU/detail.action?docID=4949278</t>
  </si>
  <si>
    <t>https://ebookcentral.proquest.com/lib/NKNU/detail.action?docID=4949305</t>
  </si>
  <si>
    <t>https://ebookcentral.proquest.com/lib/NKNU/detail.action?docID=4949308</t>
  </si>
  <si>
    <t>https://ebookcentral.proquest.com/lib/NKNU/detail.action?docID=4949457</t>
  </si>
  <si>
    <t>https://ebookcentral.proquest.com/lib/NKNU/detail.action?docID=4949460</t>
  </si>
  <si>
    <t>https://ebookcentral.proquest.com/lib/NKNU/detail.action?docID=4949497</t>
  </si>
  <si>
    <t>https://ebookcentral.proquest.com/lib/NKNU/detail.action?docID=4949498</t>
  </si>
  <si>
    <t>https://ebookcentral.proquest.com/lib/NKNU/detail.action?docID=4949500</t>
  </si>
  <si>
    <t>https://ebookcentral.proquest.com/lib/NKNU/detail.action?docID=4949506</t>
  </si>
  <si>
    <t>https://ebookcentral.proquest.com/lib/NKNU/detail.action?docID=4949507</t>
  </si>
  <si>
    <t>https://ebookcentral.proquest.com/lib/NKNU/detail.action?docID=4949523</t>
  </si>
  <si>
    <t>https://ebookcentral.proquest.com/lib/NKNU/detail.action?docID=4949525</t>
  </si>
  <si>
    <t>https://ebookcentral.proquest.com/lib/NKNU/detail.action?docID=4949555</t>
  </si>
  <si>
    <t>https://ebookcentral.proquest.com/lib/NKNU/detail.action?docID=4949558</t>
  </si>
  <si>
    <t>https://ebookcentral.proquest.com/lib/NKNU/detail.action?docID=4949614</t>
  </si>
  <si>
    <t>https://ebookcentral.proquest.com/lib/NKNU/detail.action?docID=4949616</t>
  </si>
  <si>
    <t>https://ebookcentral.proquest.com/lib/NKNU/detail.action?docID=4949618</t>
  </si>
  <si>
    <t>https://ebookcentral.proquest.com/lib/NKNU/detail.action?docID=4949626</t>
  </si>
  <si>
    <t>https://ebookcentral.proquest.com/lib/NKNU/detail.action?docID=4949629</t>
  </si>
  <si>
    <t>https://ebookcentral.proquest.com/lib/NKNU/detail.action?docID=4949657</t>
  </si>
  <si>
    <t>https://ebookcentral.proquest.com/lib/NKNU/detail.action?docID=4949658</t>
  </si>
  <si>
    <t>https://ebookcentral.proquest.com/lib/NKNU/detail.action?docID=4949661</t>
  </si>
  <si>
    <t>https://ebookcentral.proquest.com/lib/NKNU/detail.action?docID=4949664</t>
  </si>
  <si>
    <t>https://ebookcentral.proquest.com/lib/NKNU/detail.action?docID=4949665</t>
  </si>
  <si>
    <t>https://ebookcentral.proquest.com/lib/NKNU/detail.action?docID=4949666</t>
  </si>
  <si>
    <t>https://ebookcentral.proquest.com/lib/NKNU/detail.action?docID=4949674</t>
  </si>
  <si>
    <t>https://ebookcentral.proquest.com/lib/NKNU/detail.action?docID=4950702</t>
  </si>
  <si>
    <t>https://ebookcentral.proquest.com/lib/NKNU/detail.action?docID=4950714</t>
  </si>
  <si>
    <t>https://ebookcentral.proquest.com/lib/NKNU/detail.action?docID=4950720</t>
  </si>
  <si>
    <t>https://ebookcentral.proquest.com/lib/NKNU/detail.action?docID=4950721</t>
  </si>
  <si>
    <t>https://ebookcentral.proquest.com/lib/NKNU/detail.action?docID=4950723</t>
  </si>
  <si>
    <t>https://ebookcentral.proquest.com/lib/NKNU/detail.action?docID=4950856</t>
  </si>
  <si>
    <t>https://ebookcentral.proquest.com/lib/NKNU/detail.action?docID=4950876</t>
  </si>
  <si>
    <t>https://ebookcentral.proquest.com/lib/NKNU/detail.action?docID=4950884</t>
  </si>
  <si>
    <t>https://ebookcentral.proquest.com/lib/NKNU/detail.action?docID=4950889</t>
  </si>
  <si>
    <t>https://ebookcentral.proquest.com/lib/NKNU/detail.action?docID=4950916</t>
  </si>
  <si>
    <t>https://ebookcentral.proquest.com/lib/NKNU/detail.action?docID=4950919</t>
  </si>
  <si>
    <t>https://ebookcentral.proquest.com/lib/NKNU/detail.action?docID=4950944</t>
  </si>
  <si>
    <t>https://ebookcentral.proquest.com/lib/NKNU/detail.action?docID=4950960</t>
  </si>
  <si>
    <t>https://ebookcentral.proquest.com/lib/NKNU/detail.action?docID=4950977</t>
  </si>
  <si>
    <t>https://ebookcentral.proquest.com/lib/NKNU/detail.action?docID=4950996</t>
  </si>
  <si>
    <t>https://ebookcentral.proquest.com/lib/NKNU/detail.action?docID=4951000</t>
  </si>
  <si>
    <t>https://ebookcentral.proquest.com/lib/NKNU/detail.action?docID=4951001</t>
  </si>
  <si>
    <t>https://ebookcentral.proquest.com/lib/NKNU/detail.action?docID=4951004</t>
  </si>
  <si>
    <t>https://ebookcentral.proquest.com/lib/NKNU/detail.action?docID=4951009</t>
  </si>
  <si>
    <t>https://ebookcentral.proquest.com/lib/NKNU/detail.action?docID=4951013</t>
  </si>
  <si>
    <t>https://ebookcentral.proquest.com/lib/NKNU/detail.action?docID=4951017</t>
  </si>
  <si>
    <t>https://ebookcentral.proquest.com/lib/NKNU/detail.action?docID=4951019</t>
  </si>
  <si>
    <t>https://ebookcentral.proquest.com/lib/NKNU/detail.action?docID=4951116</t>
  </si>
  <si>
    <t>https://ebookcentral.proquest.com/lib/NKNU/detail.action?docID=4951122</t>
  </si>
  <si>
    <t>https://ebookcentral.proquest.com/lib/NKNU/detail.action?docID=4951131</t>
  </si>
  <si>
    <t>https://ebookcentral.proquest.com/lib/NKNU/detail.action?docID=4951147</t>
  </si>
  <si>
    <t>https://ebookcentral.proquest.com/lib/NKNU/detail.action?docID=4951150</t>
  </si>
  <si>
    <t>https://ebookcentral.proquest.com/lib/NKNU/detail.action?docID=4951167</t>
  </si>
  <si>
    <t>https://ebookcentral.proquest.com/lib/NKNU/detail.action?docID=4951169</t>
  </si>
  <si>
    <t>https://ebookcentral.proquest.com/lib/NKNU/detail.action?docID=4951212</t>
  </si>
  <si>
    <t>https://ebookcentral.proquest.com/lib/NKNU/detail.action?docID=4951213</t>
  </si>
  <si>
    <t>https://ebookcentral.proquest.com/lib/NKNU/detail.action?docID=4951254</t>
  </si>
  <si>
    <t>https://ebookcentral.proquest.com/lib/NKNU/detail.action?docID=4951259</t>
  </si>
  <si>
    <t>https://ebookcentral.proquest.com/lib/NKNU/detail.action?docID=4951260</t>
  </si>
  <si>
    <t>https://ebookcentral.proquest.com/lib/NKNU/detail.action?docID=4952291</t>
  </si>
  <si>
    <t>https://ebookcentral.proquest.com/lib/NKNU/detail.action?docID=4952371</t>
  </si>
  <si>
    <t>https://ebookcentral.proquest.com/lib/NKNU/detail.action?docID=4952399</t>
  </si>
  <si>
    <t>https://ebookcentral.proquest.com/lib/NKNU/detail.action?docID=4952426</t>
  </si>
  <si>
    <t>https://ebookcentral.proquest.com/lib/NKNU/detail.action?docID=4952446</t>
  </si>
  <si>
    <t>https://ebookcentral.proquest.com/lib/NKNU/detail.action?docID=4952988</t>
  </si>
  <si>
    <t>https://ebookcentral.proquest.com/lib/NKNU/detail.action?docID=4952990</t>
  </si>
  <si>
    <t>https://ebookcentral.proquest.com/lib/NKNU/detail.action?docID=4952991</t>
  </si>
  <si>
    <t>https://ebookcentral.proquest.com/lib/NKNU/detail.action?docID=4953033</t>
  </si>
  <si>
    <t>https://ebookcentral.proquest.com/lib/NKNU/detail.action?docID=4953034</t>
  </si>
  <si>
    <t>https://ebookcentral.proquest.com/lib/NKNU/detail.action?docID=4953035</t>
  </si>
  <si>
    <t>https://ebookcentral.proquest.com/lib/NKNU/detail.action?docID=4953049</t>
  </si>
  <si>
    <t>https://ebookcentral.proquest.com/lib/NKNU/detail.action?docID=4953051</t>
  </si>
  <si>
    <t>https://ebookcentral.proquest.com/lib/NKNU/detail.action?docID=4953064</t>
  </si>
  <si>
    <t>https://ebookcentral.proquest.com/lib/NKNU/detail.action?docID=4953071</t>
  </si>
  <si>
    <t>https://ebookcentral.proquest.com/lib/NKNU/detail.action?docID=4953086</t>
  </si>
  <si>
    <t>https://ebookcentral.proquest.com/lib/NKNU/detail.action?docID=4953087</t>
  </si>
  <si>
    <t>https://ebookcentral.proquest.com/lib/NKNU/detail.action?docID=4953113</t>
  </si>
  <si>
    <t>https://ebookcentral.proquest.com/lib/NKNU/detail.action?docID=4953121</t>
  </si>
  <si>
    <t>https://ebookcentral.proquest.com/lib/NKNU/detail.action?docID=4953125</t>
  </si>
  <si>
    <t>https://ebookcentral.proquest.com/lib/NKNU/detail.action?docID=4953133</t>
  </si>
  <si>
    <t>https://ebookcentral.proquest.com/lib/NKNU/detail.action?docID=4953134</t>
  </si>
  <si>
    <t>https://ebookcentral.proquest.com/lib/NKNU/detail.action?docID=4953135</t>
  </si>
  <si>
    <t>https://ebookcentral.proquest.com/lib/NKNU/detail.action?docID=4953138</t>
  </si>
  <si>
    <t>https://ebookcentral.proquest.com/lib/NKNU/detail.action?docID=4953152</t>
  </si>
  <si>
    <t>https://ebookcentral.proquest.com/lib/NKNU/detail.action?docID=4953155</t>
  </si>
  <si>
    <t>https://ebookcentral.proquest.com/lib/NKNU/detail.action?docID=4953157</t>
  </si>
  <si>
    <t>https://ebookcentral.proquest.com/lib/NKNU/detail.action?docID=4953495</t>
  </si>
  <si>
    <t>https://ebookcentral.proquest.com/lib/NKNU/detail.action?docID=4953533</t>
  </si>
  <si>
    <t>https://ebookcentral.proquest.com/lib/NKNU/detail.action?docID=4953679</t>
  </si>
  <si>
    <t>https://ebookcentral.proquest.com/lib/NKNU/detail.action?docID=4953680</t>
  </si>
  <si>
    <t>https://ebookcentral.proquest.com/lib/NKNU/detail.action?docID=4953682</t>
  </si>
  <si>
    <t>https://ebookcentral.proquest.com/lib/NKNU/detail.action?docID=4953687</t>
  </si>
  <si>
    <t>https://ebookcentral.proquest.com/lib/NKNU/detail.action?docID=4953688</t>
  </si>
  <si>
    <t>https://ebookcentral.proquest.com/lib/NKNU/detail.action?docID=4953701</t>
  </si>
  <si>
    <t>https://ebookcentral.proquest.com/lib/NKNU/detail.action?docID=4953709</t>
  </si>
  <si>
    <t>https://ebookcentral.proquest.com/lib/NKNU/detail.action?docID=4953716</t>
  </si>
  <si>
    <t>https://ebookcentral.proquest.com/lib/NKNU/detail.action?docID=4953864</t>
  </si>
  <si>
    <t>https://ebookcentral.proquest.com/lib/NKNU/detail.action?docID=4953898</t>
  </si>
  <si>
    <t>https://ebookcentral.proquest.com/lib/NKNU/detail.action?docID=4953937</t>
  </si>
  <si>
    <t>https://ebookcentral.proquest.com/lib/NKNU/detail.action?docID=4953961</t>
  </si>
  <si>
    <t>https://ebookcentral.proquest.com/lib/NKNU/detail.action?docID=4953967</t>
  </si>
  <si>
    <t>https://ebookcentral.proquest.com/lib/NKNU/detail.action?docID=4953968</t>
  </si>
  <si>
    <t>https://ebookcentral.proquest.com/lib/NKNU/detail.action?docID=4953969</t>
  </si>
  <si>
    <t>https://ebookcentral.proquest.com/lib/NKNU/detail.action?docID=4953978</t>
  </si>
  <si>
    <t>https://ebookcentral.proquest.com/lib/NKNU/detail.action?docID=4953979</t>
  </si>
  <si>
    <t>https://ebookcentral.proquest.com/lib/NKNU/detail.action?docID=4953980</t>
  </si>
  <si>
    <t>https://ebookcentral.proquest.com/lib/NKNU/detail.action?docID=4953981</t>
  </si>
  <si>
    <t>https://ebookcentral.proquest.com/lib/NKNU/detail.action?docID=4953982</t>
  </si>
  <si>
    <t>https://ebookcentral.proquest.com/lib/NKNU/detail.action?docID=4953983</t>
  </si>
  <si>
    <t>https://ebookcentral.proquest.com/lib/NKNU/detail.action?docID=4953986</t>
  </si>
  <si>
    <t>https://ebookcentral.proquest.com/lib/NKNU/detail.action?docID=4953987</t>
  </si>
  <si>
    <t>https://ebookcentral.proquest.com/lib/NKNU/detail.action?docID=4953988</t>
  </si>
  <si>
    <t>https://ebookcentral.proquest.com/lib/NKNU/detail.action?docID=4953989</t>
  </si>
  <si>
    <t>https://ebookcentral.proquest.com/lib/NKNU/detail.action?docID=4953990</t>
  </si>
  <si>
    <t>https://ebookcentral.proquest.com/lib/NKNU/detail.action?docID=4953992</t>
  </si>
  <si>
    <t>https://ebookcentral.proquest.com/lib/NKNU/detail.action?docID=4953995</t>
  </si>
  <si>
    <t>https://ebookcentral.proquest.com/lib/NKNU/detail.action?docID=4954013</t>
  </si>
  <si>
    <t>https://ebookcentral.proquest.com/lib/NKNU/detail.action?docID=4954020</t>
  </si>
  <si>
    <t>https://ebookcentral.proquest.com/lib/NKNU/detail.action?docID=4954026</t>
  </si>
  <si>
    <t>https://ebookcentral.proquest.com/lib/NKNU/detail.action?docID=4954033</t>
  </si>
  <si>
    <t>https://ebookcentral.proquest.com/lib/NKNU/detail.action?docID=4954034</t>
  </si>
  <si>
    <t>https://ebookcentral.proquest.com/lib/NKNU/detail.action?docID=4954035</t>
  </si>
  <si>
    <t>https://ebookcentral.proquest.com/lib/NKNU/detail.action?docID=4954037</t>
  </si>
  <si>
    <t>https://ebookcentral.proquest.com/lib/NKNU/detail.action?docID=4954071</t>
  </si>
  <si>
    <t>https://ebookcentral.proquest.com/lib/NKNU/detail.action?docID=4954072</t>
  </si>
  <si>
    <t>https://ebookcentral.proquest.com/lib/NKNU/detail.action?docID=4954074</t>
  </si>
  <si>
    <t>https://ebookcentral.proquest.com/lib/NKNU/detail.action?docID=4954117</t>
  </si>
  <si>
    <t>https://ebookcentral.proquest.com/lib/NKNU/detail.action?docID=4954121</t>
  </si>
  <si>
    <t>https://ebookcentral.proquest.com/lib/NKNU/detail.action?docID=4954122</t>
  </si>
  <si>
    <t>https://ebookcentral.proquest.com/lib/NKNU/detail.action?docID=4954123</t>
  </si>
  <si>
    <t>https://ebookcentral.proquest.com/lib/NKNU/detail.action?docID=4954130</t>
  </si>
  <si>
    <t>https://ebookcentral.proquest.com/lib/NKNU/detail.action?docID=4954216</t>
  </si>
  <si>
    <t>https://ebookcentral.proquest.com/lib/NKNU/detail.action?docID=4955958</t>
  </si>
  <si>
    <t>https://ebookcentral.proquest.com/lib/NKNU/detail.action?docID=4955989</t>
  </si>
  <si>
    <t>https://ebookcentral.proquest.com/lib/NKNU/detail.action?docID=4956017</t>
  </si>
  <si>
    <t>https://ebookcentral.proquest.com/lib/NKNU/detail.action?docID=4956020</t>
  </si>
  <si>
    <t>https://ebookcentral.proquest.com/lib/NKNU/detail.action?docID=4956065</t>
  </si>
  <si>
    <t>https://ebookcentral.proquest.com/lib/NKNU/detail.action?docID=4956082</t>
  </si>
  <si>
    <t>https://ebookcentral.proquest.com/lib/NKNU/detail.action?docID=4956084</t>
  </si>
  <si>
    <t>https://ebookcentral.proquest.com/lib/NKNU/detail.action?docID=4956138</t>
  </si>
  <si>
    <t>https://ebookcentral.proquest.com/lib/NKNU/detail.action?docID=4956142</t>
  </si>
  <si>
    <t>https://ebookcentral.proquest.com/lib/NKNU/detail.action?docID=4956145</t>
  </si>
  <si>
    <t>https://ebookcentral.proquest.com/lib/NKNU/detail.action?docID=4956156</t>
  </si>
  <si>
    <t>https://ebookcentral.proquest.com/lib/NKNU/detail.action?docID=4956159</t>
  </si>
  <si>
    <t>https://ebookcentral.proquest.com/lib/NKNU/detail.action?docID=4956181</t>
  </si>
  <si>
    <t>https://ebookcentral.proquest.com/lib/NKNU/detail.action?docID=4956199</t>
  </si>
  <si>
    <t>https://ebookcentral.proquest.com/lib/NKNU/detail.action?docID=4956200</t>
  </si>
  <si>
    <t>https://ebookcentral.proquest.com/lib/NKNU/detail.action?docID=4956201</t>
  </si>
  <si>
    <t>https://ebookcentral.proquest.com/lib/NKNU/detail.action?docID=4956339</t>
  </si>
  <si>
    <t>https://ebookcentral.proquest.com/lib/NKNU/detail.action?docID=4956364</t>
  </si>
  <si>
    <t>https://ebookcentral.proquest.com/lib/NKNU/detail.action?docID=4956669</t>
  </si>
  <si>
    <t>https://ebookcentral.proquest.com/lib/NKNU/detail.action?docID=4958014</t>
  </si>
  <si>
    <t>https://ebookcentral.proquest.com/lib/NKNU/detail.action?docID=4958015</t>
  </si>
  <si>
    <t>https://ebookcentral.proquest.com/lib/NKNU/detail.action?docID=4958021</t>
  </si>
  <si>
    <t>https://ebookcentral.proquest.com/lib/NKNU/detail.action?docID=4958025</t>
  </si>
  <si>
    <t>https://ebookcentral.proquest.com/lib/NKNU/detail.action?docID=4958035</t>
  </si>
  <si>
    <t>https://ebookcentral.proquest.com/lib/NKNU/detail.action?docID=4958040</t>
  </si>
  <si>
    <t>https://ebookcentral.proquest.com/lib/NKNU/detail.action?docID=4958043</t>
  </si>
  <si>
    <t>https://ebookcentral.proquest.com/lib/NKNU/detail.action?docID=4958047</t>
  </si>
  <si>
    <t>https://ebookcentral.proquest.com/lib/NKNU/detail.action?docID=4958049</t>
  </si>
  <si>
    <t>https://ebookcentral.proquest.com/lib/NKNU/detail.action?docID=4958050</t>
  </si>
  <si>
    <t>https://ebookcentral.proquest.com/lib/NKNU/detail.action?docID=4958054</t>
  </si>
  <si>
    <t>https://ebookcentral.proquest.com/lib/NKNU/detail.action?docID=4958057</t>
  </si>
  <si>
    <t>https://ebookcentral.proquest.com/lib/NKNU/detail.action?docID=4958059</t>
  </si>
  <si>
    <t>https://ebookcentral.proquest.com/lib/NKNU/detail.action?docID=4958078</t>
  </si>
  <si>
    <t>https://ebookcentral.proquest.com/lib/NKNU/detail.action?docID=4958079</t>
  </si>
  <si>
    <t>https://ebookcentral.proquest.com/lib/NKNU/detail.action?docID=4958910</t>
  </si>
  <si>
    <t>https://ebookcentral.proquest.com/lib/NKNU/detail.action?docID=4959688</t>
  </si>
  <si>
    <t>https://ebookcentral.proquest.com/lib/NKNU/detail.action?docID=4960257</t>
  </si>
  <si>
    <t>https://ebookcentral.proquest.com/lib/NKNU/detail.action?docID=4960666</t>
  </si>
  <si>
    <t>https://ebookcentral.proquest.com/lib/NKNU/detail.action?docID=4960667</t>
  </si>
  <si>
    <t>https://ebookcentral.proquest.com/lib/NKNU/detail.action?docID=4960670</t>
  </si>
  <si>
    <t>https://ebookcentral.proquest.com/lib/NKNU/detail.action?docID=4960683</t>
  </si>
  <si>
    <t>https://ebookcentral.proquest.com/lib/NKNU/detail.action?docID=4960687</t>
  </si>
  <si>
    <t>https://ebookcentral.proquest.com/lib/NKNU/detail.action?docID=4960695</t>
  </si>
  <si>
    <t>https://ebookcentral.proquest.com/lib/NKNU/detail.action?docID=4960698</t>
  </si>
  <si>
    <t>https://ebookcentral.proquest.com/lib/NKNU/detail.action?docID=4960701</t>
  </si>
  <si>
    <t>https://ebookcentral.proquest.com/lib/NKNU/detail.action?docID=4960708</t>
  </si>
  <si>
    <t>https://ebookcentral.proquest.com/lib/NKNU/detail.action?docID=4960725</t>
  </si>
  <si>
    <t>https://ebookcentral.proquest.com/lib/NKNU/detail.action?docID=4960745</t>
  </si>
  <si>
    <t>https://ebookcentral.proquest.com/lib/NKNU/detail.action?docID=4960751</t>
  </si>
  <si>
    <t>https://ebookcentral.proquest.com/lib/NKNU/detail.action?docID=4960758</t>
  </si>
  <si>
    <t>https://ebookcentral.proquest.com/lib/NKNU/detail.action?docID=4960760</t>
  </si>
  <si>
    <t>https://ebookcentral.proquest.com/lib/NKNU/detail.action?docID=4960769</t>
  </si>
  <si>
    <t>https://ebookcentral.proquest.com/lib/NKNU/detail.action?docID=4960772</t>
  </si>
  <si>
    <t>https://ebookcentral.proquest.com/lib/NKNU/detail.action?docID=4960778</t>
  </si>
  <si>
    <t>https://ebookcentral.proquest.com/lib/NKNU/detail.action?docID=4960785</t>
  </si>
  <si>
    <t>https://ebookcentral.proquest.com/lib/NKNU/detail.action?docID=4960812</t>
  </si>
  <si>
    <t>https://ebookcentral.proquest.com/lib/NKNU/detail.action?docID=4960819</t>
  </si>
  <si>
    <t>https://ebookcentral.proquest.com/lib/NKNU/detail.action?docID=4960821</t>
  </si>
  <si>
    <t>https://ebookcentral.proquest.com/lib/NKNU/detail.action?docID=4960825</t>
  </si>
  <si>
    <t>https://ebookcentral.proquest.com/lib/NKNU/detail.action?docID=4960826</t>
  </si>
  <si>
    <t>https://ebookcentral.proquest.com/lib/NKNU/detail.action?docID=4960830</t>
  </si>
  <si>
    <t>https://ebookcentral.proquest.com/lib/NKNU/detail.action?docID=4960832</t>
  </si>
  <si>
    <t>https://ebookcentral.proquest.com/lib/NKNU/detail.action?docID=4960833</t>
  </si>
  <si>
    <t>https://ebookcentral.proquest.com/lib/NKNU/detail.action?docID=4960834</t>
  </si>
  <si>
    <t>https://ebookcentral.proquest.com/lib/NKNU/detail.action?docID=4960835</t>
  </si>
  <si>
    <t>https://ebookcentral.proquest.com/lib/NKNU/detail.action?docID=4960843</t>
  </si>
  <si>
    <t>https://ebookcentral.proquest.com/lib/NKNU/detail.action?docID=4960847</t>
  </si>
  <si>
    <t>https://ebookcentral.proquest.com/lib/NKNU/detail.action?docID=4960849</t>
  </si>
  <si>
    <t>https://ebookcentral.proquest.com/lib/NKNU/detail.action?docID=4960857</t>
  </si>
  <si>
    <t>https://ebookcentral.proquest.com/lib/NKNU/detail.action?docID=4960861</t>
  </si>
  <si>
    <t>https://ebookcentral.proquest.com/lib/NKNU/detail.action?docID=4960862</t>
  </si>
  <si>
    <t>https://ebookcentral.proquest.com/lib/NKNU/detail.action?docID=4960865</t>
  </si>
  <si>
    <t>https://ebookcentral.proquest.com/lib/NKNU/detail.action?docID=4960866</t>
  </si>
  <si>
    <t>https://ebookcentral.proquest.com/lib/NKNU/detail.action?docID=4960876</t>
  </si>
  <si>
    <t>https://ebookcentral.proquest.com/lib/NKNU/detail.action?docID=4960881</t>
  </si>
  <si>
    <t>https://ebookcentral.proquest.com/lib/NKNU/detail.action?docID=4960901</t>
  </si>
  <si>
    <t>https://ebookcentral.proquest.com/lib/NKNU/detail.action?docID=4960903</t>
  </si>
  <si>
    <t>https://ebookcentral.proquest.com/lib/NKNU/detail.action?docID=4960920</t>
  </si>
  <si>
    <t>https://ebookcentral.proquest.com/lib/NKNU/detail.action?docID=4960922</t>
  </si>
  <si>
    <t>https://ebookcentral.proquest.com/lib/NKNU/detail.action?docID=4960924</t>
  </si>
  <si>
    <t>https://ebookcentral.proquest.com/lib/NKNU/detail.action?docID=4960934</t>
  </si>
  <si>
    <t>https://ebookcentral.proquest.com/lib/NKNU/detail.action?docID=4960937</t>
  </si>
  <si>
    <t>https://ebookcentral.proquest.com/lib/NKNU/detail.action?docID=4960944</t>
  </si>
  <si>
    <t>https://ebookcentral.proquest.com/lib/NKNU/detail.action?docID=4960947</t>
  </si>
  <si>
    <t>https://ebookcentral.proquest.com/lib/NKNU/detail.action?docID=4962245</t>
  </si>
  <si>
    <t>https://ebookcentral.proquest.com/lib/NKNU/detail.action?docID=4962246</t>
  </si>
  <si>
    <t>https://ebookcentral.proquest.com/lib/NKNU/detail.action?docID=4962247</t>
  </si>
  <si>
    <t>https://ebookcentral.proquest.com/lib/NKNU/detail.action?docID=4962254</t>
  </si>
  <si>
    <t>https://ebookcentral.proquest.com/lib/NKNU/detail.action?docID=4962256</t>
  </si>
  <si>
    <t>https://ebookcentral.proquest.com/lib/NKNU/detail.action?docID=4962258</t>
  </si>
  <si>
    <t>https://ebookcentral.proquest.com/lib/NKNU/detail.action?docID=4962261</t>
  </si>
  <si>
    <t>https://ebookcentral.proquest.com/lib/NKNU/detail.action?docID=4962262</t>
  </si>
  <si>
    <t>https://ebookcentral.proquest.com/lib/NKNU/detail.action?docID=4962263</t>
  </si>
  <si>
    <t>https://ebookcentral.proquest.com/lib/NKNU/detail.action?docID=4962264</t>
  </si>
  <si>
    <t>https://ebookcentral.proquest.com/lib/NKNU/detail.action?docID=4962271</t>
  </si>
  <si>
    <t>https://ebookcentral.proquest.com/lib/NKNU/detail.action?docID=4962279</t>
  </si>
  <si>
    <t>https://ebookcentral.proquest.com/lib/NKNU/detail.action?docID=4962296</t>
  </si>
  <si>
    <t>https://ebookcentral.proquest.com/lib/NKNU/detail.action?docID=4962671</t>
  </si>
  <si>
    <t>https://ebookcentral.proquest.com/lib/NKNU/detail.action?docID=4962691</t>
  </si>
  <si>
    <t>https://ebookcentral.proquest.com/lib/NKNU/detail.action?docID=4962746</t>
  </si>
  <si>
    <t>https://ebookcentral.proquest.com/lib/NKNU/detail.action?docID=4962782</t>
  </si>
  <si>
    <t>https://ebookcentral.proquest.com/lib/NKNU/detail.action?docID=4962907</t>
  </si>
  <si>
    <t>https://ebookcentral.proquest.com/lib/NKNU/detail.action?docID=4962928</t>
  </si>
  <si>
    <t>https://ebookcentral.proquest.com/lib/NKNU/detail.action?docID=4963129</t>
  </si>
  <si>
    <t>https://ebookcentral.proquest.com/lib/NKNU/detail.action?docID=4963163</t>
  </si>
  <si>
    <t>https://ebookcentral.proquest.com/lib/NKNU/detail.action?docID=4963182</t>
  </si>
  <si>
    <t>https://ebookcentral.proquest.com/lib/NKNU/detail.action?docID=4963330</t>
  </si>
  <si>
    <t>https://ebookcentral.proquest.com/lib/NKNU/detail.action?docID=4963383</t>
  </si>
  <si>
    <t>https://ebookcentral.proquest.com/lib/NKNU/detail.action?docID=4963458</t>
  </si>
  <si>
    <t>https://ebookcentral.proquest.com/lib/NKNU/detail.action?docID=4963498</t>
  </si>
  <si>
    <t>https://ebookcentral.proquest.com/lib/NKNU/detail.action?docID=4963649</t>
  </si>
  <si>
    <t>https://ebookcentral.proquest.com/lib/NKNU/detail.action?docID=4963818</t>
  </si>
  <si>
    <t>https://ebookcentral.proquest.com/lib/NKNU/detail.action?docID=4963873</t>
  </si>
  <si>
    <t>https://ebookcentral.proquest.com/lib/NKNU/detail.action?docID=4963905</t>
  </si>
  <si>
    <t>https://ebookcentral.proquest.com/lib/NKNU/detail.action?docID=4963947</t>
  </si>
  <si>
    <t>https://ebookcentral.proquest.com/lib/NKNU/detail.action?docID=4963989</t>
  </si>
  <si>
    <t>https://ebookcentral.proquest.com/lib/NKNU/detail.action?docID=4964075</t>
  </si>
  <si>
    <t>https://ebookcentral.proquest.com/lib/NKNU/detail.action?docID=4964093</t>
  </si>
  <si>
    <t>https://ebookcentral.proquest.com/lib/NKNU/detail.action?docID=4964249</t>
  </si>
  <si>
    <t>https://ebookcentral.proquest.com/lib/NKNU/detail.action?docID=4964295</t>
  </si>
  <si>
    <t>https://ebookcentral.proquest.com/lib/NKNU/detail.action?docID=4964364</t>
  </si>
  <si>
    <t>https://ebookcentral.proquest.com/lib/NKNU/detail.action?docID=4964385</t>
  </si>
  <si>
    <t>https://ebookcentral.proquest.com/lib/NKNU/detail.action?docID=4964396</t>
  </si>
  <si>
    <t>https://ebookcentral.proquest.com/lib/NKNU/detail.action?docID=4964422</t>
  </si>
  <si>
    <t>https://ebookcentral.proquest.com/lib/NKNU/detail.action?docID=4964495</t>
  </si>
  <si>
    <t>https://ebookcentral.proquest.com/lib/NKNU/detail.action?docID=4964646</t>
  </si>
  <si>
    <t>https://ebookcentral.proquest.com/lib/NKNU/detail.action?docID=4964659</t>
  </si>
  <si>
    <t>https://ebookcentral.proquest.com/lib/NKNU/detail.action?docID=4964767</t>
  </si>
  <si>
    <t>https://ebookcentral.proquest.com/lib/NKNU/detail.action?docID=4964798</t>
  </si>
  <si>
    <t>https://ebookcentral.proquest.com/lib/NKNU/detail.action?docID=4964823</t>
  </si>
  <si>
    <t>https://ebookcentral.proquest.com/lib/NKNU/detail.action?docID=4965068</t>
  </si>
  <si>
    <t>https://ebookcentral.proquest.com/lib/NKNU/detail.action?docID=4967913</t>
  </si>
  <si>
    <t>https://ebookcentral.proquest.com/lib/NKNU/detail.action?docID=4969975</t>
  </si>
  <si>
    <t>https://ebookcentral.proquest.com/lib/NKNU/detail.action?docID=4969999</t>
  </si>
  <si>
    <t>https://ebookcentral.proquest.com/lib/NKNU/detail.action?docID=4970002</t>
  </si>
  <si>
    <t>https://ebookcentral.proquest.com/lib/NKNU/detail.action?docID=4970013</t>
  </si>
  <si>
    <t>https://ebookcentral.proquest.com/lib/NKNU/detail.action?docID=4970014</t>
  </si>
  <si>
    <t>https://ebookcentral.proquest.com/lib/NKNU/detail.action?docID=4970023</t>
  </si>
  <si>
    <t>https://ebookcentral.proquest.com/lib/NKNU/detail.action?docID=4970026</t>
  </si>
  <si>
    <t>https://ebookcentral.proquest.com/lib/NKNU/detail.action?docID=4970046</t>
  </si>
  <si>
    <t>https://ebookcentral.proquest.com/lib/NKNU/detail.action?docID=4970470</t>
  </si>
  <si>
    <t>https://ebookcentral.proquest.com/lib/NKNU/detail.action?docID=4974821</t>
  </si>
  <si>
    <t>https://ebookcentral.proquest.com/lib/NKNU/detail.action?docID=4974824</t>
  </si>
  <si>
    <t>https://ebookcentral.proquest.com/lib/NKNU/detail.action?docID=4974826</t>
  </si>
  <si>
    <t>https://ebookcentral.proquest.com/lib/NKNU/detail.action?docID=4974872</t>
  </si>
  <si>
    <t>https://ebookcentral.proquest.com/lib/NKNU/detail.action?docID=4974874</t>
  </si>
  <si>
    <t>https://ebookcentral.proquest.com/lib/NKNU/detail.action?docID=4974890</t>
  </si>
  <si>
    <t>https://ebookcentral.proquest.com/lib/NKNU/detail.action?docID=4974893</t>
  </si>
  <si>
    <t>https://ebookcentral.proquest.com/lib/NKNU/detail.action?docID=4974901</t>
  </si>
  <si>
    <t>https://ebookcentral.proquest.com/lib/NKNU/detail.action?docID=4974902</t>
  </si>
  <si>
    <t>https://ebookcentral.proquest.com/lib/NKNU/detail.action?docID=4974905</t>
  </si>
  <si>
    <t>https://ebookcentral.proquest.com/lib/NKNU/detail.action?docID=4974906</t>
  </si>
  <si>
    <t>https://ebookcentral.proquest.com/lib/NKNU/detail.action?docID=4974909</t>
  </si>
  <si>
    <t>https://ebookcentral.proquest.com/lib/NKNU/detail.action?docID=4974911</t>
  </si>
  <si>
    <t>https://ebookcentral.proquest.com/lib/NKNU/detail.action?docID=4974913</t>
  </si>
  <si>
    <t>https://ebookcentral.proquest.com/lib/NKNU/detail.action?docID=4974920</t>
  </si>
  <si>
    <t>https://ebookcentral.proquest.com/lib/NKNU/detail.action?docID=4974952</t>
  </si>
  <si>
    <t>https://ebookcentral.proquest.com/lib/NKNU/detail.action?docID=4974958</t>
  </si>
  <si>
    <t>https://ebookcentral.proquest.com/lib/NKNU/detail.action?docID=4974965</t>
  </si>
  <si>
    <t>https://ebookcentral.proquest.com/lib/NKNU/detail.action?docID=4974968</t>
  </si>
  <si>
    <t>https://ebookcentral.proquest.com/lib/NKNU/detail.action?docID=4974974</t>
  </si>
  <si>
    <t>https://ebookcentral.proquest.com/lib/NKNU/detail.action?docID=4974976</t>
  </si>
  <si>
    <t>https://ebookcentral.proquest.com/lib/NKNU/detail.action?docID=4974980</t>
  </si>
  <si>
    <t>https://ebookcentral.proquest.com/lib/NKNU/detail.action?docID=4976989</t>
  </si>
  <si>
    <t>https://ebookcentral.proquest.com/lib/NKNU/detail.action?docID=4977028</t>
  </si>
  <si>
    <t>https://ebookcentral.proquest.com/lib/NKNU/detail.action?docID=4977126</t>
  </si>
  <si>
    <t>https://ebookcentral.proquest.com/lib/NKNU/detail.action?docID=4977170</t>
  </si>
  <si>
    <t>https://ebookcentral.proquest.com/lib/NKNU/detail.action?docID=4977371</t>
  </si>
  <si>
    <t>https://ebookcentral.proquest.com/lib/NKNU/detail.action?docID=4977373</t>
  </si>
  <si>
    <t>https://ebookcentral.proquest.com/lib/NKNU/detail.action?docID=4977376</t>
  </si>
  <si>
    <t>https://ebookcentral.proquest.com/lib/NKNU/detail.action?docID=4977693</t>
  </si>
  <si>
    <t>https://ebookcentral.proquest.com/lib/NKNU/detail.action?docID=4977695</t>
  </si>
  <si>
    <t>https://ebookcentral.proquest.com/lib/NKNU/detail.action?docID=4977938</t>
  </si>
  <si>
    <t>https://ebookcentral.proquest.com/lib/NKNU/detail.action?docID=4978196</t>
  </si>
  <si>
    <t>https://ebookcentral.proquest.com/lib/NKNU/detail.action?docID=4978218</t>
  </si>
  <si>
    <t>https://ebookcentral.proquest.com/lib/NKNU/detail.action?docID=4978524</t>
  </si>
  <si>
    <t>https://ebookcentral.proquest.com/lib/NKNU/detail.action?docID=4982439</t>
  </si>
  <si>
    <t>https://ebookcentral.proquest.com/lib/NKNU/detail.action?docID=4988237</t>
  </si>
  <si>
    <t>https://ebookcentral.proquest.com/lib/NKNU/detail.action?docID=4993054</t>
  </si>
  <si>
    <t>https://ebookcentral.proquest.com/lib/NKNU/detail.action?docID=4993056</t>
  </si>
  <si>
    <t>https://ebookcentral.proquest.com/lib/NKNU/detail.action?docID=4993092</t>
  </si>
  <si>
    <t>https://ebookcentral.proquest.com/lib/NKNU/detail.action?docID=4993094</t>
  </si>
  <si>
    <t>https://ebookcentral.proquest.com/lib/NKNU/detail.action?docID=4993104</t>
  </si>
  <si>
    <t>https://ebookcentral.proquest.com/lib/NKNU/detail.action?docID=4993123</t>
  </si>
  <si>
    <t>https://ebookcentral.proquest.com/lib/NKNU/detail.action?docID=4993131</t>
  </si>
  <si>
    <t>https://ebookcentral.proquest.com/lib/NKNU/detail.action?docID=4993136</t>
  </si>
  <si>
    <t>https://ebookcentral.proquest.com/lib/NKNU/detail.action?docID=4993155</t>
  </si>
  <si>
    <t>https://ebookcentral.proquest.com/lib/NKNU/detail.action?docID=4993156</t>
  </si>
  <si>
    <t>https://ebookcentral.proquest.com/lib/NKNU/detail.action?docID=4993174</t>
  </si>
  <si>
    <t>https://ebookcentral.proquest.com/lib/NKNU/detail.action?docID=4993185</t>
  </si>
  <si>
    <t>https://ebookcentral.proquest.com/lib/NKNU/detail.action?docID=4993186</t>
  </si>
  <si>
    <t>https://ebookcentral.proquest.com/lib/NKNU/detail.action?docID=5013670</t>
  </si>
  <si>
    <t>https://ebookcentral.proquest.com/lib/NKNU/detail.action?docID=5014612</t>
  </si>
  <si>
    <t>https://ebookcentral.proquest.com/lib/NKNU/detail.action?docID=5041700</t>
  </si>
  <si>
    <t>https://ebookcentral.proquest.com/lib/NKNU/detail.action?docID=5043075</t>
  </si>
  <si>
    <t>https://ebookcentral.proquest.com/lib/NKNU/detail.action?docID=5049768</t>
  </si>
  <si>
    <t>https://ebookcentral.proquest.com/lib/NKNU/detail.action?docID=5054367</t>
  </si>
  <si>
    <t>https://ebookcentral.proquest.com/lib/NKNU/detail.action?docID=5054368</t>
  </si>
  <si>
    <t>https://ebookcentral.proquest.com/lib/NKNU/detail.action?docID=5054391</t>
  </si>
  <si>
    <t>https://ebookcentral.proquest.com/lib/NKNU/detail.action?docID=5054398</t>
  </si>
  <si>
    <t>https://ebookcentral.proquest.com/lib/NKNU/detail.action?docID=5054402</t>
  </si>
  <si>
    <t>https://ebookcentral.proquest.com/lib/NKNU/detail.action?docID=5054404</t>
  </si>
  <si>
    <t>https://ebookcentral.proquest.com/lib/NKNU/detail.action?docID=5054408</t>
  </si>
  <si>
    <t>https://ebookcentral.proquest.com/lib/NKNU/detail.action?docID=5054409</t>
  </si>
  <si>
    <t>https://ebookcentral.proquest.com/lib/NKNU/detail.action?docID=5054411</t>
  </si>
  <si>
    <t>https://ebookcentral.proquest.com/lib/NKNU/detail.action?docID=5054415</t>
  </si>
  <si>
    <t>https://ebookcentral.proquest.com/lib/NKNU/detail.action?docID=5054416</t>
  </si>
  <si>
    <t>https://ebookcentral.proquest.com/lib/NKNU/detail.action?docID=5054417</t>
  </si>
  <si>
    <t>https://ebookcentral.proquest.com/lib/NKNU/detail.action?docID=5054418</t>
  </si>
  <si>
    <t>https://ebookcentral.proquest.com/lib/NKNU/detail.action?docID=5054419</t>
  </si>
  <si>
    <t>https://ebookcentral.proquest.com/lib/NKNU/detail.action?docID=5054423</t>
  </si>
  <si>
    <t>https://ebookcentral.proquest.com/lib/NKNU/detail.action?docID=5054426</t>
  </si>
  <si>
    <t>https://ebookcentral.proquest.com/lib/NKNU/detail.action?docID=5054429</t>
  </si>
  <si>
    <t>https://ebookcentral.proquest.com/lib/NKNU/detail.action?docID=5054430</t>
  </si>
  <si>
    <t>https://ebookcentral.proquest.com/lib/NKNU/detail.action?docID=5054431</t>
  </si>
  <si>
    <t>https://ebookcentral.proquest.com/lib/NKNU/detail.action?docID=5054432</t>
  </si>
  <si>
    <t>https://ebookcentral.proquest.com/lib/NKNU/detail.action?docID=5054433</t>
  </si>
  <si>
    <t>https://ebookcentral.proquest.com/lib/NKNU/detail.action?docID=5054435</t>
  </si>
  <si>
    <t>https://ebookcentral.proquest.com/lib/NKNU/detail.action?docID=5054436</t>
  </si>
  <si>
    <t>https://ebookcentral.proquest.com/lib/NKNU/detail.action?docID=5054437</t>
  </si>
  <si>
    <t>https://ebookcentral.proquest.com/lib/NKNU/detail.action?docID=5054438</t>
  </si>
  <si>
    <t>https://ebookcentral.proquest.com/lib/NKNU/detail.action?docID=5054439</t>
  </si>
  <si>
    <t>https://ebookcentral.proquest.com/lib/NKNU/detail.action?docID=5054440</t>
  </si>
  <si>
    <t>https://ebookcentral.proquest.com/lib/NKNU/detail.action?docID=5054443</t>
  </si>
  <si>
    <t>https://ebookcentral.proquest.com/lib/NKNU/detail.action?docID=5054444</t>
  </si>
  <si>
    <t>https://ebookcentral.proquest.com/lib/NKNU/detail.action?docID=5054445</t>
  </si>
  <si>
    <t>https://ebookcentral.proquest.com/lib/NKNU/detail.action?docID=5054446</t>
  </si>
  <si>
    <t>https://ebookcentral.proquest.com/lib/NKNU/detail.action?docID=5054448</t>
  </si>
  <si>
    <t>https://ebookcentral.proquest.com/lib/NKNU/detail.action?docID=5054453</t>
  </si>
  <si>
    <t>https://ebookcentral.proquest.com/lib/NKNU/detail.action?docID=5054456</t>
  </si>
  <si>
    <t>https://ebookcentral.proquest.com/lib/NKNU/detail.action?docID=5054457</t>
  </si>
  <si>
    <t>https://ebookcentral.proquest.com/lib/NKNU/detail.action?docID=5054459</t>
  </si>
  <si>
    <t>https://ebookcentral.proquest.com/lib/NKNU/detail.action?docID=5054461</t>
  </si>
  <si>
    <t>https://ebookcentral.proquest.com/lib/NKNU/detail.action?docID=5054462</t>
  </si>
  <si>
    <t>https://ebookcentral.proquest.com/lib/NKNU/detail.action?docID=5054483</t>
  </si>
  <si>
    <t>https://ebookcentral.proquest.com/lib/NKNU/detail.action?docID=5054485</t>
  </si>
  <si>
    <t>https://ebookcentral.proquest.com/lib/NKNU/detail.action?docID=5054486</t>
  </si>
  <si>
    <t>https://ebookcentral.proquest.com/lib/NKNU/detail.action?docID=5054488</t>
  </si>
  <si>
    <t>https://ebookcentral.proquest.com/lib/NKNU/detail.action?docID=5054491</t>
  </si>
  <si>
    <t>https://ebookcentral.proquest.com/lib/NKNU/detail.action?docID=5054499</t>
  </si>
  <si>
    <t>https://ebookcentral.proquest.com/lib/NKNU/detail.action?docID=5054506</t>
  </si>
  <si>
    <t>https://ebookcentral.proquest.com/lib/NKNU/detail.action?docID=5054529</t>
  </si>
  <si>
    <t>https://ebookcentral.proquest.com/lib/NKNU/detail.action?docID=5054550</t>
  </si>
  <si>
    <t>https://ebookcentral.proquest.com/lib/NKNU/detail.action?docID=5054552</t>
  </si>
  <si>
    <t>https://ebookcentral.proquest.com/lib/NKNU/detail.action?docID=5054553</t>
  </si>
  <si>
    <t>https://ebookcentral.proquest.com/lib/NKNU/detail.action?docID=5054554</t>
  </si>
  <si>
    <t>https://ebookcentral.proquest.com/lib/NKNU/detail.action?docID=5054555</t>
  </si>
  <si>
    <t>https://ebookcentral.proquest.com/lib/NKNU/detail.action?docID=5054556</t>
  </si>
  <si>
    <t>https://ebookcentral.proquest.com/lib/NKNU/detail.action?docID=5054557</t>
  </si>
  <si>
    <t>https://ebookcentral.proquest.com/lib/NKNU/detail.action?docID=5054559</t>
  </si>
  <si>
    <t>https://ebookcentral.proquest.com/lib/NKNU/detail.action?docID=5054560</t>
  </si>
  <si>
    <t>https://ebookcentral.proquest.com/lib/NKNU/detail.action?docID=5054563</t>
  </si>
  <si>
    <t>https://ebookcentral.proquest.com/lib/NKNU/detail.action?docID=5054564</t>
  </si>
  <si>
    <t>https://ebookcentral.proquest.com/lib/NKNU/detail.action?docID=5054565</t>
  </si>
  <si>
    <t>https://ebookcentral.proquest.com/lib/NKNU/detail.action?docID=5054566</t>
  </si>
  <si>
    <t>https://ebookcentral.proquest.com/lib/NKNU/detail.action?docID=5054567</t>
  </si>
  <si>
    <t>https://ebookcentral.proquest.com/lib/NKNU/detail.action?docID=5054569</t>
  </si>
  <si>
    <t>https://ebookcentral.proquest.com/lib/NKNU/detail.action?docID=5054570</t>
  </si>
  <si>
    <t>https://ebookcentral.proquest.com/lib/NKNU/detail.action?docID=5054571</t>
  </si>
  <si>
    <t>https://ebookcentral.proquest.com/lib/NKNU/detail.action?docID=5054572</t>
  </si>
  <si>
    <t>https://ebookcentral.proquest.com/lib/NKNU/detail.action?docID=5054573</t>
  </si>
  <si>
    <t>https://ebookcentral.proquest.com/lib/NKNU/detail.action?docID=5054575</t>
  </si>
  <si>
    <t>https://ebookcentral.proquest.com/lib/NKNU/detail.action?docID=5054576</t>
  </si>
  <si>
    <t>https://ebookcentral.proquest.com/lib/NKNU/detail.action?docID=5054577</t>
  </si>
  <si>
    <t>https://ebookcentral.proquest.com/lib/NKNU/detail.action?docID=5054578</t>
  </si>
  <si>
    <t>https://ebookcentral.proquest.com/lib/NKNU/detail.action?docID=5054581</t>
  </si>
  <si>
    <t>https://ebookcentral.proquest.com/lib/NKNU/detail.action?docID=5054583</t>
  </si>
  <si>
    <t>https://ebookcentral.proquest.com/lib/NKNU/detail.action?docID=5054584</t>
  </si>
  <si>
    <t>https://ebookcentral.proquest.com/lib/NKNU/detail.action?docID=5054585</t>
  </si>
  <si>
    <t>https://ebookcentral.proquest.com/lib/NKNU/detail.action?docID=5054587</t>
  </si>
  <si>
    <t>https://ebookcentral.proquest.com/lib/NKNU/detail.action?docID=5054588</t>
  </si>
  <si>
    <t>https://ebookcentral.proquest.com/lib/NKNU/detail.action?docID=5054589</t>
  </si>
  <si>
    <t>https://ebookcentral.proquest.com/lib/NKNU/detail.action?docID=5054590</t>
  </si>
  <si>
    <t>https://ebookcentral.proquest.com/lib/NKNU/detail.action?docID=5054591</t>
  </si>
  <si>
    <t>https://ebookcentral.proquest.com/lib/NKNU/detail.action?docID=5054592</t>
  </si>
  <si>
    <t>https://ebookcentral.proquest.com/lib/NKNU/detail.action?docID=5054594</t>
  </si>
  <si>
    <t>https://ebookcentral.proquest.com/lib/NKNU/detail.action?docID=5054595</t>
  </si>
  <si>
    <t>https://ebookcentral.proquest.com/lib/NKNU/detail.action?docID=5054596</t>
  </si>
  <si>
    <t>https://ebookcentral.proquest.com/lib/NKNU/detail.action?docID=5054597</t>
  </si>
  <si>
    <t>https://ebookcentral.proquest.com/lib/NKNU/detail.action?docID=5054598</t>
  </si>
  <si>
    <t>https://ebookcentral.proquest.com/lib/NKNU/detail.action?docID=5054602</t>
  </si>
  <si>
    <t>https://ebookcentral.proquest.com/lib/NKNU/detail.action?docID=5054603</t>
  </si>
  <si>
    <t>https://ebookcentral.proquest.com/lib/NKNU/detail.action?docID=5054604</t>
  </si>
  <si>
    <t>https://ebookcentral.proquest.com/lib/NKNU/detail.action?docID=5054605</t>
  </si>
  <si>
    <t>https://ebookcentral.proquest.com/lib/NKNU/detail.action?docID=5054606</t>
  </si>
  <si>
    <t>https://ebookcentral.proquest.com/lib/NKNU/detail.action?docID=5054607</t>
  </si>
  <si>
    <t>https://ebookcentral.proquest.com/lib/NKNU/detail.action?docID=5055868</t>
  </si>
  <si>
    <t>https://ebookcentral.proquest.com/lib/NKNU/detail.action?docID=5055872</t>
  </si>
  <si>
    <t>https://ebookcentral.proquest.com/lib/NKNU/detail.action?docID=5055892</t>
  </si>
  <si>
    <t>https://ebookcentral.proquest.com/lib/NKNU/detail.action?docID=5055895</t>
  </si>
  <si>
    <t>https://ebookcentral.proquest.com/lib/NKNU/detail.action?docID=5055897</t>
  </si>
  <si>
    <t>https://ebookcentral.proquest.com/lib/NKNU/detail.action?docID=5055902</t>
  </si>
  <si>
    <t>https://ebookcentral.proquest.com/lib/NKNU/detail.action?docID=5055903</t>
  </si>
  <si>
    <t>https://ebookcentral.proquest.com/lib/NKNU/detail.action?docID=5055908</t>
  </si>
  <si>
    <t>https://ebookcentral.proquest.com/lib/NKNU/detail.action?docID=5055910</t>
  </si>
  <si>
    <t>https://ebookcentral.proquest.com/lib/NKNU/detail.action?docID=5055918</t>
  </si>
  <si>
    <t>https://ebookcentral.proquest.com/lib/NKNU/detail.action?docID=5055922</t>
  </si>
  <si>
    <t>https://ebookcentral.proquest.com/lib/NKNU/detail.action?docID=5055925</t>
  </si>
  <si>
    <t>https://ebookcentral.proquest.com/lib/NKNU/detail.action?docID=5055928</t>
  </si>
  <si>
    <t>https://ebookcentral.proquest.com/lib/NKNU/detail.action?docID=5055933</t>
  </si>
  <si>
    <t>https://ebookcentral.proquest.com/lib/NKNU/detail.action?docID=5055934</t>
  </si>
  <si>
    <t>https://ebookcentral.proquest.com/lib/NKNU/detail.action?docID=5055935</t>
  </si>
  <si>
    <t>https://ebookcentral.proquest.com/lib/NKNU/detail.action?docID=5055940</t>
  </si>
  <si>
    <t>https://ebookcentral.proquest.com/lib/NKNU/detail.action?docID=5055951</t>
  </si>
  <si>
    <t>https://ebookcentral.proquest.com/lib/NKNU/detail.action?docID=5055958</t>
  </si>
  <si>
    <t>https://ebookcentral.proquest.com/lib/NKNU/detail.action?docID=5055959</t>
  </si>
  <si>
    <t>https://ebookcentral.proquest.com/lib/NKNU/detail.action?docID=5055960</t>
  </si>
  <si>
    <t>https://ebookcentral.proquest.com/lib/NKNU/detail.action?docID=5055968</t>
  </si>
  <si>
    <t>https://ebookcentral.proquest.com/lib/NKNU/detail.action?docID=5055971</t>
  </si>
  <si>
    <t>https://ebookcentral.proquest.com/lib/NKNU/detail.action?docID=5055977</t>
  </si>
  <si>
    <t>https://ebookcentral.proquest.com/lib/NKNU/detail.action?docID=5055978</t>
  </si>
  <si>
    <t>https://ebookcentral.proquest.com/lib/NKNU/detail.action?docID=5055986</t>
  </si>
  <si>
    <t>https://ebookcentral.proquest.com/lib/NKNU/detail.action?docID=5055987</t>
  </si>
  <si>
    <t>https://ebookcentral.proquest.com/lib/NKNU/detail.action?docID=5055988</t>
  </si>
  <si>
    <t>https://ebookcentral.proquest.com/lib/NKNU/detail.action?docID=5055990</t>
  </si>
  <si>
    <t>https://ebookcentral.proquest.com/lib/NKNU/detail.action?docID=5055995</t>
  </si>
  <si>
    <t>https://ebookcentral.proquest.com/lib/NKNU/detail.action?docID=5055996</t>
  </si>
  <si>
    <t>https://ebookcentral.proquest.com/lib/NKNU/detail.action?docID=5065461</t>
  </si>
  <si>
    <t>https://ebookcentral.proquest.com/lib/NKNU/detail.action?docID=5066301</t>
  </si>
  <si>
    <t>https://ebookcentral.proquest.com/lib/NKNU/detail.action?docID=5066459</t>
  </si>
  <si>
    <t>https://ebookcentral.proquest.com/lib/NKNU/detail.action?docID=5066509</t>
  </si>
  <si>
    <t>https://ebookcentral.proquest.com/lib/NKNU/detail.action?docID=5066883</t>
  </si>
  <si>
    <t>https://ebookcentral.proquest.com/lib/NKNU/detail.action?docID=5066985</t>
  </si>
  <si>
    <t>https://ebookcentral.proquest.com/lib/NKNU/detail.action?docID=5067435</t>
  </si>
  <si>
    <t>https://ebookcentral.proquest.com/lib/NKNU/detail.action?docID=5067440</t>
  </si>
  <si>
    <t>https://ebookcentral.proquest.com/lib/NKNU/detail.action?docID=5067441</t>
  </si>
  <si>
    <t>https://ebookcentral.proquest.com/lib/NKNU/detail.action?docID=5067492</t>
  </si>
  <si>
    <t>https://ebookcentral.proquest.com/lib/NKNU/detail.action?docID=5067682</t>
  </si>
  <si>
    <t>https://ebookcentral.proquest.com/lib/NKNU/detail.action?docID=5067749</t>
  </si>
  <si>
    <t>https://ebookcentral.proquest.com/lib/NKNU/detail.action?docID=5068292</t>
  </si>
  <si>
    <t>https://ebookcentral.proquest.com/lib/NKNU/detail.action?docID=5068543</t>
  </si>
  <si>
    <t>https://ebookcentral.proquest.com/lib/NKNU/detail.action?docID=5068649</t>
  </si>
  <si>
    <t>https://ebookcentral.proquest.com/lib/NKNU/detail.action?docID=5069142</t>
  </si>
  <si>
    <t>https://ebookcentral.proquest.com/lib/NKNU/detail.action?docID=5069145</t>
  </si>
  <si>
    <t>https://ebookcentral.proquest.com/lib/NKNU/detail.action?docID=5069196</t>
  </si>
  <si>
    <t>https://ebookcentral.proquest.com/lib/NKNU/detail.action?docID=5069322</t>
  </si>
  <si>
    <t>https://ebookcentral.proquest.com/lib/NKNU/detail.action?docID=5069458</t>
  </si>
  <si>
    <t>https://ebookcentral.proquest.com/lib/NKNU/detail.action?docID=5069559</t>
  </si>
  <si>
    <t>https://ebookcentral.proquest.com/lib/NKNU/detail.action?docID=5070075</t>
  </si>
  <si>
    <t>https://ebookcentral.proquest.com/lib/NKNU/detail.action?docID=5070253</t>
  </si>
  <si>
    <t>https://ebookcentral.proquest.com/lib/NKNU/detail.action?docID=5070687</t>
  </si>
  <si>
    <t>https://ebookcentral.proquest.com/lib/NKNU/detail.action?docID=5071189</t>
  </si>
  <si>
    <t>https://ebookcentral.proquest.com/lib/NKNU/detail.action?docID=5071652</t>
  </si>
  <si>
    <t>https://ebookcentral.proquest.com/lib/NKNU/detail.action?docID=5071725</t>
  </si>
  <si>
    <t>https://ebookcentral.proquest.com/lib/NKNU/detail.action?docID=5072701</t>
  </si>
  <si>
    <t>https://ebookcentral.proquest.com/lib/NKNU/detail.action?docID=5072934</t>
  </si>
  <si>
    <t>https://ebookcentral.proquest.com/lib/NKNU/detail.action?docID=5072937</t>
  </si>
  <si>
    <t>https://ebookcentral.proquest.com/lib/NKNU/detail.action?docID=5072939</t>
  </si>
  <si>
    <t>https://ebookcentral.proquest.com/lib/NKNU/detail.action?docID=5073724</t>
  </si>
  <si>
    <t>https://ebookcentral.proquest.com/lib/NKNU/detail.action?docID=5073805</t>
  </si>
  <si>
    <t>https://ebookcentral.proquest.com/lib/NKNU/detail.action?docID=5073876</t>
  </si>
  <si>
    <t>https://ebookcentral.proquest.com/lib/NKNU/detail.action?docID=5073905</t>
  </si>
  <si>
    <t>https://ebookcentral.proquest.com/lib/NKNU/detail.action?docID=5074972</t>
  </si>
  <si>
    <t>https://ebookcentral.proquest.com/lib/NKNU/detail.action?docID=5076552</t>
  </si>
  <si>
    <t>https://ebookcentral.proquest.com/lib/NKNU/detail.action?docID=5076771</t>
  </si>
  <si>
    <t>https://ebookcentral.proquest.com/lib/NKNU/detail.action?docID=5076889</t>
  </si>
  <si>
    <t>https://ebookcentral.proquest.com/lib/NKNU/detail.action?docID=5076898</t>
  </si>
  <si>
    <t>https://ebookcentral.proquest.com/lib/NKNU/detail.action?docID=5077217</t>
  </si>
  <si>
    <t>https://ebookcentral.proquest.com/lib/NKNU/detail.action?docID=5077347</t>
  </si>
  <si>
    <t>https://ebookcentral.proquest.com/lib/NKNU/detail.action?docID=5077967</t>
  </si>
  <si>
    <t>https://ebookcentral.proquest.com/lib/NKNU/detail.action?docID=5078161</t>
  </si>
  <si>
    <t>https://ebookcentral.proquest.com/lib/NKNU/detail.action?docID=5078278</t>
  </si>
  <si>
    <t>https://ebookcentral.proquest.com/lib/NKNU/detail.action?docID=5078567</t>
  </si>
  <si>
    <t>https://ebookcentral.proquest.com/lib/NKNU/detail.action?docID=5078750</t>
  </si>
  <si>
    <t>https://ebookcentral.proquest.com/lib/NKNU/detail.action?docID=5079405</t>
  </si>
  <si>
    <t>https://ebookcentral.proquest.com/lib/NKNU/detail.action?docID=5079689</t>
  </si>
  <si>
    <t>https://ebookcentral.proquest.com/lib/NKNU/detail.action?docID=5080658</t>
  </si>
  <si>
    <t>https://ebookcentral.proquest.com/lib/NKNU/detail.action?docID=5080795</t>
  </si>
  <si>
    <t>https://ebookcentral.proquest.com/lib/NKNU/detail.action?docID=5080956</t>
  </si>
  <si>
    <t>https://ebookcentral.proquest.com/lib/NKNU/detail.action?docID=5080957</t>
  </si>
  <si>
    <t>https://ebookcentral.proquest.com/lib/NKNU/detail.action?docID=5080959</t>
  </si>
  <si>
    <t>https://ebookcentral.proquest.com/lib/NKNU/detail.action?docID=5080960</t>
  </si>
  <si>
    <t>https://ebookcentral.proquest.com/lib/NKNU/detail.action?docID=5080963</t>
  </si>
  <si>
    <t>https://ebookcentral.proquest.com/lib/NKNU/detail.action?docID=5080964</t>
  </si>
  <si>
    <t>https://ebookcentral.proquest.com/lib/NKNU/detail.action?docID=5080965</t>
  </si>
  <si>
    <t>https://ebookcentral.proquest.com/lib/NKNU/detail.action?docID=5081293</t>
  </si>
  <si>
    <t>https://ebookcentral.proquest.com/lib/NKNU/detail.action?docID=5081764</t>
  </si>
  <si>
    <t>https://ebookcentral.proquest.com/lib/NKNU/detail.action?docID=5081926</t>
  </si>
  <si>
    <t>https://ebookcentral.proquest.com/lib/NKNU/detail.action?docID=5082073</t>
  </si>
  <si>
    <t>https://ebookcentral.proquest.com/lib/NKNU/detail.action?docID=5082534</t>
  </si>
  <si>
    <t>https://ebookcentral.proquest.com/lib/NKNU/detail.action?docID=5088692</t>
  </si>
  <si>
    <t>https://ebookcentral.proquest.com/lib/NKNU/detail.action?docID=5088977</t>
  </si>
  <si>
    <t>https://ebookcentral.proquest.com/lib/NKNU/detail.action?docID=5089016</t>
  </si>
  <si>
    <t>https://ebookcentral.proquest.com/lib/NKNU/detail.action?docID=5120147</t>
  </si>
  <si>
    <t>https://ebookcentral.proquest.com/lib/NKNU/detail.action?docID=5120156</t>
  </si>
  <si>
    <t>https://ebookcentral.proquest.com/lib/NKNU/detail.action?docID=5120157</t>
  </si>
  <si>
    <t>https://ebookcentral.proquest.com/lib/NKNU/detail.action?docID=5120159</t>
  </si>
  <si>
    <t>https://ebookcentral.proquest.com/lib/NKNU/detail.action?docID=5120161</t>
  </si>
  <si>
    <t>https://ebookcentral.proquest.com/lib/NKNU/detail.action?docID=5120163</t>
  </si>
  <si>
    <t>https://ebookcentral.proquest.com/lib/NKNU/detail.action?docID=5120485</t>
  </si>
  <si>
    <t>https://ebookcentral.proquest.com/lib/NKNU/detail.action?docID=5121565</t>
  </si>
  <si>
    <t>https://ebookcentral.proquest.com/lib/NKNU/detail.action?docID=5121570</t>
  </si>
  <si>
    <t>https://ebookcentral.proquest.com/lib/NKNU/detail.action?docID=5121575</t>
  </si>
  <si>
    <t>https://ebookcentral.proquest.com/lib/NKNU/detail.action?docID=5121578</t>
  </si>
  <si>
    <t>https://ebookcentral.proquest.com/lib/NKNU/detail.action?docID=5121579</t>
  </si>
  <si>
    <t>https://ebookcentral.proquest.com/lib/NKNU/detail.action?docID=5121583</t>
  </si>
  <si>
    <t>https://ebookcentral.proquest.com/lib/NKNU/detail.action?docID=5121620</t>
  </si>
  <si>
    <t>https://ebookcentral.proquest.com/lib/NKNU/detail.action?docID=5121626</t>
  </si>
  <si>
    <t>https://ebookcentral.proquest.com/lib/NKNU/detail.action?docID=5121638</t>
  </si>
  <si>
    <t>https://ebookcentral.proquest.com/lib/NKNU/detail.action?docID=5121690</t>
  </si>
  <si>
    <t>https://ebookcentral.proquest.com/lib/NKNU/detail.action?docID=5121698</t>
  </si>
  <si>
    <t>https://ebookcentral.proquest.com/lib/NKNU/detail.action?docID=5121721</t>
  </si>
  <si>
    <t>https://ebookcentral.proquest.com/lib/NKNU/detail.action?docID=5121726</t>
  </si>
  <si>
    <t>https://ebookcentral.proquest.com/lib/NKNU/detail.action?docID=5121731</t>
  </si>
  <si>
    <t>https://ebookcentral.proquest.com/lib/NKNU/detail.action?docID=5121736</t>
  </si>
  <si>
    <t>https://ebookcentral.proquest.com/lib/NKNU/detail.action?docID=5121803</t>
  </si>
  <si>
    <t>https://ebookcentral.proquest.com/lib/NKNU/detail.action?docID=5121811</t>
  </si>
  <si>
    <t>https://ebookcentral.proquest.com/lib/NKNU/detail.action?docID=5121895</t>
  </si>
  <si>
    <t>https://ebookcentral.proquest.com/lib/NKNU/detail.action?docID=5121953</t>
  </si>
  <si>
    <t>https://ebookcentral.proquest.com/lib/NKNU/detail.action?docID=5121979</t>
  </si>
  <si>
    <t>https://ebookcentral.proquest.com/lib/NKNU/detail.action?docID=5121987</t>
  </si>
  <si>
    <t>https://ebookcentral.proquest.com/lib/NKNU/detail.action?docID=5133198</t>
  </si>
  <si>
    <t>https://ebookcentral.proquest.com/lib/NKNU/detail.action?docID=5134383</t>
  </si>
  <si>
    <t>https://ebookcentral.proquest.com/lib/NKNU/detail.action?docID=5134452</t>
  </si>
  <si>
    <t>https://ebookcentral.proquest.com/lib/NKNU/detail.action?docID=5134472</t>
  </si>
  <si>
    <t>https://ebookcentral.proquest.com/lib/NKNU/detail.action?docID=5134476</t>
  </si>
  <si>
    <t>https://ebookcentral.proquest.com/lib/NKNU/detail.action?docID=5134495</t>
  </si>
  <si>
    <t>https://ebookcentral.proquest.com/lib/NKNU/detail.action?docID=5134497</t>
  </si>
  <si>
    <t>https://ebookcentral.proquest.com/lib/NKNU/detail.action?docID=5134505</t>
  </si>
  <si>
    <t>https://ebookcentral.proquest.com/lib/NKNU/detail.action?docID=5134513</t>
  </si>
  <si>
    <t>https://ebookcentral.proquest.com/lib/NKNU/detail.action?docID=5134542</t>
  </si>
  <si>
    <t>https://ebookcentral.proquest.com/lib/NKNU/detail.action?docID=5134552</t>
  </si>
  <si>
    <t>https://ebookcentral.proquest.com/lib/NKNU/detail.action?docID=5134590</t>
  </si>
  <si>
    <t>https://ebookcentral.proquest.com/lib/NKNU/detail.action?docID=5134608</t>
  </si>
  <si>
    <t>https://ebookcentral.proquest.com/lib/NKNU/detail.action?docID=5134612</t>
  </si>
  <si>
    <t>https://ebookcentral.proquest.com/lib/NKNU/detail.action?docID=5134614</t>
  </si>
  <si>
    <t>https://ebookcentral.proquest.com/lib/NKNU/detail.action?docID=5134617</t>
  </si>
  <si>
    <t>https://ebookcentral.proquest.com/lib/NKNU/detail.action?docID=5134647</t>
  </si>
  <si>
    <t>https://ebookcentral.proquest.com/lib/NKNU/detail.action?docID=5134670</t>
  </si>
  <si>
    <t>https://ebookcentral.proquest.com/lib/NKNU/detail.action?docID=5134676</t>
  </si>
  <si>
    <t>https://ebookcentral.proquest.com/lib/NKNU/detail.action?docID=5134681</t>
  </si>
  <si>
    <t>https://ebookcentral.proquest.com/lib/NKNU/detail.action?docID=5134708</t>
  </si>
  <si>
    <t>https://ebookcentral.proquest.com/lib/NKNU/detail.action?docID=5134760</t>
  </si>
  <si>
    <t>https://ebookcentral.proquest.com/lib/NKNU/detail.action?docID=5134783</t>
  </si>
  <si>
    <t>https://ebookcentral.proquest.com/lib/NKNU/detail.action?docID=5134793</t>
  </si>
  <si>
    <t>https://ebookcentral.proquest.com/lib/NKNU/detail.action?docID=5134827</t>
  </si>
  <si>
    <t>https://ebookcentral.proquest.com/lib/NKNU/detail.action?docID=5134851</t>
  </si>
  <si>
    <t>https://ebookcentral.proquest.com/lib/NKNU/detail.action?docID=5134856</t>
  </si>
  <si>
    <t>https://ebookcentral.proquest.com/lib/NKNU/detail.action?docID=5134871</t>
  </si>
  <si>
    <t>https://ebookcentral.proquest.com/lib/NKNU/detail.action?docID=5134904</t>
  </si>
  <si>
    <t>https://ebookcentral.proquest.com/lib/NKNU/detail.action?docID=5134923</t>
  </si>
  <si>
    <t>https://ebookcentral.proquest.com/lib/NKNU/detail.action?docID=5134929</t>
  </si>
  <si>
    <t>https://ebookcentral.proquest.com/lib/NKNU/detail.action?docID=5134947</t>
  </si>
  <si>
    <t>https://ebookcentral.proquest.com/lib/NKNU/detail.action?docID=5135001</t>
  </si>
  <si>
    <t>https://ebookcentral.proquest.com/lib/NKNU/detail.action?docID=5135007</t>
  </si>
  <si>
    <t>https://ebookcentral.proquest.com/lib/NKNU/detail.action?docID=5135014</t>
  </si>
  <si>
    <t>https://ebookcentral.proquest.com/lib/NKNU/detail.action?docID=5135029</t>
  </si>
  <si>
    <t>https://ebookcentral.proquest.com/lib/NKNU/detail.action?docID=5135038</t>
  </si>
  <si>
    <t>https://ebookcentral.proquest.com/lib/NKNU/detail.action?docID=5135072</t>
  </si>
  <si>
    <t>https://ebookcentral.proquest.com/lib/NKNU/detail.action?docID=5135134</t>
  </si>
  <si>
    <t>https://ebookcentral.proquest.com/lib/NKNU/detail.action?docID=5135136</t>
  </si>
  <si>
    <t>https://ebookcentral.proquest.com/lib/NKNU/detail.action?docID=5135138</t>
  </si>
  <si>
    <t>https://ebookcentral.proquest.com/lib/NKNU/detail.action?docID=5135171</t>
  </si>
  <si>
    <t>https://ebookcentral.proquest.com/lib/NKNU/detail.action?docID=5135172</t>
  </si>
  <si>
    <t>https://ebookcentral.proquest.com/lib/NKNU/detail.action?docID=5135173</t>
  </si>
  <si>
    <t>https://ebookcentral.proquest.com/lib/NKNU/detail.action?docID=5135174</t>
  </si>
  <si>
    <t>https://ebookcentral.proquest.com/lib/NKNU/detail.action?docID=5135175</t>
  </si>
  <si>
    <t>https://ebookcentral.proquest.com/lib/NKNU/detail.action?docID=5135218</t>
  </si>
  <si>
    <t>https://ebookcentral.proquest.com/lib/NKNU/detail.action?docID=5135255</t>
  </si>
  <si>
    <t>https://ebookcentral.proquest.com/lib/NKNU/detail.action?docID=5135273</t>
  </si>
  <si>
    <t>https://ebookcentral.proquest.com/lib/NKNU/detail.action?docID=5135278</t>
  </si>
  <si>
    <t>https://ebookcentral.proquest.com/lib/NKNU/detail.action?docID=5135295</t>
  </si>
  <si>
    <t>https://ebookcentral.proquest.com/lib/NKNU/detail.action?docID=5135296</t>
  </si>
  <si>
    <t>https://ebookcentral.proquest.com/lib/NKNU/detail.action?docID=5135301</t>
  </si>
  <si>
    <t>https://ebookcentral.proquest.com/lib/NKNU/detail.action?docID=5135346</t>
  </si>
  <si>
    <t>https://ebookcentral.proquest.com/lib/NKNU/detail.action?docID=5135354</t>
  </si>
  <si>
    <t>https://ebookcentral.proquest.com/lib/NKNU/detail.action?docID=5135357</t>
  </si>
  <si>
    <t>https://ebookcentral.proquest.com/lib/NKNU/detail.action?docID=5135372</t>
  </si>
  <si>
    <t>https://ebookcentral.proquest.com/lib/NKNU/detail.action?docID=5135416</t>
  </si>
  <si>
    <t>https://ebookcentral.proquest.com/lib/NKNU/detail.action?docID=5135437</t>
  </si>
  <si>
    <t>https://ebookcentral.proquest.com/lib/NKNU/detail.action?docID=5135439</t>
  </si>
  <si>
    <t>https://ebookcentral.proquest.com/lib/NKNU/detail.action?docID=5135445</t>
  </si>
  <si>
    <t>https://ebookcentral.proquest.com/lib/NKNU/detail.action?docID=5135448</t>
  </si>
  <si>
    <t>https://ebookcentral.proquest.com/lib/NKNU/detail.action?docID=5135450</t>
  </si>
  <si>
    <t>https://ebookcentral.proquest.com/lib/NKNU/detail.action?docID=5135454</t>
  </si>
  <si>
    <t>https://ebookcentral.proquest.com/lib/NKNU/detail.action?docID=5135482</t>
  </si>
  <si>
    <t>https://ebookcentral.proquest.com/lib/NKNU/detail.action?docID=5135492</t>
  </si>
  <si>
    <t>https://ebookcentral.proquest.com/lib/NKNU/detail.action?docID=5135496</t>
  </si>
  <si>
    <t>https://ebookcentral.proquest.com/lib/NKNU/detail.action?docID=5135497</t>
  </si>
  <si>
    <t>https://ebookcentral.proquest.com/lib/NKNU/detail.action?docID=5135498</t>
  </si>
  <si>
    <t>https://ebookcentral.proquest.com/lib/NKNU/detail.action?docID=5135519</t>
  </si>
  <si>
    <t>https://ebookcentral.proquest.com/lib/NKNU/detail.action?docID=5135535</t>
  </si>
  <si>
    <t>https://ebookcentral.proquest.com/lib/NKNU/detail.action?docID=5135545</t>
  </si>
  <si>
    <t>https://ebookcentral.proquest.com/lib/NKNU/detail.action?docID=5135551</t>
  </si>
  <si>
    <t>https://ebookcentral.proquest.com/lib/NKNU/detail.action?docID=5135568</t>
  </si>
  <si>
    <t>https://ebookcentral.proquest.com/lib/NKNU/detail.action?docID=5135575</t>
  </si>
  <si>
    <t>https://ebookcentral.proquest.com/lib/NKNU/detail.action?docID=5135605</t>
  </si>
  <si>
    <t>https://ebookcentral.proquest.com/lib/NKNU/detail.action?docID=5135614</t>
  </si>
  <si>
    <t>https://ebookcentral.proquest.com/lib/NKNU/detail.action?docID=5135618</t>
  </si>
  <si>
    <t>https://ebookcentral.proquest.com/lib/NKNU/detail.action?docID=5135669</t>
  </si>
  <si>
    <t>https://ebookcentral.proquest.com/lib/NKNU/detail.action?docID=5135709</t>
  </si>
  <si>
    <t>https://ebookcentral.proquest.com/lib/NKNU/detail.action?docID=5135715</t>
  </si>
  <si>
    <t>https://ebookcentral.proquest.com/lib/NKNU/detail.action?docID=5135719</t>
  </si>
  <si>
    <t>https://ebookcentral.proquest.com/lib/NKNU/detail.action?docID=5135747</t>
  </si>
  <si>
    <t>https://ebookcentral.proquest.com/lib/NKNU/detail.action?docID=5135765</t>
  </si>
  <si>
    <t>https://ebookcentral.proquest.com/lib/NKNU/detail.action?docID=5135767</t>
  </si>
  <si>
    <t>https://ebookcentral.proquest.com/lib/NKNU/detail.action?docID=5135834</t>
  </si>
  <si>
    <t>https://ebookcentral.proquest.com/lib/NKNU/detail.action?docID=5135840</t>
  </si>
  <si>
    <t>https://ebookcentral.proquest.com/lib/NKNU/detail.action?docID=5135844</t>
  </si>
  <si>
    <t>https://ebookcentral.proquest.com/lib/NKNU/detail.action?docID=5135879</t>
  </si>
  <si>
    <t>https://ebookcentral.proquest.com/lib/NKNU/detail.action?docID=5135947</t>
  </si>
  <si>
    <t>https://ebookcentral.proquest.com/lib/NKNU/detail.action?docID=5135952</t>
  </si>
  <si>
    <t>https://ebookcentral.proquest.com/lib/NKNU/detail.action?docID=5135995</t>
  </si>
  <si>
    <t>https://ebookcentral.proquest.com/lib/NKNU/detail.action?docID=5136016</t>
  </si>
  <si>
    <t>https://ebookcentral.proquest.com/lib/NKNU/detail.action?docID=5136053</t>
  </si>
  <si>
    <t>https://ebookcentral.proquest.com/lib/NKNU/detail.action?docID=5136086</t>
  </si>
  <si>
    <t>https://ebookcentral.proquest.com/lib/NKNU/detail.action?docID=5136088</t>
  </si>
  <si>
    <t>https://ebookcentral.proquest.com/lib/NKNU/detail.action?docID=5136098</t>
  </si>
  <si>
    <t>https://ebookcentral.proquest.com/lib/NKNU/detail.action?docID=5136134</t>
  </si>
  <si>
    <t>https://ebookcentral.proquest.com/lib/NKNU/detail.action?docID=5136144</t>
  </si>
  <si>
    <t>https://ebookcentral.proquest.com/lib/NKNU/detail.action?docID=5136157</t>
  </si>
  <si>
    <t>https://ebookcentral.proquest.com/lib/NKNU/detail.action?docID=5136159</t>
  </si>
  <si>
    <t>https://ebookcentral.proquest.com/lib/NKNU/detail.action?docID=5136165</t>
  </si>
  <si>
    <t>https://ebookcentral.proquest.com/lib/NKNU/detail.action?docID=5136275</t>
  </si>
  <si>
    <t>https://ebookcentral.proquest.com/lib/NKNU/detail.action?docID=5136332</t>
  </si>
  <si>
    <t>https://ebookcentral.proquest.com/lib/NKNU/detail.action?docID=5136465</t>
  </si>
  <si>
    <t>https://ebookcentral.proquest.com/lib/NKNU/detail.action?docID=5136510</t>
  </si>
  <si>
    <t>https://ebookcentral.proquest.com/lib/NKNU/detail.action?docID=5136599</t>
  </si>
  <si>
    <t>https://ebookcentral.proquest.com/lib/NKNU/detail.action?docID=5136605</t>
  </si>
  <si>
    <t>https://ebookcentral.proquest.com/lib/NKNU/detail.action?docID=5136631</t>
  </si>
  <si>
    <t>https://ebookcentral.proquest.com/lib/NKNU/detail.action?docID=5136979</t>
  </si>
  <si>
    <t>https://ebookcentral.proquest.com/lib/NKNU/detail.action?docID=5137439</t>
  </si>
  <si>
    <t>https://ebookcentral.proquest.com/lib/NKNU/detail.action?docID=5137711</t>
  </si>
  <si>
    <t>https://ebookcentral.proquest.com/lib/NKNU/detail.action?docID=5138201</t>
  </si>
  <si>
    <t>https://ebookcentral.proquest.com/lib/NKNU/detail.action?docID=5138732</t>
  </si>
  <si>
    <t>https://ebookcentral.proquest.com/lib/NKNU/detail.action?docID=5139224</t>
  </si>
  <si>
    <t>https://ebookcentral.proquest.com/lib/NKNU/detail.action?docID=5139234</t>
  </si>
  <si>
    <t>https://ebookcentral.proquest.com/lib/NKNU/detail.action?docID=5139235</t>
  </si>
  <si>
    <t>https://ebookcentral.proquest.com/lib/NKNU/detail.action?docID=5139236</t>
  </si>
  <si>
    <t>https://ebookcentral.proquest.com/lib/NKNU/detail.action?docID=5139267</t>
  </si>
  <si>
    <t>https://ebookcentral.proquest.com/lib/NKNU/detail.action?docID=5139277</t>
  </si>
  <si>
    <t>https://ebookcentral.proquest.com/lib/NKNU/detail.action?docID=5139298</t>
  </si>
  <si>
    <t>https://ebookcentral.proquest.com/lib/NKNU/detail.action?docID=5139305</t>
  </si>
  <si>
    <t>https://ebookcentral.proquest.com/lib/NKNU/detail.action?docID=5139336</t>
  </si>
  <si>
    <t>https://ebookcentral.proquest.com/lib/NKNU/detail.action?docID=5139379</t>
  </si>
  <si>
    <t>https://ebookcentral.proquest.com/lib/NKNU/detail.action?docID=5139551</t>
  </si>
  <si>
    <t>https://ebookcentral.proquest.com/lib/NKNU/detail.action?docID=5139580</t>
  </si>
  <si>
    <t>https://ebookcentral.proquest.com/lib/NKNU/detail.action?docID=5139627</t>
  </si>
  <si>
    <t>https://ebookcentral.proquest.com/lib/NKNU/detail.action?docID=5139639</t>
  </si>
  <si>
    <t>https://ebookcentral.proquest.com/lib/NKNU/detail.action?docID=5139654</t>
  </si>
  <si>
    <t>https://ebookcentral.proquest.com/lib/NKNU/detail.action?docID=5139693</t>
  </si>
  <si>
    <t>https://ebookcentral.proquest.com/lib/NKNU/detail.action?docID=5139702</t>
  </si>
  <si>
    <t>https://ebookcentral.proquest.com/lib/NKNU/detail.action?docID=5139714</t>
  </si>
  <si>
    <t>https://ebookcentral.proquest.com/lib/NKNU/detail.action?docID=5139715</t>
  </si>
  <si>
    <t>https://ebookcentral.proquest.com/lib/NKNU/detail.action?docID=5139716</t>
  </si>
  <si>
    <t>https://ebookcentral.proquest.com/lib/NKNU/detail.action?docID=5139740</t>
  </si>
  <si>
    <t>https://ebookcentral.proquest.com/lib/NKNU/detail.action?docID=5139825</t>
  </si>
  <si>
    <t>https://ebookcentral.proquest.com/lib/NKNU/detail.action?docID=5139834</t>
  </si>
  <si>
    <t>https://ebookcentral.proquest.com/lib/NKNU/detail.action?docID=5139838</t>
  </si>
  <si>
    <t>https://ebookcentral.proquest.com/lib/NKNU/detail.action?docID=5139848</t>
  </si>
  <si>
    <t>https://ebookcentral.proquest.com/lib/NKNU/detail.action?docID=5139849</t>
  </si>
  <si>
    <t>https://ebookcentral.proquest.com/lib/NKNU/detail.action?docID=5139855</t>
  </si>
  <si>
    <t>https://ebookcentral.proquest.com/lib/NKNU/detail.action?docID=5139856</t>
  </si>
  <si>
    <t>https://ebookcentral.proquest.com/lib/NKNU/detail.action?docID=5139858</t>
  </si>
  <si>
    <t>https://ebookcentral.proquest.com/lib/NKNU/detail.action?docID=5139861</t>
  </si>
  <si>
    <t>https://ebookcentral.proquest.com/lib/NKNU/detail.action?docID=5139862</t>
  </si>
  <si>
    <t>https://ebookcentral.proquest.com/lib/NKNU/detail.action?docID=5139865</t>
  </si>
  <si>
    <t>https://ebookcentral.proquest.com/lib/NKNU/detail.action?docID=5139868</t>
  </si>
  <si>
    <t>https://ebookcentral.proquest.com/lib/NKNU/detail.action?docID=5139872</t>
  </si>
  <si>
    <t>https://ebookcentral.proquest.com/lib/NKNU/detail.action?docID=5139883</t>
  </si>
  <si>
    <t>https://ebookcentral.proquest.com/lib/NKNU/detail.action?docID=5139886</t>
  </si>
  <si>
    <t>https://ebookcentral.proquest.com/lib/NKNU/detail.action?docID=5139888</t>
  </si>
  <si>
    <t>https://ebookcentral.proquest.com/lib/NKNU/detail.action?docID=5139889</t>
  </si>
  <si>
    <t>https://ebookcentral.proquest.com/lib/NKNU/detail.action?docID=5139908</t>
  </si>
  <si>
    <t>https://ebookcentral.proquest.com/lib/NKNU/detail.action?docID=5139910</t>
  </si>
  <si>
    <t>https://ebookcentral.proquest.com/lib/NKNU/detail.action?docID=5139916</t>
  </si>
  <si>
    <t>https://ebookcentral.proquest.com/lib/NKNU/detail.action?docID=5139917</t>
  </si>
  <si>
    <t>https://ebookcentral.proquest.com/lib/NKNU/detail.action?docID=5139919</t>
  </si>
  <si>
    <t>https://ebookcentral.proquest.com/lib/NKNU/detail.action?docID=5139920</t>
  </si>
  <si>
    <t>https://ebookcentral.proquest.com/lib/NKNU/detail.action?docID=5243643</t>
  </si>
  <si>
    <t>https://ebookcentral.proquest.com/lib/NKNU/detail.action?docID=5247621</t>
  </si>
  <si>
    <t>https://ebookcentral.proquest.com/lib/NKNU/detail.action?docID=5250368</t>
  </si>
  <si>
    <t>https://ebookcentral.proquest.com/lib/NKNU/detail.action?docID=5250369</t>
  </si>
  <si>
    <t>https://ebookcentral.proquest.com/lib/NKNU/detail.action?docID=5250370</t>
  </si>
  <si>
    <t>https://ebookcentral.proquest.com/lib/NKNU/detail.action?docID=5250372</t>
  </si>
  <si>
    <t>https://ebookcentral.proquest.com/lib/NKNU/detail.action?docID=5250373</t>
  </si>
  <si>
    <t>https://ebookcentral.proquest.com/lib/NKNU/detail.action?docID=5250374</t>
  </si>
  <si>
    <t>https://ebookcentral.proquest.com/lib/NKNU/detail.action?docID=5250375</t>
  </si>
  <si>
    <t>https://ebookcentral.proquest.com/lib/NKNU/detail.action?docID=5250376</t>
  </si>
  <si>
    <t>https://ebookcentral.proquest.com/lib/NKNU/detail.action?docID=5250378</t>
  </si>
  <si>
    <t>https://ebookcentral.proquest.com/lib/NKNU/detail.action?docID=5250380</t>
  </si>
  <si>
    <t>https://ebookcentral.proquest.com/lib/NKNU/detail.action?docID=5250382</t>
  </si>
  <si>
    <t>https://ebookcentral.proquest.com/lib/NKNU/detail.action?docID=5250385</t>
  </si>
  <si>
    <t>https://ebookcentral.proquest.com/lib/NKNU/detail.action?docID=5250386</t>
  </si>
  <si>
    <t>https://ebookcentral.proquest.com/lib/NKNU/detail.action?docID=5250387</t>
  </si>
  <si>
    <t>https://ebookcentral.proquest.com/lib/NKNU/detail.action?docID=5250388</t>
  </si>
  <si>
    <t>https://ebookcentral.proquest.com/lib/NKNU/detail.action?docID=5250391</t>
  </si>
  <si>
    <t>https://ebookcentral.proquest.com/lib/NKNU/detail.action?docID=5250394</t>
  </si>
  <si>
    <t>https://ebookcentral.proquest.com/lib/NKNU/detail.action?docID=5250396</t>
  </si>
  <si>
    <t>https://ebookcentral.proquest.com/lib/NKNU/detail.action?docID=5250399</t>
  </si>
  <si>
    <t>https://ebookcentral.proquest.com/lib/NKNU/detail.action?docID=5250401</t>
  </si>
  <si>
    <t>https://ebookcentral.proquest.com/lib/NKNU/detail.action?docID=5250402</t>
  </si>
  <si>
    <t>https://ebookcentral.proquest.com/lib/NKNU/detail.action?docID=5250405</t>
  </si>
  <si>
    <t>https://ebookcentral.proquest.com/lib/NKNU/detail.action?docID=5250406</t>
  </si>
  <si>
    <t>https://ebookcentral.proquest.com/lib/NKNU/detail.action?docID=5250410</t>
  </si>
  <si>
    <t>https://ebookcentral.proquest.com/lib/NKNU/detail.action?docID=5250411</t>
  </si>
  <si>
    <t>https://ebookcentral.proquest.com/lib/NKNU/detail.action?docID=5250413</t>
  </si>
  <si>
    <t>https://ebookcentral.proquest.com/lib/NKNU/detail.action?docID=5250414</t>
  </si>
  <si>
    <t>https://ebookcentral.proquest.com/lib/NKNU/detail.action?docID=5250415</t>
  </si>
  <si>
    <t>https://ebookcentral.proquest.com/lib/NKNU/detail.action?docID=5250416</t>
  </si>
  <si>
    <t>https://ebookcentral.proquest.com/lib/NKNU/detail.action?docID=5250417</t>
  </si>
  <si>
    <t>https://ebookcentral.proquest.com/lib/NKNU/detail.action?docID=5250418</t>
  </si>
  <si>
    <t>https://ebookcentral.proquest.com/lib/NKNU/detail.action?docID=5250420</t>
  </si>
  <si>
    <t>https://ebookcentral.proquest.com/lib/NKNU/detail.action?docID=5250423</t>
  </si>
  <si>
    <t>https://ebookcentral.proquest.com/lib/NKNU/detail.action?docID=5250424</t>
  </si>
  <si>
    <t>https://ebookcentral.proquest.com/lib/NKNU/detail.action?docID=5250425</t>
  </si>
  <si>
    <t>https://ebookcentral.proquest.com/lib/NKNU/detail.action?docID=5250426</t>
  </si>
  <si>
    <t>https://ebookcentral.proquest.com/lib/NKNU/detail.action?docID=5250434</t>
  </si>
  <si>
    <t>https://ebookcentral.proquest.com/lib/NKNU/detail.action?docID=5250437</t>
  </si>
  <si>
    <t>https://ebookcentral.proquest.com/lib/NKNU/detail.action?docID=5250447</t>
  </si>
  <si>
    <t>https://ebookcentral.proquest.com/lib/NKNU/detail.action?docID=5250451</t>
  </si>
  <si>
    <t>https://ebookcentral.proquest.com/lib/NKNU/detail.action?docID=5250453</t>
  </si>
  <si>
    <t>https://ebookcentral.proquest.com/lib/NKNU/detail.action?docID=5250454</t>
  </si>
  <si>
    <t>https://ebookcentral.proquest.com/lib/NKNU/detail.action?docID=5250457</t>
  </si>
  <si>
    <t>https://ebookcentral.proquest.com/lib/NKNU/detail.action?docID=5250460</t>
  </si>
  <si>
    <t>https://ebookcentral.proquest.com/lib/NKNU/detail.action?docID=5250464</t>
  </si>
  <si>
    <t>https://ebookcentral.proquest.com/lib/NKNU/detail.action?docID=5250470</t>
  </si>
  <si>
    <t>https://ebookcentral.proquest.com/lib/NKNU/detail.action?docID=5250471</t>
  </si>
  <si>
    <t>https://ebookcentral.proquest.com/lib/NKNU/detail.action?docID=5250483</t>
  </si>
  <si>
    <t>https://ebookcentral.proquest.com/lib/NKNU/detail.action?docID=5250485</t>
  </si>
  <si>
    <t>https://ebookcentral.proquest.com/lib/NKNU/detail.action?docID=5250486</t>
  </si>
  <si>
    <t>https://ebookcentral.proquest.com/lib/NKNU/detail.action?docID=5267668</t>
  </si>
  <si>
    <t>https://ebookcentral.proquest.com/lib/NKNU/detail.action?docID=5267676</t>
  </si>
  <si>
    <t>https://ebookcentral.proquest.com/lib/NKNU/detail.action?docID=5267677</t>
  </si>
  <si>
    <t>https://ebookcentral.proquest.com/lib/NKNU/detail.action?docID=5267762</t>
  </si>
  <si>
    <t>https://ebookcentral.proquest.com/lib/NKNU/detail.action?docID=5268265</t>
  </si>
  <si>
    <t>https://ebookcentral.proquest.com/lib/NKNU/detail.action?docID=5268269</t>
  </si>
  <si>
    <t>https://ebookcentral.proquest.com/lib/NKNU/detail.action?docID=5268419</t>
  </si>
  <si>
    <t>https://ebookcentral.proquest.com/lib/NKNU/detail.action?docID=5268427</t>
  </si>
  <si>
    <t>https://ebookcentral.proquest.com/lib/NKNU/detail.action?docID=5268428</t>
  </si>
  <si>
    <t>https://ebookcentral.proquest.com/lib/NKNU/detail.action?docID=5268430</t>
  </si>
  <si>
    <t>https://ebookcentral.proquest.com/lib/NKNU/detail.action?docID=5268431</t>
  </si>
  <si>
    <t>https://ebookcentral.proquest.com/lib/NKNU/detail.action?docID=5268448</t>
  </si>
  <si>
    <t>https://ebookcentral.proquest.com/lib/NKNU/detail.action?docID=5268449</t>
  </si>
  <si>
    <t>https://ebookcentral.proquest.com/lib/NKNU/detail.action?docID=5268490</t>
  </si>
  <si>
    <t>https://ebookcentral.proquest.com/lib/NKNU/detail.action?docID=5268721</t>
  </si>
  <si>
    <t>https://ebookcentral.proquest.com/lib/NKNU/detail.action?docID=5268724</t>
  </si>
  <si>
    <t>https://ebookcentral.proquest.com/lib/NKNU/detail.action?docID=5268726</t>
  </si>
  <si>
    <t>https://ebookcentral.proquest.com/lib/NKNU/detail.action?docID=5291995</t>
  </si>
  <si>
    <t>https://ebookcentral.proquest.com/lib/NKNU/detail.action?docID=5292037</t>
  </si>
  <si>
    <t>https://ebookcentral.proquest.com/lib/NKNU/detail.action?docID=5292044</t>
  </si>
  <si>
    <t>https://ebookcentral.proquest.com/lib/NKNU/detail.action?docID=5292050</t>
  </si>
  <si>
    <t>https://ebookcentral.proquest.com/lib/NKNU/detail.action?docID=5292144</t>
  </si>
  <si>
    <t>https://ebookcentral.proquest.com/lib/NKNU/detail.action?docID=5292179</t>
  </si>
  <si>
    <t>https://ebookcentral.proquest.com/lib/NKNU/detail.action?docID=5292211</t>
  </si>
  <si>
    <t>https://ebookcentral.proquest.com/lib/NKNU/detail.action?docID=5292212</t>
  </si>
  <si>
    <t>https://ebookcentral.proquest.com/lib/NKNU/detail.action?docID=5292284</t>
  </si>
  <si>
    <t>https://ebookcentral.proquest.com/lib/NKNU/detail.action?docID=5292351</t>
  </si>
  <si>
    <t>https://ebookcentral.proquest.com/lib/NKNU/detail.action?docID=5292499</t>
  </si>
  <si>
    <t>https://ebookcentral.proquest.com/lib/NKNU/detail.action?docID=5292556</t>
  </si>
  <si>
    <t>https://ebookcentral.proquest.com/lib/NKNU/detail.action?docID=5292572</t>
  </si>
  <si>
    <t>https://ebookcentral.proquest.com/lib/NKNU/detail.action?docID=5292575</t>
  </si>
  <si>
    <t>https://ebookcentral.proquest.com/lib/NKNU/detail.action?docID=5292583</t>
  </si>
  <si>
    <t>https://ebookcentral.proquest.com/lib/NKNU/detail.action?docID=5292588</t>
  </si>
  <si>
    <t>https://ebookcentral.proquest.com/lib/NKNU/detail.action?docID=5292594</t>
  </si>
  <si>
    <t>https://ebookcentral.proquest.com/lib/NKNU/detail.action?docID=5292596</t>
  </si>
  <si>
    <t>https://ebookcentral.proquest.com/lib/NKNU/detail.action?docID=5292597</t>
  </si>
  <si>
    <t>https://ebookcentral.proquest.com/lib/NKNU/detail.action?docID=5292604</t>
  </si>
  <si>
    <t>https://ebookcentral.proquest.com/lib/NKNU/detail.action?docID=5292616</t>
  </si>
  <si>
    <t>https://ebookcentral.proquest.com/lib/NKNU/detail.action?docID=5292622</t>
  </si>
  <si>
    <t>https://ebookcentral.proquest.com/lib/NKNU/detail.action?docID=5292645</t>
  </si>
  <si>
    <t>https://ebookcentral.proquest.com/lib/NKNU/detail.action?docID=5292673</t>
  </si>
  <si>
    <t>https://ebookcentral.proquest.com/lib/NKNU/detail.action?docID=5292696</t>
  </si>
  <si>
    <t>https://ebookcentral.proquest.com/lib/NKNU/detail.action?docID=5292701</t>
  </si>
  <si>
    <t>https://ebookcentral.proquest.com/lib/NKNU/detail.action?docID=5292706</t>
  </si>
  <si>
    <t>https://ebookcentral.proquest.com/lib/NKNU/detail.action?docID=5292709</t>
  </si>
  <si>
    <t>https://ebookcentral.proquest.com/lib/NKNU/detail.action?docID=5292711</t>
  </si>
  <si>
    <t>https://ebookcentral.proquest.com/lib/NKNU/detail.action?docID=5292720</t>
  </si>
  <si>
    <t>https://ebookcentral.proquest.com/lib/NKNU/detail.action?docID=5292727</t>
  </si>
  <si>
    <t>https://ebookcentral.proquest.com/lib/NKNU/detail.action?docID=5292733</t>
  </si>
  <si>
    <t>https://ebookcentral.proquest.com/lib/NKNU/detail.action?docID=5292734</t>
  </si>
  <si>
    <t>https://ebookcentral.proquest.com/lib/NKNU/detail.action?docID=5292735</t>
  </si>
  <si>
    <t>https://ebookcentral.proquest.com/lib/NKNU/detail.action?docID=5292736</t>
  </si>
  <si>
    <t>https://ebookcentral.proquest.com/lib/NKNU/detail.action?docID=5292757</t>
  </si>
  <si>
    <t>https://ebookcentral.proquest.com/lib/NKNU/detail.action?docID=5292758</t>
  </si>
  <si>
    <t>https://ebookcentral.proquest.com/lib/NKNU/detail.action?docID=5292770</t>
  </si>
  <si>
    <t>https://ebookcentral.proquest.com/lib/NKNU/detail.action?docID=5292774</t>
  </si>
  <si>
    <t>https://ebookcentral.proquest.com/lib/NKNU/detail.action?docID=5292777</t>
  </si>
  <si>
    <t>https://ebookcentral.proquest.com/lib/NKNU/detail.action?docID=5292785</t>
  </si>
  <si>
    <t>https://ebookcentral.proquest.com/lib/NKNU/detail.action?docID=5292786</t>
  </si>
  <si>
    <t>https://ebookcentral.proquest.com/lib/NKNU/detail.action?docID=5292787</t>
  </si>
  <si>
    <t>https://ebookcentral.proquest.com/lib/NKNU/detail.action?docID=5292789</t>
  </si>
  <si>
    <t>https://ebookcentral.proquest.com/lib/NKNU/detail.action?docID=5292796</t>
  </si>
  <si>
    <t>https://ebookcentral.proquest.com/lib/NKNU/detail.action?docID=5292799</t>
  </si>
  <si>
    <t>https://ebookcentral.proquest.com/lib/NKNU/detail.action?docID=5292858</t>
  </si>
  <si>
    <t>https://ebookcentral.proquest.com/lib/NKNU/detail.action?docID=5293454</t>
  </si>
  <si>
    <t>https://ebookcentral.proquest.com/lib/NKNU/detail.action?docID=5293456</t>
  </si>
  <si>
    <t>https://ebookcentral.proquest.com/lib/NKNU/detail.action?docID=5293461</t>
  </si>
  <si>
    <t>https://ebookcentral.proquest.com/lib/NKNU/detail.action?docID=5293472</t>
  </si>
  <si>
    <t>https://ebookcentral.proquest.com/lib/NKNU/detail.action?docID=5293474</t>
  </si>
  <si>
    <t>https://ebookcentral.proquest.com/lib/NKNU/detail.action?docID=5293481</t>
  </si>
  <si>
    <t>https://ebookcentral.proquest.com/lib/NKNU/detail.action?docID=5293491</t>
  </si>
  <si>
    <t>https://ebookcentral.proquest.com/lib/NKNU/detail.action?docID=5293493</t>
  </si>
  <si>
    <t>https://ebookcentral.proquest.com/lib/NKNU/detail.action?docID=5293494</t>
  </si>
  <si>
    <t>https://ebookcentral.proquest.com/lib/NKNU/detail.action?docID=5293495</t>
  </si>
  <si>
    <t>https://ebookcentral.proquest.com/lib/NKNU/detail.action?docID=5293508</t>
  </si>
  <si>
    <t>https://ebookcentral.proquest.com/lib/NKNU/detail.action?docID=5293509</t>
  </si>
  <si>
    <t>https://ebookcentral.proquest.com/lib/NKNU/detail.action?docID=5293512</t>
  </si>
  <si>
    <t>https://ebookcentral.proquest.com/lib/NKNU/detail.action?docID=5293515</t>
  </si>
  <si>
    <t>https://ebookcentral.proquest.com/lib/NKNU/detail.action?docID=5293520</t>
  </si>
  <si>
    <t>https://ebookcentral.proquest.com/lib/NKNU/detail.action?docID=5293521</t>
  </si>
  <si>
    <t>https://ebookcentral.proquest.com/lib/NKNU/detail.action?docID=5293524</t>
  </si>
  <si>
    <t>https://ebookcentral.proquest.com/lib/NKNU/detail.action?docID=5293526</t>
  </si>
  <si>
    <t>https://ebookcentral.proquest.com/lib/NKNU/detail.action?docID=5293529</t>
  </si>
  <si>
    <t>https://ebookcentral.proquest.com/lib/NKNU/detail.action?docID=5293535</t>
  </si>
  <si>
    <t>https://ebookcentral.proquest.com/lib/NKNU/detail.action?docID=5293543</t>
  </si>
  <si>
    <t>https://ebookcentral.proquest.com/lib/NKNU/detail.action?docID=5293545</t>
  </si>
  <si>
    <t>https://ebookcentral.proquest.com/lib/NKNU/detail.action?docID=5293549</t>
  </si>
  <si>
    <t>https://ebookcentral.proquest.com/lib/NKNU/detail.action?docID=5296603</t>
  </si>
  <si>
    <t>https://ebookcentral.proquest.com/lib/NKNU/detail.action?docID=5296604</t>
  </si>
  <si>
    <t>https://ebookcentral.proquest.com/lib/NKNU/detail.action?docID=5296606</t>
  </si>
  <si>
    <t>https://ebookcentral.proquest.com/lib/NKNU/detail.action?docID=5296630</t>
  </si>
  <si>
    <t>https://ebookcentral.proquest.com/lib/NKNU/detail.action?docID=5296634</t>
  </si>
  <si>
    <t>https://ebookcentral.proquest.com/lib/NKNU/detail.action?docID=5297616</t>
  </si>
  <si>
    <t>https://ebookcentral.proquest.com/lib/NKNU/detail.action?docID=5297654</t>
  </si>
  <si>
    <t>https://ebookcentral.proquest.com/lib/NKNU/detail.action?docID=5298099</t>
  </si>
  <si>
    <t>https://ebookcentral.proquest.com/lib/NKNU/detail.action?docID=5298106</t>
  </si>
  <si>
    <t>https://ebookcentral.proquest.com/lib/NKNU/detail.action?docID=5298249</t>
  </si>
  <si>
    <t>https://ebookcentral.proquest.com/lib/NKNU/detail.action?docID=5298389</t>
  </si>
  <si>
    <t>https://ebookcentral.proquest.com/lib/NKNU/detail.action?docID=5298526</t>
  </si>
  <si>
    <t>https://ebookcentral.proquest.com/lib/NKNU/detail.action?docID=5298595</t>
  </si>
  <si>
    <t>https://ebookcentral.proquest.com/lib/NKNU/detail.action?docID=5298682</t>
  </si>
  <si>
    <t>https://ebookcentral.proquest.com/lib/NKNU/detail.action?docID=5298683</t>
  </si>
  <si>
    <t>https://ebookcentral.proquest.com/lib/NKNU/detail.action?docID=5298738</t>
  </si>
  <si>
    <t>https://ebookcentral.proquest.com/lib/NKNU/detail.action?docID=5298783</t>
  </si>
  <si>
    <t>https://ebookcentral.proquest.com/lib/NKNU/detail.action?docID=5298928</t>
  </si>
  <si>
    <t>https://ebookcentral.proquest.com/lib/NKNU/detail.action?docID=5298968</t>
  </si>
  <si>
    <t>https://ebookcentral.proquest.com/lib/NKNU/detail.action?docID=5298997</t>
  </si>
  <si>
    <t>https://ebookcentral.proquest.com/lib/NKNU/detail.action?docID=5299014</t>
  </si>
  <si>
    <t>https://ebookcentral.proquest.com/lib/NKNU/detail.action?docID=5299040</t>
  </si>
  <si>
    <t>https://ebookcentral.proquest.com/lib/NKNU/detail.action?docID=5299061</t>
  </si>
  <si>
    <t>https://ebookcentral.proquest.com/lib/NKNU/detail.action?docID=5299469</t>
  </si>
  <si>
    <t>https://ebookcentral.proquest.com/lib/NKNU/detail.action?docID=5299516</t>
  </si>
  <si>
    <t>https://ebookcentral.proquest.com/lib/NKNU/detail.action?docID=5299561</t>
  </si>
  <si>
    <t>https://ebookcentral.proquest.com/lib/NKNU/detail.action?docID=5299601</t>
  </si>
  <si>
    <t>https://ebookcentral.proquest.com/lib/NKNU/detail.action?docID=5299609</t>
  </si>
  <si>
    <t>https://ebookcentral.proquest.com/lib/NKNU/detail.action?docID=5299610</t>
  </si>
  <si>
    <t>https://ebookcentral.proquest.com/lib/NKNU/detail.action?docID=5299611</t>
  </si>
  <si>
    <t>https://ebookcentral.proquest.com/lib/NKNU/detail.action?docID=5299635</t>
  </si>
  <si>
    <t>https://ebookcentral.proquest.com/lib/NKNU/detail.action?docID=5299650</t>
  </si>
  <si>
    <t>https://ebookcentral.proquest.com/lib/NKNU/detail.action?docID=5299676</t>
  </si>
  <si>
    <t>https://ebookcentral.proquest.com/lib/NKNU/detail.action?docID=5299804</t>
  </si>
  <si>
    <t>https://ebookcentral.proquest.com/lib/NKNU/detail.action?docID=5299863</t>
  </si>
  <si>
    <t>https://ebookcentral.proquest.com/lib/NKNU/detail.action?docID=5299883</t>
  </si>
  <si>
    <t>https://ebookcentral.proquest.com/lib/NKNU/detail.action?docID=5299886</t>
  </si>
  <si>
    <t>https://ebookcentral.proquest.com/lib/NKNU/detail.action?docID=5299905</t>
  </si>
  <si>
    <t>https://ebookcentral.proquest.com/lib/NKNU/detail.action?docID=5299910</t>
  </si>
  <si>
    <t>https://ebookcentral.proquest.com/lib/NKNU/detail.action?docID=5299980</t>
  </si>
  <si>
    <t>https://ebookcentral.proquest.com/lib/NKNU/detail.action?docID=5300008</t>
  </si>
  <si>
    <t>https://ebookcentral.proquest.com/lib/NKNU/detail.action?docID=5300058</t>
  </si>
  <si>
    <t>https://ebookcentral.proquest.com/lib/NKNU/detail.action?docID=5300134</t>
  </si>
  <si>
    <t>https://ebookcentral.proquest.com/lib/NKNU/detail.action?docID=5300136</t>
  </si>
  <si>
    <t>https://ebookcentral.proquest.com/lib/NKNU/detail.action?docID=5300149</t>
  </si>
  <si>
    <t>https://ebookcentral.proquest.com/lib/NKNU/detail.action?docID=5300206</t>
  </si>
  <si>
    <t>https://ebookcentral.proquest.com/lib/NKNU/detail.action?docID=5300240</t>
  </si>
  <si>
    <t>https://ebookcentral.proquest.com/lib/NKNU/detail.action?docID=5300265</t>
  </si>
  <si>
    <t>https://ebookcentral.proquest.com/lib/NKNU/detail.action?docID=5300273</t>
  </si>
  <si>
    <t>https://ebookcentral.proquest.com/lib/NKNU/detail.action?docID=5300354</t>
  </si>
  <si>
    <t>https://ebookcentral.proquest.com/lib/NKNU/detail.action?docID=5300395</t>
  </si>
  <si>
    <t>https://ebookcentral.proquest.com/lib/NKNU/detail.action?docID=5300398</t>
  </si>
  <si>
    <t>https://ebookcentral.proquest.com/lib/NKNU/detail.action?docID=5300430</t>
  </si>
  <si>
    <t>https://ebookcentral.proquest.com/lib/NKNU/detail.action?docID=5300440</t>
  </si>
  <si>
    <t>https://ebookcentral.proquest.com/lib/NKNU/detail.action?docID=5300484</t>
  </si>
  <si>
    <t>https://ebookcentral.proquest.com/lib/NKNU/detail.action?docID=5300486</t>
  </si>
  <si>
    <t>https://ebookcentral.proquest.com/lib/NKNU/detail.action?docID=5300498</t>
  </si>
  <si>
    <t>https://ebookcentral.proquest.com/lib/NKNU/detail.action?docID=5300502</t>
  </si>
  <si>
    <t>https://ebookcentral.proquest.com/lib/NKNU/detail.action?docID=5300504</t>
  </si>
  <si>
    <t>https://ebookcentral.proquest.com/lib/NKNU/detail.action?docID=5300520</t>
  </si>
  <si>
    <t>https://ebookcentral.proquest.com/lib/NKNU/detail.action?docID=5300522</t>
  </si>
  <si>
    <t>https://ebookcentral.proquest.com/lib/NKNU/detail.action?docID=5300591</t>
  </si>
  <si>
    <t>https://ebookcentral.proquest.com/lib/NKNU/detail.action?docID=5300592</t>
  </si>
  <si>
    <t>https://ebookcentral.proquest.com/lib/NKNU/detail.action?docID=5300593</t>
  </si>
  <si>
    <t>https://ebookcentral.proquest.com/lib/NKNU/detail.action?docID=5300594</t>
  </si>
  <si>
    <t>https://ebookcentral.proquest.com/lib/NKNU/detail.action?docID=5300599</t>
  </si>
  <si>
    <t>https://ebookcentral.proquest.com/lib/NKNU/detail.action?docID=5300639</t>
  </si>
  <si>
    <t>https://ebookcentral.proquest.com/lib/NKNU/detail.action?docID=5300640</t>
  </si>
  <si>
    <t>https://ebookcentral.proquest.com/lib/NKNU/detail.action?docID=5300641</t>
  </si>
  <si>
    <t>https://ebookcentral.proquest.com/lib/NKNU/detail.action?docID=5300642</t>
  </si>
  <si>
    <t>https://ebookcentral.proquest.com/lib/NKNU/detail.action?docID=5312495</t>
  </si>
  <si>
    <t>https://ebookcentral.proquest.com/lib/NKNU/detail.action?docID=5312713</t>
  </si>
  <si>
    <t>https://ebookcentral.proquest.com/lib/NKNU/detail.action?docID=5312715</t>
  </si>
  <si>
    <t>https://ebookcentral.proquest.com/lib/NKNU/detail.action?docID=5312718</t>
  </si>
  <si>
    <t>https://ebookcentral.proquest.com/lib/NKNU/detail.action?docID=5312720</t>
  </si>
  <si>
    <t>https://ebookcentral.proquest.com/lib/NKNU/detail.action?docID=5312723</t>
  </si>
  <si>
    <t>https://ebookcentral.proquest.com/lib/NKNU/detail.action?docID=5316968</t>
  </si>
  <si>
    <t>https://ebookcentral.proquest.com/lib/NKNU/detail.action?docID=5316970</t>
  </si>
  <si>
    <t>https://ebookcentral.proquest.com/lib/NKNU/detail.action?docID=5316971</t>
  </si>
  <si>
    <t>https://ebookcentral.proquest.com/lib/NKNU/detail.action?docID=5338111</t>
  </si>
  <si>
    <t>https://ebookcentral.proquest.com/lib/NKNU/detail.action?docID=5338192</t>
  </si>
  <si>
    <t>https://ebookcentral.proquest.com/lib/NKNU/detail.action?docID=5338195</t>
  </si>
  <si>
    <t>https://ebookcentral.proquest.com/lib/NKNU/detail.action?docID=5338196</t>
  </si>
  <si>
    <t>https://ebookcentral.proquest.com/lib/NKNU/detail.action?docID=5338197</t>
  </si>
  <si>
    <t>https://ebookcentral.proquest.com/lib/NKNU/detail.action?docID=5338201</t>
  </si>
  <si>
    <t>https://ebookcentral.proquest.com/lib/NKNU/detail.action?docID=5338203</t>
  </si>
  <si>
    <t>https://ebookcentral.proquest.com/lib/NKNU/detail.action?docID=5338207</t>
  </si>
  <si>
    <t>https://ebookcentral.proquest.com/lib/NKNU/detail.action?docID=5338208</t>
  </si>
  <si>
    <t>https://ebookcentral.proquest.com/lib/NKNU/detail.action?docID=5338211</t>
  </si>
  <si>
    <t>https://ebookcentral.proquest.com/lib/NKNU/detail.action?docID=5338212</t>
  </si>
  <si>
    <t>https://ebookcentral.proquest.com/lib/NKNU/detail.action?docID=5338215</t>
  </si>
  <si>
    <t>https://ebookcentral.proquest.com/lib/NKNU/detail.action?docID=5338221</t>
  </si>
  <si>
    <t>https://ebookcentral.proquest.com/lib/NKNU/detail.action?docID=5338229</t>
  </si>
  <si>
    <t>https://ebookcentral.proquest.com/lib/NKNU/detail.action?docID=5338230</t>
  </si>
  <si>
    <t>https://ebookcentral.proquest.com/lib/NKNU/detail.action?docID=5338232</t>
  </si>
  <si>
    <t>https://ebookcentral.proquest.com/lib/NKNU/detail.action?docID=5338233</t>
  </si>
  <si>
    <t>https://ebookcentral.proquest.com/lib/NKNU/detail.action?docID=5338234</t>
  </si>
  <si>
    <t>https://ebookcentral.proquest.com/lib/NKNU/detail.action?docID=5338235</t>
  </si>
  <si>
    <t>https://ebookcentral.proquest.com/lib/NKNU/detail.action?docID=5338238</t>
  </si>
  <si>
    <t>https://ebookcentral.proquest.com/lib/NKNU/detail.action?docID=5338240</t>
  </si>
  <si>
    <t>https://ebookcentral.proquest.com/lib/NKNU/detail.action?docID=5338241</t>
  </si>
  <si>
    <t>https://ebookcentral.proquest.com/lib/NKNU/detail.action?docID=5338242</t>
  </si>
  <si>
    <t>https://ebookcentral.proquest.com/lib/NKNU/detail.action?docID=5338244</t>
  </si>
  <si>
    <t>https://ebookcentral.proquest.com/lib/NKNU/detail.action?docID=5338245</t>
  </si>
  <si>
    <t>https://ebookcentral.proquest.com/lib/NKNU/detail.action?docID=5338246</t>
  </si>
  <si>
    <t>https://ebookcentral.proquest.com/lib/NKNU/detail.action?docID=5338249</t>
  </si>
  <si>
    <t>https://ebookcentral.proquest.com/lib/NKNU/detail.action?docID=5338250</t>
  </si>
  <si>
    <t>https://ebookcentral.proquest.com/lib/NKNU/detail.action?docID=5338251</t>
  </si>
  <si>
    <t>https://ebookcentral.proquest.com/lib/NKNU/detail.action?docID=5338252</t>
  </si>
  <si>
    <t>https://ebookcentral.proquest.com/lib/NKNU/detail.action?docID=5338253</t>
  </si>
  <si>
    <t>https://ebookcentral.proquest.com/lib/NKNU/detail.action?docID=5338254</t>
  </si>
  <si>
    <t>https://ebookcentral.proquest.com/lib/NKNU/detail.action?docID=5338255</t>
  </si>
  <si>
    <t>https://ebookcentral.proquest.com/lib/NKNU/detail.action?docID=5338256</t>
  </si>
  <si>
    <t>https://ebookcentral.proquest.com/lib/NKNU/detail.action?docID=5338259</t>
  </si>
  <si>
    <t>https://ebookcentral.proquest.com/lib/NKNU/detail.action?docID=5338260</t>
  </si>
  <si>
    <t>https://ebookcentral.proquest.com/lib/NKNU/detail.action?docID=5893805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</si>
</sst>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12"/>
      <color theme="1"/>
      <name val="新細明體"/>
      <family val="2"/>
      <charset val="136"/>
      <scheme val="minor"/>
    </font>
    <font>
      <sz val="12"/>
      <color theme="1"/>
      <name val="新細明體"/>
      <family val="2"/>
      <charset val="136"/>
      <scheme val="minor"/>
    </font>
    <font>
      <sz val="18"/>
      <color theme="3"/>
      <name val="新細明體"/>
      <family val="2"/>
      <charset val="136"/>
      <scheme val="major"/>
    </font>
    <font>
      <b/>
      <sz val="15"/>
      <color theme="3"/>
      <name val="新細明體"/>
      <family val="2"/>
      <charset val="136"/>
      <scheme val="minor"/>
    </font>
    <font>
      <b/>
      <sz val="13"/>
      <color theme="3"/>
      <name val="新細明體"/>
      <family val="2"/>
      <charset val="136"/>
      <scheme val="minor"/>
    </font>
    <font>
      <b/>
      <sz val="11"/>
      <color theme="3"/>
      <name val="新細明體"/>
      <family val="2"/>
      <charset val="136"/>
      <scheme val="minor"/>
    </font>
    <font>
      <sz val="12"/>
      <color rgb="FF006100"/>
      <name val="新細明體"/>
      <family val="2"/>
      <charset val="136"/>
      <scheme val="minor"/>
    </font>
    <font>
      <sz val="12"/>
      <color rgb="FF9C0006"/>
      <name val="新細明體"/>
      <family val="2"/>
      <charset val="136"/>
      <scheme val="minor"/>
    </font>
    <font>
      <sz val="12"/>
      <color rgb="FF9C5700"/>
      <name val="新細明體"/>
      <family val="2"/>
      <charset val="136"/>
      <scheme val="minor"/>
    </font>
    <font>
      <sz val="12"/>
      <color rgb="FF3F3F76"/>
      <name val="新細明體"/>
      <family val="2"/>
      <charset val="136"/>
      <scheme val="minor"/>
    </font>
    <font>
      <b/>
      <sz val="12"/>
      <color rgb="FF3F3F3F"/>
      <name val="新細明體"/>
      <family val="2"/>
      <charset val="136"/>
      <scheme val="minor"/>
    </font>
    <font>
      <b/>
      <sz val="12"/>
      <color rgb="FFFA7D00"/>
      <name val="新細明體"/>
      <family val="2"/>
      <charset val="136"/>
      <scheme val="minor"/>
    </font>
    <font>
      <sz val="12"/>
      <color rgb="FFFA7D00"/>
      <name val="新細明體"/>
      <family val="2"/>
      <charset val="136"/>
      <scheme val="minor"/>
    </font>
    <font>
      <b/>
      <sz val="12"/>
      <color theme="0"/>
      <name val="新細明體"/>
      <family val="2"/>
      <charset val="136"/>
      <scheme val="minor"/>
    </font>
    <font>
      <sz val="12"/>
      <color rgb="FFFF0000"/>
      <name val="新細明體"/>
      <family val="2"/>
      <charset val="136"/>
      <scheme val="minor"/>
    </font>
    <font>
      <i/>
      <sz val="12"/>
      <color rgb="FF7F7F7F"/>
      <name val="新細明體"/>
      <family val="2"/>
      <charset val="136"/>
      <scheme val="minor"/>
    </font>
    <font>
      <b/>
      <sz val="12"/>
      <color theme="1"/>
      <name val="新細明體"/>
      <family val="2"/>
      <charset val="136"/>
      <scheme val="minor"/>
    </font>
    <font>
      <sz val="12"/>
      <color theme="0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  <font>
      <u/>
      <sz val="12"/>
      <color theme="10"/>
      <name val="新細明體"/>
      <family val="2"/>
      <charset val="136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</cellStyleXfs>
  <cellXfs count="3">
    <xf numFmtId="0" fontId="0" fillId="0" borderId="0" xfId="0">
      <alignment vertical="center"/>
    </xf>
    <xf numFmtId="14" fontId="0" fillId="0" borderId="0" xfId="0" applyNumberFormat="1">
      <alignment vertical="center"/>
    </xf>
    <xf numFmtId="0" fontId="19" fillId="0" borderId="0" xfId="42">
      <alignment vertical="center"/>
    </xf>
  </cellXfs>
  <cellStyles count="43">
    <cellStyle name="20% - 輔色1" xfId="19" builtinId="30" customBuiltin="1"/>
    <cellStyle name="20% - 輔色2" xfId="23" builtinId="34" customBuiltin="1"/>
    <cellStyle name="20% - 輔色3" xfId="27" builtinId="38" customBuiltin="1"/>
    <cellStyle name="20% - 輔色4" xfId="31" builtinId="42" customBuiltin="1"/>
    <cellStyle name="20% - 輔色5" xfId="35" builtinId="46" customBuiltin="1"/>
    <cellStyle name="20% - 輔色6" xfId="39" builtinId="50" customBuiltin="1"/>
    <cellStyle name="40% - 輔色1" xfId="20" builtinId="31" customBuiltin="1"/>
    <cellStyle name="40% - 輔色2" xfId="24" builtinId="35" customBuiltin="1"/>
    <cellStyle name="40% - 輔色3" xfId="28" builtinId="39" customBuiltin="1"/>
    <cellStyle name="40% - 輔色4" xfId="32" builtinId="43" customBuiltin="1"/>
    <cellStyle name="40% - 輔色5" xfId="36" builtinId="47" customBuiltin="1"/>
    <cellStyle name="40% - 輔色6" xfId="40" builtinId="51" customBuiltin="1"/>
    <cellStyle name="60% - 輔色1" xfId="21" builtinId="32" customBuiltin="1"/>
    <cellStyle name="60% - 輔色2" xfId="25" builtinId="36" customBuiltin="1"/>
    <cellStyle name="60% - 輔色3" xfId="29" builtinId="40" customBuiltin="1"/>
    <cellStyle name="60% - 輔色4" xfId="33" builtinId="44" customBuiltin="1"/>
    <cellStyle name="60% - 輔色5" xfId="37" builtinId="48" customBuiltin="1"/>
    <cellStyle name="60% - 輔色6" xfId="41" builtinId="52" customBuiltin="1"/>
    <cellStyle name="一般" xfId="0" builtinId="0"/>
    <cellStyle name="中等" xfId="8" builtinId="28" customBuiltin="1"/>
    <cellStyle name="合計" xfId="17" builtinId="25" customBuiltin="1"/>
    <cellStyle name="好" xfId="6" builtinId="26" customBuiltin="1"/>
    <cellStyle name="計算方式" xfId="11" builtinId="22" customBuiltin="1"/>
    <cellStyle name="連結的儲存格" xfId="12" builtinId="24" customBuiltin="1"/>
    <cellStyle name="備註" xfId="15" builtinId="10" customBuiltin="1"/>
    <cellStyle name="超連結" xfId="42" builtinId="8"/>
    <cellStyle name="說明文字" xfId="16" builtinId="53" customBuiltin="1"/>
    <cellStyle name="輔色1" xfId="18" builtinId="29" customBuiltin="1"/>
    <cellStyle name="輔色2" xfId="22" builtinId="33" customBuiltin="1"/>
    <cellStyle name="輔色3" xfId="26" builtinId="37" customBuiltin="1"/>
    <cellStyle name="輔色4" xfId="30" builtinId="41" customBuiltin="1"/>
    <cellStyle name="輔色5" xfId="34" builtinId="45" customBuiltin="1"/>
    <cellStyle name="輔色6" xfId="38" builtinId="49" customBuiltin="1"/>
    <cellStyle name="標題" xfId="1" builtinId="15" customBuiltin="1"/>
    <cellStyle name="標題 1" xfId="2" builtinId="16" customBuiltin="1"/>
    <cellStyle name="標題 2" xfId="3" builtinId="17" customBuiltin="1"/>
    <cellStyle name="標題 3" xfId="4" builtinId="18" customBuiltin="1"/>
    <cellStyle name="標題 4" xfId="5" builtinId="19" customBuiltin="1"/>
    <cellStyle name="輸入" xfId="9" builtinId="20" customBuiltin="1"/>
    <cellStyle name="輸出" xfId="10" builtinId="21" customBuiltin="1"/>
    <cellStyle name="檢查儲存格" xfId="13" builtinId="23" customBuiltin="1"/>
    <cellStyle name="壞" xfId="7" builtinId="27" customBuiltin="1"/>
    <cellStyle name="警告文字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ebookcentral.proquest.com/lib/UCHTW/detail.action?docID=116763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160"/>
  <sheetViews>
    <sheetView tabSelected="1" workbookViewId="0">
      <selection activeCell="G12" sqref="G12"/>
    </sheetView>
  </sheetViews>
  <sheetFormatPr defaultRowHeight="16.5" x14ac:dyDescent="0.25"/>
  <sheetData>
    <row r="1" spans="1:10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</row>
    <row r="2" spans="1:10" x14ac:dyDescent="0.25">
      <c r="A2">
        <v>116763</v>
      </c>
      <c r="B2" t="s">
        <v>10</v>
      </c>
      <c r="C2" t="str">
        <f>"9781588431172"</f>
        <v>9781588431172</v>
      </c>
      <c r="D2" t="str">
        <f>"9781588432841"</f>
        <v>9781588432841</v>
      </c>
      <c r="E2" t="s">
        <v>11</v>
      </c>
      <c r="F2" t="s">
        <v>11</v>
      </c>
      <c r="G2" s="1">
        <v>36892</v>
      </c>
      <c r="H2" s="1">
        <v>39517</v>
      </c>
      <c r="I2" t="s">
        <v>12</v>
      </c>
      <c r="J2" s="2" t="s">
        <v>10772</v>
      </c>
    </row>
    <row r="3" spans="1:10" x14ac:dyDescent="0.25">
      <c r="A3">
        <v>117738</v>
      </c>
      <c r="B3" t="s">
        <v>13</v>
      </c>
      <c r="C3" t="str">
        <f>"9781556508578"</f>
        <v>9781556508578</v>
      </c>
      <c r="D3" t="str">
        <f>"9781588431547"</f>
        <v>9781588431547</v>
      </c>
      <c r="E3" t="s">
        <v>11</v>
      </c>
      <c r="F3" t="s">
        <v>11</v>
      </c>
      <c r="G3" s="1">
        <v>36526</v>
      </c>
      <c r="H3" s="1">
        <v>39570</v>
      </c>
      <c r="I3" t="s">
        <v>12</v>
      </c>
      <c r="J3" t="s">
        <v>10773</v>
      </c>
    </row>
    <row r="4" spans="1:10" x14ac:dyDescent="0.25">
      <c r="A4">
        <v>140437</v>
      </c>
      <c r="B4" t="s">
        <v>14</v>
      </c>
      <c r="C4" t="str">
        <f>"9781583912867"</f>
        <v>9781583912867</v>
      </c>
      <c r="D4" t="str">
        <f>"9780203391464"</f>
        <v>9780203391464</v>
      </c>
      <c r="E4" t="s">
        <v>15</v>
      </c>
      <c r="F4" t="s">
        <v>16</v>
      </c>
      <c r="G4" s="1">
        <v>37805</v>
      </c>
      <c r="H4" s="1">
        <v>41130</v>
      </c>
      <c r="I4" t="s">
        <v>12</v>
      </c>
      <c r="J4" t="s">
        <v>10774</v>
      </c>
    </row>
    <row r="5" spans="1:10" x14ac:dyDescent="0.25">
      <c r="A5">
        <v>143916</v>
      </c>
      <c r="B5" t="s">
        <v>17</v>
      </c>
      <c r="C5" t="str">
        <f>"9780521772273"</f>
        <v>9780521772273</v>
      </c>
      <c r="D5" t="str">
        <f>"9780511151422"</f>
        <v>9780511151422</v>
      </c>
      <c r="E5" t="s">
        <v>18</v>
      </c>
      <c r="F5" t="s">
        <v>18</v>
      </c>
      <c r="G5" s="1">
        <v>36664</v>
      </c>
      <c r="H5" s="1">
        <v>38831</v>
      </c>
      <c r="I5" t="s">
        <v>12</v>
      </c>
      <c r="J5" t="s">
        <v>10775</v>
      </c>
    </row>
    <row r="6" spans="1:10" x14ac:dyDescent="0.25">
      <c r="A6">
        <v>144711</v>
      </c>
      <c r="B6" t="s">
        <v>19</v>
      </c>
      <c r="C6" t="str">
        <f>"9780521653268"</f>
        <v>9780521653268</v>
      </c>
      <c r="D6" t="str">
        <f>"9780511151804"</f>
        <v>9780511151804</v>
      </c>
      <c r="E6" t="s">
        <v>18</v>
      </c>
      <c r="F6" t="s">
        <v>18</v>
      </c>
      <c r="G6" s="1">
        <v>36629</v>
      </c>
      <c r="H6" s="1">
        <v>38169</v>
      </c>
      <c r="I6" t="s">
        <v>12</v>
      </c>
      <c r="J6" t="s">
        <v>10776</v>
      </c>
    </row>
    <row r="7" spans="1:10" x14ac:dyDescent="0.25">
      <c r="A7">
        <v>144742</v>
      </c>
      <c r="B7" t="s">
        <v>20</v>
      </c>
      <c r="C7" t="str">
        <f>"9780521624503"</f>
        <v>9780521624503</v>
      </c>
      <c r="D7" t="str">
        <f>"9780511150951"</f>
        <v>9780511150951</v>
      </c>
      <c r="E7" t="s">
        <v>18</v>
      </c>
      <c r="F7" t="s">
        <v>18</v>
      </c>
      <c r="G7" s="1">
        <v>36657</v>
      </c>
      <c r="H7" s="1">
        <v>38169</v>
      </c>
      <c r="I7" t="s">
        <v>12</v>
      </c>
      <c r="J7" t="s">
        <v>10777</v>
      </c>
    </row>
    <row r="8" spans="1:10" x14ac:dyDescent="0.25">
      <c r="A8">
        <v>144751</v>
      </c>
      <c r="B8" t="s">
        <v>22</v>
      </c>
      <c r="C8" t="str">
        <f>"9780521660808"</f>
        <v>9780521660808</v>
      </c>
      <c r="D8" t="str">
        <f>"9780511150845"</f>
        <v>9780511150845</v>
      </c>
      <c r="E8" t="s">
        <v>18</v>
      </c>
      <c r="F8" t="s">
        <v>18</v>
      </c>
      <c r="G8" s="1">
        <v>36734</v>
      </c>
      <c r="H8" s="1">
        <v>38169</v>
      </c>
      <c r="I8" t="s">
        <v>12</v>
      </c>
      <c r="J8" t="s">
        <v>10778</v>
      </c>
    </row>
    <row r="9" spans="1:10" x14ac:dyDescent="0.25">
      <c r="A9">
        <v>144754</v>
      </c>
      <c r="B9" t="s">
        <v>23</v>
      </c>
      <c r="C9" t="str">
        <f>"9780521661560"</f>
        <v>9780521661560</v>
      </c>
      <c r="D9" t="str">
        <f>"9780511151019"</f>
        <v>9780511151019</v>
      </c>
      <c r="E9" t="s">
        <v>18</v>
      </c>
      <c r="F9" t="s">
        <v>18</v>
      </c>
      <c r="G9" s="1">
        <v>36538</v>
      </c>
      <c r="H9" s="1">
        <v>38169</v>
      </c>
      <c r="I9" t="s">
        <v>12</v>
      </c>
      <c r="J9" t="s">
        <v>10779</v>
      </c>
    </row>
    <row r="10" spans="1:10" x14ac:dyDescent="0.25">
      <c r="A10">
        <v>145805</v>
      </c>
      <c r="B10" t="s">
        <v>24</v>
      </c>
      <c r="C10" t="str">
        <f>"9780521591522"</f>
        <v>9780521591522</v>
      </c>
      <c r="D10" t="str">
        <f>"9780511150432"</f>
        <v>9780511150432</v>
      </c>
      <c r="E10" t="s">
        <v>18</v>
      </c>
      <c r="F10" t="s">
        <v>18</v>
      </c>
      <c r="G10" s="1">
        <v>36416</v>
      </c>
      <c r="H10" s="1">
        <v>38169</v>
      </c>
      <c r="I10" t="s">
        <v>12</v>
      </c>
      <c r="J10" t="s">
        <v>10780</v>
      </c>
    </row>
    <row r="11" spans="1:10" x14ac:dyDescent="0.25">
      <c r="A11">
        <v>147322</v>
      </c>
      <c r="B11" t="s">
        <v>25</v>
      </c>
      <c r="C11" t="str">
        <f>"9780521661539"</f>
        <v>9780521661539</v>
      </c>
      <c r="D11" t="str">
        <f>"9780511150869"</f>
        <v>9780511150869</v>
      </c>
      <c r="E11" t="s">
        <v>18</v>
      </c>
      <c r="F11" t="s">
        <v>18</v>
      </c>
      <c r="G11" s="1">
        <v>36636</v>
      </c>
      <c r="H11" s="1">
        <v>38169</v>
      </c>
      <c r="I11" t="s">
        <v>12</v>
      </c>
      <c r="J11" t="s">
        <v>10781</v>
      </c>
    </row>
    <row r="12" spans="1:10" x14ac:dyDescent="0.25">
      <c r="A12">
        <v>147328</v>
      </c>
      <c r="B12" t="s">
        <v>26</v>
      </c>
      <c r="C12" t="str">
        <f>"9780521773157"</f>
        <v>9780521773157</v>
      </c>
      <c r="D12" t="str">
        <f>"9780511150302"</f>
        <v>9780511150302</v>
      </c>
      <c r="E12" t="s">
        <v>18</v>
      </c>
      <c r="F12" t="s">
        <v>18</v>
      </c>
      <c r="G12" s="1">
        <v>36636</v>
      </c>
      <c r="H12" s="1">
        <v>38169</v>
      </c>
      <c r="I12" t="s">
        <v>12</v>
      </c>
      <c r="J12" t="s">
        <v>10782</v>
      </c>
    </row>
    <row r="13" spans="1:10" x14ac:dyDescent="0.25">
      <c r="A13">
        <v>147331</v>
      </c>
      <c r="B13" t="s">
        <v>27</v>
      </c>
      <c r="C13" t="str">
        <f>"9780521791151"</f>
        <v>9780521791151</v>
      </c>
      <c r="D13" t="str">
        <f>"9780511154997"</f>
        <v>9780511154997</v>
      </c>
      <c r="E13" t="s">
        <v>18</v>
      </c>
      <c r="F13" t="s">
        <v>18</v>
      </c>
      <c r="G13" s="1">
        <v>37130</v>
      </c>
      <c r="H13" s="1">
        <v>38169</v>
      </c>
      <c r="I13" t="s">
        <v>12</v>
      </c>
      <c r="J13" t="s">
        <v>10783</v>
      </c>
    </row>
    <row r="14" spans="1:10" x14ac:dyDescent="0.25">
      <c r="A14">
        <v>149795</v>
      </c>
      <c r="B14" t="s">
        <v>28</v>
      </c>
      <c r="C14" t="str">
        <f>"9780415278034"</f>
        <v>9780415278034</v>
      </c>
      <c r="D14" t="str">
        <f>"9780203173640"</f>
        <v>9780203173640</v>
      </c>
      <c r="E14" t="s">
        <v>15</v>
      </c>
      <c r="F14" t="s">
        <v>16</v>
      </c>
      <c r="G14" s="1">
        <v>37442</v>
      </c>
      <c r="H14" s="1">
        <v>40632</v>
      </c>
      <c r="I14" t="s">
        <v>12</v>
      </c>
      <c r="J14" t="s">
        <v>10784</v>
      </c>
    </row>
    <row r="15" spans="1:10" x14ac:dyDescent="0.25">
      <c r="A15">
        <v>156646</v>
      </c>
      <c r="B15" t="s">
        <v>29</v>
      </c>
      <c r="C15" t="str">
        <f>"9780415172080"</f>
        <v>9780415172080</v>
      </c>
      <c r="D15" t="str">
        <f>"9780203449028"</f>
        <v>9780203449028</v>
      </c>
      <c r="E15" t="s">
        <v>15</v>
      </c>
      <c r="F15" t="s">
        <v>16</v>
      </c>
      <c r="G15" s="1">
        <v>36438</v>
      </c>
      <c r="H15" s="1">
        <v>41889</v>
      </c>
      <c r="I15" t="s">
        <v>12</v>
      </c>
      <c r="J15" t="s">
        <v>10785</v>
      </c>
    </row>
    <row r="16" spans="1:10" x14ac:dyDescent="0.25">
      <c r="A16">
        <v>157036</v>
      </c>
      <c r="B16" t="s">
        <v>31</v>
      </c>
      <c r="C16" t="str">
        <f>"9780521652322"</f>
        <v>9780521652322</v>
      </c>
      <c r="D16" t="str">
        <f>"9780511153396"</f>
        <v>9780511153396</v>
      </c>
      <c r="E16" t="s">
        <v>18</v>
      </c>
      <c r="F16" t="s">
        <v>18</v>
      </c>
      <c r="G16" s="1">
        <v>37018</v>
      </c>
      <c r="H16" s="1">
        <v>38169</v>
      </c>
      <c r="I16" t="s">
        <v>12</v>
      </c>
      <c r="J16" t="s">
        <v>10786</v>
      </c>
    </row>
    <row r="17" spans="1:10" x14ac:dyDescent="0.25">
      <c r="A17">
        <v>164745</v>
      </c>
      <c r="B17" t="s">
        <v>32</v>
      </c>
      <c r="C17" t="str">
        <f>"9780521631501"</f>
        <v>9780521631501</v>
      </c>
      <c r="D17" t="str">
        <f>"9780511152924"</f>
        <v>9780511152924</v>
      </c>
      <c r="E17" t="s">
        <v>18</v>
      </c>
      <c r="F17" t="s">
        <v>18</v>
      </c>
      <c r="G17" s="1">
        <v>37004</v>
      </c>
      <c r="H17" s="1">
        <v>38169</v>
      </c>
      <c r="I17" t="s">
        <v>12</v>
      </c>
      <c r="J17" t="s">
        <v>10787</v>
      </c>
    </row>
    <row r="18" spans="1:10" x14ac:dyDescent="0.25">
      <c r="A18">
        <v>165011</v>
      </c>
      <c r="B18" t="s">
        <v>33</v>
      </c>
      <c r="C18" t="str">
        <f>"9780415211758"</f>
        <v>9780415211758</v>
      </c>
      <c r="D18" t="str">
        <f>"9780203137529"</f>
        <v>9780203137529</v>
      </c>
      <c r="E18" t="s">
        <v>15</v>
      </c>
      <c r="F18" t="s">
        <v>16</v>
      </c>
      <c r="G18" s="1">
        <v>36832</v>
      </c>
      <c r="H18" s="1">
        <v>38364</v>
      </c>
      <c r="I18" t="s">
        <v>12</v>
      </c>
      <c r="J18" t="s">
        <v>10788</v>
      </c>
    </row>
    <row r="19" spans="1:10" x14ac:dyDescent="0.25">
      <c r="A19">
        <v>165031</v>
      </c>
      <c r="B19" t="s">
        <v>34</v>
      </c>
      <c r="C19" t="str">
        <f>"9780415176590"</f>
        <v>9780415176590</v>
      </c>
      <c r="D19" t="str">
        <f>"9780203000441"</f>
        <v>9780203000441</v>
      </c>
      <c r="E19" t="s">
        <v>15</v>
      </c>
      <c r="F19" t="s">
        <v>16</v>
      </c>
      <c r="G19" s="1">
        <v>37651</v>
      </c>
      <c r="H19" s="1">
        <v>42018</v>
      </c>
      <c r="I19" t="s">
        <v>12</v>
      </c>
      <c r="J19" t="s">
        <v>10789</v>
      </c>
    </row>
    <row r="20" spans="1:10" x14ac:dyDescent="0.25">
      <c r="A20">
        <v>165039</v>
      </c>
      <c r="B20" t="s">
        <v>35</v>
      </c>
      <c r="C20" t="str">
        <f>"9780415175364"</f>
        <v>9780415175364</v>
      </c>
      <c r="D20" t="str">
        <f>"9780203001417"</f>
        <v>9780203001417</v>
      </c>
      <c r="E20" t="s">
        <v>15</v>
      </c>
      <c r="F20" t="s">
        <v>16</v>
      </c>
      <c r="G20" s="1">
        <v>37652</v>
      </c>
      <c r="H20" s="1">
        <v>38169</v>
      </c>
      <c r="I20" t="s">
        <v>12</v>
      </c>
      <c r="J20" t="s">
        <v>10790</v>
      </c>
    </row>
    <row r="21" spans="1:10" x14ac:dyDescent="0.25">
      <c r="A21">
        <v>165065</v>
      </c>
      <c r="B21" t="s">
        <v>36</v>
      </c>
      <c r="C21" t="str">
        <f>"9780415194617"</f>
        <v>9780415194617</v>
      </c>
      <c r="D21" t="str">
        <f>"9780203005873"</f>
        <v>9780203005873</v>
      </c>
      <c r="E21" t="s">
        <v>16</v>
      </c>
      <c r="F21" t="s">
        <v>16</v>
      </c>
      <c r="G21" s="1">
        <v>37260</v>
      </c>
      <c r="H21" s="1">
        <v>38491</v>
      </c>
      <c r="I21" t="s">
        <v>12</v>
      </c>
      <c r="J21" t="s">
        <v>10791</v>
      </c>
    </row>
    <row r="22" spans="1:10" x14ac:dyDescent="0.25">
      <c r="A22">
        <v>165104</v>
      </c>
      <c r="B22" t="s">
        <v>37</v>
      </c>
      <c r="C22" t="str">
        <f>"9780415170444"</f>
        <v>9780415170444</v>
      </c>
      <c r="D22" t="str">
        <f>"9780203003183"</f>
        <v>9780203003183</v>
      </c>
      <c r="E22" t="s">
        <v>15</v>
      </c>
      <c r="F22" t="s">
        <v>16</v>
      </c>
      <c r="G22" s="1">
        <v>35922</v>
      </c>
      <c r="H22" s="1">
        <v>38893</v>
      </c>
      <c r="I22" t="s">
        <v>12</v>
      </c>
      <c r="J22" t="s">
        <v>10792</v>
      </c>
    </row>
    <row r="23" spans="1:10" x14ac:dyDescent="0.25">
      <c r="A23">
        <v>165114</v>
      </c>
      <c r="B23" t="s">
        <v>38</v>
      </c>
      <c r="C23" t="str">
        <f>"9780415021975"</f>
        <v>9780415021975</v>
      </c>
      <c r="D23" t="str">
        <f>"9780203007044"</f>
        <v>9780203007044</v>
      </c>
      <c r="E23" t="s">
        <v>15</v>
      </c>
      <c r="F23" t="s">
        <v>16</v>
      </c>
      <c r="G23" s="1">
        <v>36069</v>
      </c>
      <c r="H23" s="1">
        <v>38169</v>
      </c>
      <c r="I23" t="s">
        <v>12</v>
      </c>
      <c r="J23" t="s">
        <v>10793</v>
      </c>
    </row>
    <row r="24" spans="1:10" x14ac:dyDescent="0.25">
      <c r="A24">
        <v>165194</v>
      </c>
      <c r="B24" t="s">
        <v>39</v>
      </c>
      <c r="C24" t="str">
        <f>"9780415201780"</f>
        <v>9780415201780</v>
      </c>
      <c r="D24" t="str">
        <f>"9780203019115"</f>
        <v>9780203019115</v>
      </c>
      <c r="E24" t="s">
        <v>16</v>
      </c>
      <c r="F24" t="s">
        <v>16</v>
      </c>
      <c r="G24" s="1">
        <v>36412</v>
      </c>
      <c r="H24" s="1">
        <v>38169</v>
      </c>
      <c r="I24" t="s">
        <v>12</v>
      </c>
      <c r="J24" t="s">
        <v>10794</v>
      </c>
    </row>
    <row r="25" spans="1:10" x14ac:dyDescent="0.25">
      <c r="A25">
        <v>165217</v>
      </c>
      <c r="B25" t="s">
        <v>40</v>
      </c>
      <c r="C25" t="str">
        <f>"9781857283884"</f>
        <v>9781857283884</v>
      </c>
      <c r="D25" t="str">
        <f>"9780203015971"</f>
        <v>9780203015971</v>
      </c>
      <c r="E25" t="s">
        <v>15</v>
      </c>
      <c r="F25" t="s">
        <v>16</v>
      </c>
      <c r="G25" s="1">
        <v>36116</v>
      </c>
      <c r="H25" s="1">
        <v>38491</v>
      </c>
      <c r="I25" t="s">
        <v>12</v>
      </c>
      <c r="J25" t="s">
        <v>10795</v>
      </c>
    </row>
    <row r="26" spans="1:10" x14ac:dyDescent="0.25">
      <c r="A26">
        <v>165230</v>
      </c>
      <c r="B26" t="s">
        <v>41</v>
      </c>
      <c r="C26" t="str">
        <f>"9780415181488"</f>
        <v>9780415181488</v>
      </c>
      <c r="D26" t="str">
        <f>"9780203006962"</f>
        <v>9780203006962</v>
      </c>
      <c r="E26" t="s">
        <v>15</v>
      </c>
      <c r="F26" t="s">
        <v>16</v>
      </c>
      <c r="G26" s="1">
        <v>36389</v>
      </c>
      <c r="H26" s="1">
        <v>38169</v>
      </c>
      <c r="I26" t="s">
        <v>12</v>
      </c>
      <c r="J26" t="s">
        <v>10796</v>
      </c>
    </row>
    <row r="27" spans="1:10" x14ac:dyDescent="0.25">
      <c r="A27">
        <v>165253</v>
      </c>
      <c r="B27" t="s">
        <v>42</v>
      </c>
      <c r="C27" t="str">
        <f>"9780415163910"</f>
        <v>9780415163910</v>
      </c>
      <c r="D27" t="str">
        <f>"9780203002278"</f>
        <v>9780203002278</v>
      </c>
      <c r="E27" t="s">
        <v>15</v>
      </c>
      <c r="F27" t="s">
        <v>16</v>
      </c>
      <c r="G27" s="1">
        <v>35923</v>
      </c>
      <c r="H27" s="1">
        <v>38169</v>
      </c>
      <c r="I27" t="s">
        <v>12</v>
      </c>
      <c r="J27" t="s">
        <v>10797</v>
      </c>
    </row>
    <row r="28" spans="1:10" x14ac:dyDescent="0.25">
      <c r="A28">
        <v>165259</v>
      </c>
      <c r="B28" t="s">
        <v>43</v>
      </c>
      <c r="C28" t="str">
        <f>"9780415046473"</f>
        <v>9780415046473</v>
      </c>
      <c r="D28" t="str">
        <f>"9780203019573"</f>
        <v>9780203019573</v>
      </c>
      <c r="E28" t="s">
        <v>15</v>
      </c>
      <c r="F28" t="s">
        <v>16</v>
      </c>
      <c r="G28" s="1">
        <v>35823</v>
      </c>
      <c r="H28" s="1">
        <v>38565</v>
      </c>
      <c r="I28" t="s">
        <v>12</v>
      </c>
      <c r="J28" t="s">
        <v>10798</v>
      </c>
    </row>
    <row r="29" spans="1:10" x14ac:dyDescent="0.25">
      <c r="A29">
        <v>165278</v>
      </c>
      <c r="B29" t="s">
        <v>44</v>
      </c>
      <c r="C29" t="str">
        <f>"9780415127523"</f>
        <v>9780415127523</v>
      </c>
      <c r="D29" t="str">
        <f>"9780203018507"</f>
        <v>9780203018507</v>
      </c>
      <c r="E29" t="s">
        <v>15</v>
      </c>
      <c r="F29" t="s">
        <v>16</v>
      </c>
      <c r="G29" s="1">
        <v>35951</v>
      </c>
      <c r="H29" s="1">
        <v>38169</v>
      </c>
      <c r="I29" t="s">
        <v>12</v>
      </c>
      <c r="J29" t="s">
        <v>10799</v>
      </c>
    </row>
    <row r="30" spans="1:10" x14ac:dyDescent="0.25">
      <c r="A30">
        <v>165315</v>
      </c>
      <c r="B30" t="s">
        <v>45</v>
      </c>
      <c r="C30" t="str">
        <f>"9780415183871"</f>
        <v>9780415183871</v>
      </c>
      <c r="D30" t="str">
        <f>"9780203019849"</f>
        <v>9780203019849</v>
      </c>
      <c r="E30" t="s">
        <v>15</v>
      </c>
      <c r="F30" t="s">
        <v>16</v>
      </c>
      <c r="G30" s="1">
        <v>36339</v>
      </c>
      <c r="H30" s="1">
        <v>38169</v>
      </c>
      <c r="I30" t="s">
        <v>12</v>
      </c>
      <c r="J30" t="s">
        <v>10800</v>
      </c>
    </row>
    <row r="31" spans="1:10" x14ac:dyDescent="0.25">
      <c r="A31">
        <v>165321</v>
      </c>
      <c r="B31" t="s">
        <v>46</v>
      </c>
      <c r="C31" t="str">
        <f>"9780415173032"</f>
        <v>9780415173032</v>
      </c>
      <c r="D31" t="str">
        <f>"9780203026076"</f>
        <v>9780203026076</v>
      </c>
      <c r="E31" t="s">
        <v>15</v>
      </c>
      <c r="F31" t="s">
        <v>16</v>
      </c>
      <c r="G31" s="1">
        <v>36389</v>
      </c>
      <c r="H31" s="1">
        <v>38486</v>
      </c>
      <c r="I31" t="s">
        <v>12</v>
      </c>
      <c r="J31" t="s">
        <v>10801</v>
      </c>
    </row>
    <row r="32" spans="1:10" x14ac:dyDescent="0.25">
      <c r="A32">
        <v>165334</v>
      </c>
      <c r="B32" t="s">
        <v>47</v>
      </c>
      <c r="C32" t="str">
        <f>"9780415152600"</f>
        <v>9780415152600</v>
      </c>
      <c r="D32" t="str">
        <f>"9780203021576"</f>
        <v>9780203021576</v>
      </c>
      <c r="E32" t="s">
        <v>15</v>
      </c>
      <c r="F32" t="s">
        <v>16</v>
      </c>
      <c r="G32" s="1">
        <v>36453</v>
      </c>
      <c r="H32" s="1">
        <v>38169</v>
      </c>
      <c r="I32" t="s">
        <v>12</v>
      </c>
      <c r="J32" t="s">
        <v>10802</v>
      </c>
    </row>
    <row r="33" spans="1:10" x14ac:dyDescent="0.25">
      <c r="A33">
        <v>165372</v>
      </c>
      <c r="B33" t="s">
        <v>48</v>
      </c>
      <c r="C33" t="str">
        <f>"9780415129084"</f>
        <v>9780415129084</v>
      </c>
      <c r="D33" t="str">
        <f>"9780203025451"</f>
        <v>9780203025451</v>
      </c>
      <c r="E33" t="s">
        <v>15</v>
      </c>
      <c r="F33" t="s">
        <v>16</v>
      </c>
      <c r="G33" s="1">
        <v>34964</v>
      </c>
      <c r="H33" s="1">
        <v>38169</v>
      </c>
      <c r="I33" t="s">
        <v>12</v>
      </c>
      <c r="J33" t="s">
        <v>10803</v>
      </c>
    </row>
    <row r="34" spans="1:10" x14ac:dyDescent="0.25">
      <c r="A34">
        <v>165446</v>
      </c>
      <c r="B34" t="s">
        <v>49</v>
      </c>
      <c r="C34" t="str">
        <f>"9780415162494"</f>
        <v>9780415162494</v>
      </c>
      <c r="D34" t="str">
        <f>"9780203016558"</f>
        <v>9780203016558</v>
      </c>
      <c r="E34" t="s">
        <v>15</v>
      </c>
      <c r="F34" t="s">
        <v>16</v>
      </c>
      <c r="G34" s="1">
        <v>36475</v>
      </c>
      <c r="H34" s="1">
        <v>38169</v>
      </c>
      <c r="I34" t="s">
        <v>12</v>
      </c>
      <c r="J34" t="s">
        <v>10804</v>
      </c>
    </row>
    <row r="35" spans="1:10" x14ac:dyDescent="0.25">
      <c r="A35">
        <v>165503</v>
      </c>
      <c r="B35" t="s">
        <v>50</v>
      </c>
      <c r="C35" t="str">
        <f>"9780415149112"</f>
        <v>9780415149112</v>
      </c>
      <c r="D35" t="str">
        <f>"9780203180372"</f>
        <v>9780203180372</v>
      </c>
      <c r="E35" t="s">
        <v>15</v>
      </c>
      <c r="F35" t="s">
        <v>16</v>
      </c>
      <c r="G35" s="1">
        <v>35404</v>
      </c>
      <c r="H35" s="1">
        <v>38169</v>
      </c>
      <c r="I35" t="s">
        <v>12</v>
      </c>
      <c r="J35" t="s">
        <v>10805</v>
      </c>
    </row>
    <row r="36" spans="1:10" x14ac:dyDescent="0.25">
      <c r="A36">
        <v>165517</v>
      </c>
      <c r="B36" t="s">
        <v>51</v>
      </c>
      <c r="C36" t="str">
        <f>"9780415222679"</f>
        <v>9780415222679</v>
      </c>
      <c r="D36" t="str">
        <f>"9780203165669"</f>
        <v>9780203165669</v>
      </c>
      <c r="E36" t="s">
        <v>15</v>
      </c>
      <c r="F36" t="s">
        <v>16</v>
      </c>
      <c r="G36" s="1">
        <v>36523</v>
      </c>
      <c r="H36" s="1">
        <v>38169</v>
      </c>
      <c r="I36" t="s">
        <v>12</v>
      </c>
      <c r="J36" t="s">
        <v>10806</v>
      </c>
    </row>
    <row r="37" spans="1:10" x14ac:dyDescent="0.25">
      <c r="A37">
        <v>165527</v>
      </c>
      <c r="B37" t="s">
        <v>52</v>
      </c>
      <c r="C37" t="str">
        <f>"9780415026758"</f>
        <v>9780415026758</v>
      </c>
      <c r="D37" t="str">
        <f>"9780203106358"</f>
        <v>9780203106358</v>
      </c>
      <c r="E37" t="s">
        <v>16</v>
      </c>
      <c r="F37" t="s">
        <v>16</v>
      </c>
      <c r="G37" s="1">
        <v>33633</v>
      </c>
      <c r="H37" s="1">
        <v>39175</v>
      </c>
      <c r="I37" t="s">
        <v>12</v>
      </c>
      <c r="J37" t="s">
        <v>10807</v>
      </c>
    </row>
    <row r="38" spans="1:10" x14ac:dyDescent="0.25">
      <c r="A38">
        <v>165533</v>
      </c>
      <c r="B38" t="s">
        <v>53</v>
      </c>
      <c r="C38" t="str">
        <f>"9780700716067"</f>
        <v>9780700716067</v>
      </c>
      <c r="D38" t="str">
        <f>"9780203417508"</f>
        <v>9780203417508</v>
      </c>
      <c r="E38" t="s">
        <v>15</v>
      </c>
      <c r="F38" t="s">
        <v>16</v>
      </c>
      <c r="G38" s="1">
        <v>37722</v>
      </c>
      <c r="H38" s="1">
        <v>38169</v>
      </c>
      <c r="I38" t="s">
        <v>12</v>
      </c>
      <c r="J38" t="s">
        <v>10808</v>
      </c>
    </row>
    <row r="39" spans="1:10" x14ac:dyDescent="0.25">
      <c r="A39">
        <v>165536</v>
      </c>
      <c r="B39" t="s">
        <v>54</v>
      </c>
      <c r="C39" t="str">
        <f>"9780415115780"</f>
        <v>9780415115780</v>
      </c>
      <c r="D39" t="str">
        <f>"9780203137161"</f>
        <v>9780203137161</v>
      </c>
      <c r="E39" t="s">
        <v>15</v>
      </c>
      <c r="F39" t="s">
        <v>55</v>
      </c>
      <c r="G39" s="1">
        <v>35209</v>
      </c>
      <c r="H39" s="1">
        <v>38169</v>
      </c>
      <c r="I39" t="s">
        <v>12</v>
      </c>
      <c r="J39" t="s">
        <v>10809</v>
      </c>
    </row>
    <row r="40" spans="1:10" x14ac:dyDescent="0.25">
      <c r="A40">
        <v>165553</v>
      </c>
      <c r="B40" t="s">
        <v>56</v>
      </c>
      <c r="C40" t="str">
        <f>"9780415158145"</f>
        <v>9780415158145</v>
      </c>
      <c r="D40" t="str">
        <f>"9780203130414"</f>
        <v>9780203130414</v>
      </c>
      <c r="E40" t="s">
        <v>15</v>
      </c>
      <c r="F40" t="s">
        <v>16</v>
      </c>
      <c r="G40" s="1">
        <v>35921</v>
      </c>
      <c r="H40" s="1">
        <v>38169</v>
      </c>
      <c r="I40" t="s">
        <v>12</v>
      </c>
      <c r="J40" t="s">
        <v>10810</v>
      </c>
    </row>
    <row r="41" spans="1:10" x14ac:dyDescent="0.25">
      <c r="A41">
        <v>165572</v>
      </c>
      <c r="B41" t="s">
        <v>57</v>
      </c>
      <c r="C41" t="str">
        <f>"9780415186582"</f>
        <v>9780415186582</v>
      </c>
      <c r="D41" t="str">
        <f>"9780203133415"</f>
        <v>9780203133415</v>
      </c>
      <c r="E41" t="s">
        <v>15</v>
      </c>
      <c r="F41" t="s">
        <v>16</v>
      </c>
      <c r="G41" s="1">
        <v>36434</v>
      </c>
      <c r="H41" s="1">
        <v>38169</v>
      </c>
      <c r="I41" t="s">
        <v>12</v>
      </c>
      <c r="J41" t="s">
        <v>10811</v>
      </c>
    </row>
    <row r="42" spans="1:10" x14ac:dyDescent="0.25">
      <c r="A42">
        <v>165587</v>
      </c>
      <c r="B42" t="s">
        <v>58</v>
      </c>
      <c r="C42" t="str">
        <f>"9780415238908"</f>
        <v>9780415238908</v>
      </c>
      <c r="D42" t="str">
        <f>"9780203125380"</f>
        <v>9780203125380</v>
      </c>
      <c r="E42" t="s">
        <v>15</v>
      </c>
      <c r="F42" t="s">
        <v>16</v>
      </c>
      <c r="G42" s="1">
        <v>36768</v>
      </c>
      <c r="H42" s="1">
        <v>38778</v>
      </c>
      <c r="I42" t="s">
        <v>12</v>
      </c>
      <c r="J42" t="s">
        <v>10812</v>
      </c>
    </row>
    <row r="43" spans="1:10" x14ac:dyDescent="0.25">
      <c r="A43">
        <v>165590</v>
      </c>
      <c r="B43" t="s">
        <v>59</v>
      </c>
      <c r="C43" t="str">
        <f>"9780415212991"</f>
        <v>9780415212991</v>
      </c>
      <c r="D43" t="str">
        <f>"9780203133200"</f>
        <v>9780203133200</v>
      </c>
      <c r="E43" t="s">
        <v>15</v>
      </c>
      <c r="F43" t="s">
        <v>16</v>
      </c>
      <c r="G43" s="1">
        <v>36819</v>
      </c>
      <c r="H43" s="1">
        <v>38169</v>
      </c>
      <c r="I43" t="s">
        <v>12</v>
      </c>
      <c r="J43" t="s">
        <v>10813</v>
      </c>
    </row>
    <row r="44" spans="1:10" x14ac:dyDescent="0.25">
      <c r="A44">
        <v>165593</v>
      </c>
      <c r="B44" t="s">
        <v>60</v>
      </c>
      <c r="C44" t="str">
        <f>"9780415217040"</f>
        <v>9780415217040</v>
      </c>
      <c r="D44" t="str">
        <f>"9780203136089"</f>
        <v>9780203136089</v>
      </c>
      <c r="E44" t="s">
        <v>15</v>
      </c>
      <c r="F44" t="s">
        <v>16</v>
      </c>
      <c r="G44" s="1">
        <v>36819</v>
      </c>
      <c r="H44" s="1">
        <v>38169</v>
      </c>
      <c r="I44" t="s">
        <v>12</v>
      </c>
      <c r="J44" t="s">
        <v>10814</v>
      </c>
    </row>
    <row r="45" spans="1:10" x14ac:dyDescent="0.25">
      <c r="A45">
        <v>165602</v>
      </c>
      <c r="B45" t="s">
        <v>61</v>
      </c>
      <c r="C45" t="str">
        <f>"9780415108706"</f>
        <v>9780415108706</v>
      </c>
      <c r="D45" t="str">
        <f>"9780203109113"</f>
        <v>9780203109113</v>
      </c>
      <c r="E45" t="s">
        <v>15</v>
      </c>
      <c r="F45" t="s">
        <v>16</v>
      </c>
      <c r="G45" s="1">
        <v>35151</v>
      </c>
      <c r="H45" s="1">
        <v>38643</v>
      </c>
      <c r="I45" t="s">
        <v>12</v>
      </c>
      <c r="J45" t="s">
        <v>10815</v>
      </c>
    </row>
    <row r="46" spans="1:10" x14ac:dyDescent="0.25">
      <c r="A46">
        <v>165620</v>
      </c>
      <c r="B46" t="s">
        <v>21</v>
      </c>
      <c r="C46" t="str">
        <f>"9780415169141"</f>
        <v>9780415169141</v>
      </c>
      <c r="D46" t="str">
        <f>"9780203169438"</f>
        <v>9780203169438</v>
      </c>
      <c r="E46" t="s">
        <v>15</v>
      </c>
      <c r="F46" t="s">
        <v>16</v>
      </c>
      <c r="G46" s="1">
        <v>36189</v>
      </c>
      <c r="H46" s="1">
        <v>42309</v>
      </c>
      <c r="I46" t="s">
        <v>12</v>
      </c>
      <c r="J46" t="s">
        <v>10816</v>
      </c>
    </row>
    <row r="47" spans="1:10" x14ac:dyDescent="0.25">
      <c r="A47">
        <v>165638</v>
      </c>
      <c r="B47" t="s">
        <v>62</v>
      </c>
      <c r="C47" t="str">
        <f>"9780415238687"</f>
        <v>9780415238687</v>
      </c>
      <c r="D47" t="str">
        <f>"9780203132074"</f>
        <v>9780203132074</v>
      </c>
      <c r="E47" t="s">
        <v>15</v>
      </c>
      <c r="F47" t="s">
        <v>16</v>
      </c>
      <c r="G47" s="1">
        <v>36836</v>
      </c>
      <c r="H47" s="1">
        <v>38169</v>
      </c>
      <c r="I47" t="s">
        <v>12</v>
      </c>
      <c r="J47" t="s">
        <v>10817</v>
      </c>
    </row>
    <row r="48" spans="1:10" x14ac:dyDescent="0.25">
      <c r="A48">
        <v>165652</v>
      </c>
      <c r="B48" t="s">
        <v>63</v>
      </c>
      <c r="C48" t="str">
        <f>"9780415226820"</f>
        <v>9780415226820</v>
      </c>
      <c r="D48" t="str">
        <f>"9780203136522"</f>
        <v>9780203136522</v>
      </c>
      <c r="E48" t="s">
        <v>15</v>
      </c>
      <c r="F48" t="s">
        <v>16</v>
      </c>
      <c r="G48" s="1">
        <v>36920</v>
      </c>
      <c r="H48" s="1">
        <v>38169</v>
      </c>
      <c r="I48" t="s">
        <v>12</v>
      </c>
      <c r="J48" t="s">
        <v>10818</v>
      </c>
    </row>
    <row r="49" spans="1:10" x14ac:dyDescent="0.25">
      <c r="A49">
        <v>165681</v>
      </c>
      <c r="B49" t="s">
        <v>64</v>
      </c>
      <c r="C49" t="str">
        <f>"9780415104043"</f>
        <v>9780415104043</v>
      </c>
      <c r="D49" t="str">
        <f>"9780203133026"</f>
        <v>9780203133026</v>
      </c>
      <c r="E49" t="s">
        <v>15</v>
      </c>
      <c r="F49" t="s">
        <v>16</v>
      </c>
      <c r="G49" s="1">
        <v>34830</v>
      </c>
      <c r="H49" s="1">
        <v>38948</v>
      </c>
      <c r="I49" t="s">
        <v>12</v>
      </c>
      <c r="J49" t="s">
        <v>10819</v>
      </c>
    </row>
    <row r="50" spans="1:10" x14ac:dyDescent="0.25">
      <c r="A50">
        <v>165687</v>
      </c>
      <c r="B50" t="s">
        <v>65</v>
      </c>
      <c r="C50" t="str">
        <f>"9780415224796"</f>
        <v>9780415224796</v>
      </c>
      <c r="D50" t="str">
        <f>"9780203130629"</f>
        <v>9780203130629</v>
      </c>
      <c r="E50" t="s">
        <v>15</v>
      </c>
      <c r="F50" t="s">
        <v>16</v>
      </c>
      <c r="G50" s="1">
        <v>36683</v>
      </c>
      <c r="H50" s="1">
        <v>38169</v>
      </c>
      <c r="I50" t="s">
        <v>12</v>
      </c>
      <c r="J50" t="s">
        <v>10820</v>
      </c>
    </row>
    <row r="51" spans="1:10" x14ac:dyDescent="0.25">
      <c r="A51">
        <v>165688</v>
      </c>
      <c r="B51" t="s">
        <v>66</v>
      </c>
      <c r="C51" t="str">
        <f>"9780415230377"</f>
        <v>9780415230377</v>
      </c>
      <c r="D51" t="str">
        <f>"9780203137291"</f>
        <v>9780203137291</v>
      </c>
      <c r="E51" t="s">
        <v>15</v>
      </c>
      <c r="F51" t="s">
        <v>16</v>
      </c>
      <c r="G51" s="1">
        <v>36860</v>
      </c>
      <c r="H51" s="1">
        <v>38486</v>
      </c>
      <c r="I51" t="s">
        <v>12</v>
      </c>
      <c r="J51" t="s">
        <v>10821</v>
      </c>
    </row>
    <row r="52" spans="1:10" x14ac:dyDescent="0.25">
      <c r="A52">
        <v>165707</v>
      </c>
      <c r="B52" t="s">
        <v>67</v>
      </c>
      <c r="C52" t="str">
        <f>"9780415072885"</f>
        <v>9780415072885</v>
      </c>
      <c r="D52" t="str">
        <f>"9780203167816"</f>
        <v>9780203167816</v>
      </c>
      <c r="E52" t="s">
        <v>15</v>
      </c>
      <c r="F52" t="s">
        <v>16</v>
      </c>
      <c r="G52" s="1">
        <v>33585</v>
      </c>
      <c r="H52" s="1">
        <v>38169</v>
      </c>
      <c r="I52" t="s">
        <v>12</v>
      </c>
      <c r="J52" t="s">
        <v>10822</v>
      </c>
    </row>
    <row r="53" spans="1:10" x14ac:dyDescent="0.25">
      <c r="A53">
        <v>165709</v>
      </c>
      <c r="B53" t="s">
        <v>68</v>
      </c>
      <c r="C53" t="str">
        <f>"9780415002288"</f>
        <v>9780415002288</v>
      </c>
      <c r="D53" t="str">
        <f>"9780203038772"</f>
        <v>9780203038772</v>
      </c>
      <c r="E53" t="s">
        <v>16</v>
      </c>
      <c r="F53" t="s">
        <v>16</v>
      </c>
      <c r="G53" s="1">
        <v>43624</v>
      </c>
      <c r="H53" s="1">
        <v>41462</v>
      </c>
      <c r="I53" t="s">
        <v>12</v>
      </c>
      <c r="J53" t="s">
        <v>10823</v>
      </c>
    </row>
    <row r="54" spans="1:10" x14ac:dyDescent="0.25">
      <c r="A54">
        <v>165712</v>
      </c>
      <c r="B54" t="s">
        <v>69</v>
      </c>
      <c r="C54" t="str">
        <f>"9780415085083"</f>
        <v>9780415085083</v>
      </c>
      <c r="D54" t="str">
        <f>"9780203024874"</f>
        <v>9780203024874</v>
      </c>
      <c r="E54" t="s">
        <v>15</v>
      </c>
      <c r="F54" t="s">
        <v>16</v>
      </c>
      <c r="G54" s="1">
        <v>36203</v>
      </c>
      <c r="H54" s="1">
        <v>38455</v>
      </c>
      <c r="I54" t="s">
        <v>12</v>
      </c>
      <c r="J54" t="s">
        <v>10824</v>
      </c>
    </row>
    <row r="55" spans="1:10" x14ac:dyDescent="0.25">
      <c r="A55">
        <v>165723</v>
      </c>
      <c r="B55" t="s">
        <v>70</v>
      </c>
      <c r="C55" t="str">
        <f>"9780415111591"</f>
        <v>9780415111591</v>
      </c>
      <c r="D55" t="str">
        <f>"9780203135136"</f>
        <v>9780203135136</v>
      </c>
      <c r="E55" t="s">
        <v>15</v>
      </c>
      <c r="F55" t="s">
        <v>16</v>
      </c>
      <c r="G55" s="1">
        <v>35537</v>
      </c>
      <c r="H55" s="1">
        <v>38169</v>
      </c>
      <c r="I55" t="s">
        <v>12</v>
      </c>
      <c r="J55" t="s">
        <v>10825</v>
      </c>
    </row>
    <row r="56" spans="1:10" x14ac:dyDescent="0.25">
      <c r="A56">
        <v>165734</v>
      </c>
      <c r="B56" t="s">
        <v>71</v>
      </c>
      <c r="C56" t="str">
        <f>"9780415030908"</f>
        <v>9780415030908</v>
      </c>
      <c r="D56" t="str">
        <f>"9780203135143"</f>
        <v>9780203135143</v>
      </c>
      <c r="E56" t="s">
        <v>15</v>
      </c>
      <c r="F56" t="s">
        <v>16</v>
      </c>
      <c r="G56" s="1">
        <v>33774</v>
      </c>
      <c r="H56" s="1">
        <v>41052</v>
      </c>
      <c r="I56" t="s">
        <v>12</v>
      </c>
      <c r="J56" t="s">
        <v>10826</v>
      </c>
    </row>
    <row r="57" spans="1:10" x14ac:dyDescent="0.25">
      <c r="A57">
        <v>165754</v>
      </c>
      <c r="B57" t="s">
        <v>72</v>
      </c>
      <c r="C57" t="str">
        <f>"9780412154300"</f>
        <v>9780412154300</v>
      </c>
      <c r="D57" t="str">
        <f>"9780203132128"</f>
        <v>9780203132128</v>
      </c>
      <c r="E57" t="s">
        <v>15</v>
      </c>
      <c r="F57" t="s">
        <v>16</v>
      </c>
      <c r="G57" s="1">
        <v>38950</v>
      </c>
      <c r="H57" s="1">
        <v>41052</v>
      </c>
      <c r="I57" t="s">
        <v>12</v>
      </c>
      <c r="J57" t="s">
        <v>10827</v>
      </c>
    </row>
    <row r="58" spans="1:10" x14ac:dyDescent="0.25">
      <c r="A58">
        <v>165767</v>
      </c>
      <c r="B58" t="s">
        <v>73</v>
      </c>
      <c r="C58" t="str">
        <f>"9780415196475"</f>
        <v>9780415196475</v>
      </c>
      <c r="D58" t="str">
        <f>"9780203131169"</f>
        <v>9780203131169</v>
      </c>
      <c r="E58" t="s">
        <v>15</v>
      </c>
      <c r="F58" t="s">
        <v>16</v>
      </c>
      <c r="G58" s="1">
        <v>36664</v>
      </c>
      <c r="H58" s="1">
        <v>38169</v>
      </c>
      <c r="I58" t="s">
        <v>12</v>
      </c>
      <c r="J58" t="s">
        <v>10828</v>
      </c>
    </row>
    <row r="59" spans="1:10" x14ac:dyDescent="0.25">
      <c r="A59">
        <v>165770</v>
      </c>
      <c r="B59" t="s">
        <v>74</v>
      </c>
      <c r="C59" t="str">
        <f>"9780415238298"</f>
        <v>9780415238298</v>
      </c>
      <c r="D59" t="str">
        <f>"9780203129814"</f>
        <v>9780203129814</v>
      </c>
      <c r="E59" t="s">
        <v>15</v>
      </c>
      <c r="F59" t="s">
        <v>16</v>
      </c>
      <c r="G59" s="1">
        <v>36950</v>
      </c>
      <c r="H59" s="1">
        <v>38169</v>
      </c>
      <c r="I59" t="s">
        <v>12</v>
      </c>
      <c r="J59" t="s">
        <v>10829</v>
      </c>
    </row>
    <row r="60" spans="1:10" x14ac:dyDescent="0.25">
      <c r="A60">
        <v>165860</v>
      </c>
      <c r="B60" t="s">
        <v>75</v>
      </c>
      <c r="C60" t="str">
        <f>"9780415059091"</f>
        <v>9780415059091</v>
      </c>
      <c r="D60" t="str">
        <f>"9780203136447"</f>
        <v>9780203136447</v>
      </c>
      <c r="E60" t="s">
        <v>15</v>
      </c>
      <c r="F60" t="s">
        <v>16</v>
      </c>
      <c r="G60" s="1">
        <v>31510</v>
      </c>
      <c r="H60" s="1">
        <v>41134</v>
      </c>
      <c r="I60" t="s">
        <v>12</v>
      </c>
      <c r="J60" t="s">
        <v>10830</v>
      </c>
    </row>
    <row r="61" spans="1:10" x14ac:dyDescent="0.25">
      <c r="A61">
        <v>165901</v>
      </c>
      <c r="B61" t="s">
        <v>76</v>
      </c>
      <c r="C61" t="str">
        <f>"9780415214247"</f>
        <v>9780415214247</v>
      </c>
      <c r="D61" t="str">
        <f>"9780203137444"</f>
        <v>9780203137444</v>
      </c>
      <c r="E61" t="s">
        <v>16</v>
      </c>
      <c r="F61" t="s">
        <v>16</v>
      </c>
      <c r="G61" s="1">
        <v>36608</v>
      </c>
      <c r="H61" s="1">
        <v>38169</v>
      </c>
      <c r="I61" t="s">
        <v>12</v>
      </c>
      <c r="J61" t="s">
        <v>10831</v>
      </c>
    </row>
    <row r="62" spans="1:10" x14ac:dyDescent="0.25">
      <c r="A62">
        <v>165903</v>
      </c>
      <c r="B62" t="s">
        <v>77</v>
      </c>
      <c r="C62" t="str">
        <f>"9780415229647"</f>
        <v>9780415229647</v>
      </c>
      <c r="D62" t="str">
        <f>"9780203138700"</f>
        <v>9780203138700</v>
      </c>
      <c r="E62" t="s">
        <v>15</v>
      </c>
      <c r="F62" t="s">
        <v>16</v>
      </c>
      <c r="G62" s="1">
        <v>36979</v>
      </c>
      <c r="H62" s="1">
        <v>38169</v>
      </c>
      <c r="I62" t="s">
        <v>12</v>
      </c>
      <c r="J62" t="s">
        <v>10832</v>
      </c>
    </row>
    <row r="63" spans="1:10" x14ac:dyDescent="0.25">
      <c r="A63">
        <v>165934</v>
      </c>
      <c r="B63" t="s">
        <v>78</v>
      </c>
      <c r="C63" t="str">
        <f>"9780415050784"</f>
        <v>9780415050784</v>
      </c>
      <c r="D63" t="str">
        <f>"9780203137277"</f>
        <v>9780203137277</v>
      </c>
      <c r="E63" t="s">
        <v>15</v>
      </c>
      <c r="F63" t="s">
        <v>16</v>
      </c>
      <c r="G63" s="1">
        <v>31002</v>
      </c>
      <c r="H63" s="1">
        <v>38169</v>
      </c>
      <c r="I63" t="s">
        <v>12</v>
      </c>
      <c r="J63" t="s">
        <v>10833</v>
      </c>
    </row>
    <row r="64" spans="1:10" x14ac:dyDescent="0.25">
      <c r="A64">
        <v>165951</v>
      </c>
      <c r="B64" t="s">
        <v>79</v>
      </c>
      <c r="C64" t="str">
        <f>"9780415247771"</f>
        <v>9780415247771</v>
      </c>
      <c r="D64" t="str">
        <f>"9780203137123"</f>
        <v>9780203137123</v>
      </c>
      <c r="E64" t="s">
        <v>15</v>
      </c>
      <c r="F64" t="s">
        <v>16</v>
      </c>
      <c r="G64" s="1">
        <v>36881</v>
      </c>
      <c r="H64" s="1">
        <v>38169</v>
      </c>
      <c r="I64" t="s">
        <v>12</v>
      </c>
      <c r="J64" t="s">
        <v>10834</v>
      </c>
    </row>
    <row r="65" spans="1:10" x14ac:dyDescent="0.25">
      <c r="A65">
        <v>165973</v>
      </c>
      <c r="B65" t="s">
        <v>80</v>
      </c>
      <c r="C65" t="str">
        <f>"9780415240307"</f>
        <v>9780415240307</v>
      </c>
      <c r="D65" t="str">
        <f>"9780203158036"</f>
        <v>9780203158036</v>
      </c>
      <c r="E65" t="s">
        <v>15</v>
      </c>
      <c r="F65" t="s">
        <v>16</v>
      </c>
      <c r="G65" s="1">
        <v>36952</v>
      </c>
      <c r="H65" s="1">
        <v>38169</v>
      </c>
      <c r="I65" t="s">
        <v>12</v>
      </c>
      <c r="J65" t="s">
        <v>10835</v>
      </c>
    </row>
    <row r="66" spans="1:10" x14ac:dyDescent="0.25">
      <c r="A66">
        <v>165992</v>
      </c>
      <c r="B66" t="s">
        <v>81</v>
      </c>
      <c r="C66" t="str">
        <f>"9780415131308"</f>
        <v>9780415131308</v>
      </c>
      <c r="D66" t="str">
        <f>"9780203131923"</f>
        <v>9780203131923</v>
      </c>
      <c r="E66" t="s">
        <v>15</v>
      </c>
      <c r="F66" t="s">
        <v>16</v>
      </c>
      <c r="G66" s="1">
        <v>35279</v>
      </c>
      <c r="H66" s="1">
        <v>38491</v>
      </c>
      <c r="I66" t="s">
        <v>12</v>
      </c>
      <c r="J66" t="s">
        <v>10836</v>
      </c>
    </row>
    <row r="67" spans="1:10" x14ac:dyDescent="0.25">
      <c r="A67">
        <v>166003</v>
      </c>
      <c r="B67" t="s">
        <v>82</v>
      </c>
      <c r="C67" t="str">
        <f>"9780415039390"</f>
        <v>9780415039390</v>
      </c>
      <c r="D67" t="str">
        <f>"9780203135983"</f>
        <v>9780203135983</v>
      </c>
      <c r="E67" t="s">
        <v>15</v>
      </c>
      <c r="F67" t="s">
        <v>16</v>
      </c>
      <c r="G67" s="1">
        <v>30407</v>
      </c>
      <c r="H67" s="1">
        <v>41347</v>
      </c>
      <c r="I67" t="s">
        <v>12</v>
      </c>
      <c r="J67" t="s">
        <v>10837</v>
      </c>
    </row>
    <row r="68" spans="1:10" x14ac:dyDescent="0.25">
      <c r="A68">
        <v>166040</v>
      </c>
      <c r="B68" t="s">
        <v>83</v>
      </c>
      <c r="C68" t="str">
        <f>"9780415193214"</f>
        <v>9780415193214</v>
      </c>
      <c r="D68" t="str">
        <f>"9780203136119"</f>
        <v>9780203136119</v>
      </c>
      <c r="E68" t="s">
        <v>15</v>
      </c>
      <c r="F68" t="s">
        <v>16</v>
      </c>
      <c r="G68" s="1">
        <v>36818</v>
      </c>
      <c r="H68" s="1">
        <v>38491</v>
      </c>
      <c r="I68" t="s">
        <v>12</v>
      </c>
      <c r="J68" t="s">
        <v>10838</v>
      </c>
    </row>
    <row r="69" spans="1:10" x14ac:dyDescent="0.25">
      <c r="A69">
        <v>166041</v>
      </c>
      <c r="B69" t="s">
        <v>84</v>
      </c>
      <c r="C69" t="str">
        <f>"9780415214421"</f>
        <v>9780415214421</v>
      </c>
      <c r="D69" t="str">
        <f>"9780203136720"</f>
        <v>9780203136720</v>
      </c>
      <c r="E69" t="s">
        <v>15</v>
      </c>
      <c r="F69" t="s">
        <v>16</v>
      </c>
      <c r="G69" s="1">
        <v>36697</v>
      </c>
      <c r="H69" s="1">
        <v>38491</v>
      </c>
      <c r="I69" t="s">
        <v>12</v>
      </c>
      <c r="J69" t="s">
        <v>10839</v>
      </c>
    </row>
    <row r="70" spans="1:10" x14ac:dyDescent="0.25">
      <c r="A70">
        <v>166071</v>
      </c>
      <c r="B70" t="s">
        <v>85</v>
      </c>
      <c r="C70" t="str">
        <f>"9780415133296"</f>
        <v>9780415133296</v>
      </c>
      <c r="D70" t="str">
        <f>"9780203130988"</f>
        <v>9780203130988</v>
      </c>
      <c r="E70" t="s">
        <v>15</v>
      </c>
      <c r="F70" t="s">
        <v>16</v>
      </c>
      <c r="G70" s="1">
        <v>35585</v>
      </c>
      <c r="H70" s="1">
        <v>38491</v>
      </c>
      <c r="I70" t="s">
        <v>12</v>
      </c>
      <c r="J70" t="s">
        <v>10840</v>
      </c>
    </row>
    <row r="71" spans="1:10" x14ac:dyDescent="0.25">
      <c r="A71">
        <v>166079</v>
      </c>
      <c r="B71" t="s">
        <v>86</v>
      </c>
      <c r="C71" t="str">
        <f>"9780415153638"</f>
        <v>9780415153638</v>
      </c>
      <c r="D71" t="str">
        <f>"9780203135327"</f>
        <v>9780203135327</v>
      </c>
      <c r="E71" t="s">
        <v>15</v>
      </c>
      <c r="F71" t="s">
        <v>16</v>
      </c>
      <c r="G71" s="1">
        <v>35775</v>
      </c>
      <c r="H71" s="1">
        <v>38486</v>
      </c>
      <c r="I71" t="s">
        <v>12</v>
      </c>
      <c r="J71" t="s">
        <v>10841</v>
      </c>
    </row>
    <row r="72" spans="1:10" x14ac:dyDescent="0.25">
      <c r="A72">
        <v>166080</v>
      </c>
      <c r="B72" t="s">
        <v>87</v>
      </c>
      <c r="C72" t="str">
        <f>"9780415142854"</f>
        <v>9780415142854</v>
      </c>
      <c r="D72" t="str">
        <f>"9780203135785"</f>
        <v>9780203135785</v>
      </c>
      <c r="E72" t="s">
        <v>15</v>
      </c>
      <c r="F72" t="s">
        <v>16</v>
      </c>
      <c r="G72" s="1">
        <v>36167</v>
      </c>
      <c r="H72" s="1">
        <v>38490</v>
      </c>
      <c r="I72" t="s">
        <v>12</v>
      </c>
      <c r="J72" t="s">
        <v>10842</v>
      </c>
    </row>
    <row r="73" spans="1:10" x14ac:dyDescent="0.25">
      <c r="A73">
        <v>166088</v>
      </c>
      <c r="B73" t="s">
        <v>88</v>
      </c>
      <c r="C73" t="str">
        <f>"9780415158299"</f>
        <v>9780415158299</v>
      </c>
      <c r="D73" t="str">
        <f>"9780203132999"</f>
        <v>9780203132999</v>
      </c>
      <c r="E73" t="s">
        <v>15</v>
      </c>
      <c r="F73" t="s">
        <v>16</v>
      </c>
      <c r="G73" s="1">
        <v>35739</v>
      </c>
      <c r="H73" s="1">
        <v>38491</v>
      </c>
      <c r="I73" t="s">
        <v>12</v>
      </c>
      <c r="J73" t="s">
        <v>10843</v>
      </c>
    </row>
    <row r="74" spans="1:10" x14ac:dyDescent="0.25">
      <c r="A74">
        <v>166107</v>
      </c>
      <c r="B74" t="s">
        <v>89</v>
      </c>
      <c r="C74" t="str">
        <f>"9780415142830"</f>
        <v>9780415142830</v>
      </c>
      <c r="D74" t="str">
        <f>"9780203130681"</f>
        <v>9780203130681</v>
      </c>
      <c r="E74" t="s">
        <v>15</v>
      </c>
      <c r="F74" t="s">
        <v>16</v>
      </c>
      <c r="G74" s="1">
        <v>35425</v>
      </c>
      <c r="H74" s="1">
        <v>38491</v>
      </c>
      <c r="I74" t="s">
        <v>12</v>
      </c>
      <c r="J74" t="s">
        <v>10844</v>
      </c>
    </row>
    <row r="75" spans="1:10" x14ac:dyDescent="0.25">
      <c r="A75">
        <v>166113</v>
      </c>
      <c r="B75" t="s">
        <v>90</v>
      </c>
      <c r="C75" t="str">
        <f>"9780415221719"</f>
        <v>9780415221719</v>
      </c>
      <c r="D75" t="str">
        <f>"9780203187869"</f>
        <v>9780203187869</v>
      </c>
      <c r="E75" t="s">
        <v>15</v>
      </c>
      <c r="F75" t="s">
        <v>16</v>
      </c>
      <c r="G75" s="1">
        <v>36927</v>
      </c>
      <c r="H75" s="1">
        <v>38169</v>
      </c>
      <c r="I75" t="s">
        <v>12</v>
      </c>
      <c r="J75" t="s">
        <v>10845</v>
      </c>
    </row>
    <row r="76" spans="1:10" x14ac:dyDescent="0.25">
      <c r="A76">
        <v>166146</v>
      </c>
      <c r="B76" t="s">
        <v>91</v>
      </c>
      <c r="C76" t="str">
        <f>"9780415214230"</f>
        <v>9780415214230</v>
      </c>
      <c r="D76" t="str">
        <f>"9780203137406"</f>
        <v>9780203137406</v>
      </c>
      <c r="E76" t="s">
        <v>16</v>
      </c>
      <c r="F76" t="s">
        <v>16</v>
      </c>
      <c r="G76" s="1">
        <v>36783</v>
      </c>
      <c r="H76" s="1">
        <v>38169</v>
      </c>
      <c r="I76" t="s">
        <v>12</v>
      </c>
      <c r="J76" t="s">
        <v>10846</v>
      </c>
    </row>
    <row r="77" spans="1:10" x14ac:dyDescent="0.25">
      <c r="A77">
        <v>166247</v>
      </c>
      <c r="B77" t="s">
        <v>92</v>
      </c>
      <c r="C77" t="str">
        <f>"9780415036016"</f>
        <v>9780415036016</v>
      </c>
      <c r="D77" t="str">
        <f>"9780203168936"</f>
        <v>9780203168936</v>
      </c>
      <c r="E77" t="s">
        <v>15</v>
      </c>
      <c r="F77" t="s">
        <v>16</v>
      </c>
      <c r="G77" s="1">
        <v>33416</v>
      </c>
      <c r="H77" s="1">
        <v>38636</v>
      </c>
      <c r="I77" t="s">
        <v>12</v>
      </c>
      <c r="J77" t="s">
        <v>10847</v>
      </c>
    </row>
    <row r="78" spans="1:10" x14ac:dyDescent="0.25">
      <c r="A78">
        <v>166249</v>
      </c>
      <c r="B78" t="s">
        <v>93</v>
      </c>
      <c r="C78" t="str">
        <f>"9780415239547"</f>
        <v>9780415239547</v>
      </c>
      <c r="D78" t="str">
        <f>"9780203206683"</f>
        <v>9780203206683</v>
      </c>
      <c r="E78" t="s">
        <v>15</v>
      </c>
      <c r="F78" t="s">
        <v>16</v>
      </c>
      <c r="G78" s="1">
        <v>37239</v>
      </c>
      <c r="H78" s="1">
        <v>38169</v>
      </c>
      <c r="I78" t="s">
        <v>12</v>
      </c>
      <c r="J78" t="s">
        <v>10848</v>
      </c>
    </row>
    <row r="79" spans="1:10" x14ac:dyDescent="0.25">
      <c r="A79">
        <v>166277</v>
      </c>
      <c r="B79" t="s">
        <v>94</v>
      </c>
      <c r="C79" t="str">
        <f>"9780415277396"</f>
        <v>9780415277396</v>
      </c>
      <c r="D79" t="str">
        <f>"9780203421710"</f>
        <v>9780203421710</v>
      </c>
      <c r="E79" t="s">
        <v>15</v>
      </c>
      <c r="F79" t="s">
        <v>16</v>
      </c>
      <c r="G79" s="1">
        <v>37428</v>
      </c>
      <c r="H79" s="1">
        <v>38169</v>
      </c>
      <c r="I79" t="s">
        <v>12</v>
      </c>
      <c r="J79" t="s">
        <v>10849</v>
      </c>
    </row>
    <row r="80" spans="1:10" x14ac:dyDescent="0.25">
      <c r="A80">
        <v>166308</v>
      </c>
      <c r="B80" t="s">
        <v>95</v>
      </c>
      <c r="C80" t="str">
        <f>"9780415251358"</f>
        <v>9780415251358</v>
      </c>
      <c r="D80" t="str">
        <f>"9780203458570"</f>
        <v>9780203458570</v>
      </c>
      <c r="E80" t="s">
        <v>15</v>
      </c>
      <c r="F80" t="s">
        <v>16</v>
      </c>
      <c r="G80" s="1">
        <v>37344</v>
      </c>
      <c r="H80" s="1">
        <v>41341</v>
      </c>
      <c r="I80" t="s">
        <v>12</v>
      </c>
      <c r="J80" t="s">
        <v>10850</v>
      </c>
    </row>
    <row r="81" spans="1:10" x14ac:dyDescent="0.25">
      <c r="A81">
        <v>166330</v>
      </c>
      <c r="B81" t="s">
        <v>96</v>
      </c>
      <c r="C81" t="str">
        <f>"9780415014175"</f>
        <v>9780415014175</v>
      </c>
      <c r="D81" t="str">
        <f>"9780203402832"</f>
        <v>9780203402832</v>
      </c>
      <c r="E81" t="s">
        <v>15</v>
      </c>
      <c r="F81" t="s">
        <v>16</v>
      </c>
      <c r="G81" s="1">
        <v>33262</v>
      </c>
      <c r="H81" s="1">
        <v>38169</v>
      </c>
      <c r="I81" t="s">
        <v>12</v>
      </c>
      <c r="J81" t="s">
        <v>10851</v>
      </c>
    </row>
    <row r="82" spans="1:10" x14ac:dyDescent="0.25">
      <c r="A82">
        <v>166358</v>
      </c>
      <c r="B82" t="s">
        <v>97</v>
      </c>
      <c r="C82" t="str">
        <f>"9780415056830"</f>
        <v>9780415056830</v>
      </c>
      <c r="D82" t="str">
        <f>"9780203412121"</f>
        <v>9780203412121</v>
      </c>
      <c r="E82" t="s">
        <v>15</v>
      </c>
      <c r="F82" t="s">
        <v>16</v>
      </c>
      <c r="G82" s="1">
        <v>34078</v>
      </c>
      <c r="H82" s="1">
        <v>38169</v>
      </c>
      <c r="I82" t="s">
        <v>12</v>
      </c>
      <c r="J82" t="s">
        <v>10852</v>
      </c>
    </row>
    <row r="83" spans="1:10" x14ac:dyDescent="0.25">
      <c r="A83">
        <v>166377</v>
      </c>
      <c r="B83" t="s">
        <v>98</v>
      </c>
      <c r="C83" t="str">
        <f>"9780415077392"</f>
        <v>9780415077392</v>
      </c>
      <c r="D83" t="str">
        <f>"9780203417744"</f>
        <v>9780203417744</v>
      </c>
      <c r="E83" t="s">
        <v>15</v>
      </c>
      <c r="F83" t="s">
        <v>16</v>
      </c>
      <c r="G83" s="1">
        <v>37540</v>
      </c>
      <c r="H83" s="1">
        <v>38455</v>
      </c>
      <c r="I83" t="s">
        <v>12</v>
      </c>
      <c r="J83" t="s">
        <v>10853</v>
      </c>
    </row>
    <row r="84" spans="1:10" x14ac:dyDescent="0.25">
      <c r="A84">
        <v>166414</v>
      </c>
      <c r="B84" t="s">
        <v>99</v>
      </c>
      <c r="C84" t="str">
        <f>"9780415048934"</f>
        <v>9780415048934</v>
      </c>
      <c r="D84" t="str">
        <f>"9781134811410"</f>
        <v>9781134811410</v>
      </c>
      <c r="E84" t="s">
        <v>15</v>
      </c>
      <c r="F84" t="s">
        <v>16</v>
      </c>
      <c r="G84" s="1">
        <v>33647</v>
      </c>
      <c r="H84" s="1">
        <v>39568</v>
      </c>
      <c r="I84" t="s">
        <v>12</v>
      </c>
      <c r="J84" t="s">
        <v>10854</v>
      </c>
    </row>
    <row r="85" spans="1:10" x14ac:dyDescent="0.25">
      <c r="A85">
        <v>166443</v>
      </c>
      <c r="B85" t="s">
        <v>100</v>
      </c>
      <c r="C85" t="str">
        <f>"9780415165150"</f>
        <v>9780415165150</v>
      </c>
      <c r="D85" t="str">
        <f>"9780203446928"</f>
        <v>9780203446928</v>
      </c>
      <c r="E85" t="s">
        <v>15</v>
      </c>
      <c r="F85" t="s">
        <v>16</v>
      </c>
      <c r="G85" s="1">
        <v>36714</v>
      </c>
      <c r="H85" s="1">
        <v>38169</v>
      </c>
      <c r="I85" t="s">
        <v>12</v>
      </c>
      <c r="J85" t="s">
        <v>10855</v>
      </c>
    </row>
    <row r="86" spans="1:10" x14ac:dyDescent="0.25">
      <c r="A86">
        <v>166444</v>
      </c>
      <c r="B86" t="s">
        <v>101</v>
      </c>
      <c r="C86" t="str">
        <f>"9780415165563"</f>
        <v>9780415165563</v>
      </c>
      <c r="D86" t="str">
        <f>"9780203447055"</f>
        <v>9780203447055</v>
      </c>
      <c r="E86" t="s">
        <v>15</v>
      </c>
      <c r="F86" t="s">
        <v>16</v>
      </c>
      <c r="G86" s="1">
        <v>36285</v>
      </c>
      <c r="H86" s="1">
        <v>38169</v>
      </c>
      <c r="I86" t="s">
        <v>12</v>
      </c>
      <c r="J86" t="s">
        <v>10856</v>
      </c>
    </row>
    <row r="87" spans="1:10" x14ac:dyDescent="0.25">
      <c r="A87">
        <v>166453</v>
      </c>
      <c r="B87" t="s">
        <v>102</v>
      </c>
      <c r="C87" t="str">
        <f>"9780415178631"</f>
        <v>9780415178631</v>
      </c>
      <c r="D87" t="str">
        <f>"9780203450376"</f>
        <v>9780203450376</v>
      </c>
      <c r="E87" t="s">
        <v>15</v>
      </c>
      <c r="F87" t="s">
        <v>16</v>
      </c>
      <c r="G87" s="1">
        <v>36654</v>
      </c>
      <c r="H87" s="1">
        <v>38169</v>
      </c>
      <c r="I87" t="s">
        <v>12</v>
      </c>
      <c r="J87" t="s">
        <v>10857</v>
      </c>
    </row>
    <row r="88" spans="1:10" x14ac:dyDescent="0.25">
      <c r="A88">
        <v>166473</v>
      </c>
      <c r="B88" t="s">
        <v>103</v>
      </c>
      <c r="C88" t="str">
        <f>"9780415207652"</f>
        <v>9780415207652</v>
      </c>
      <c r="D88" t="str">
        <f>"9780203459898"</f>
        <v>9780203459898</v>
      </c>
      <c r="E88" t="s">
        <v>15</v>
      </c>
      <c r="F88" t="s">
        <v>16</v>
      </c>
      <c r="G88" s="1">
        <v>37068</v>
      </c>
      <c r="H88" s="1">
        <v>38169</v>
      </c>
      <c r="I88" t="s">
        <v>12</v>
      </c>
      <c r="J88" t="s">
        <v>10858</v>
      </c>
    </row>
    <row r="89" spans="1:10" x14ac:dyDescent="0.25">
      <c r="A89">
        <v>166477</v>
      </c>
      <c r="B89" t="s">
        <v>104</v>
      </c>
      <c r="C89" t="str">
        <f>"9780415212922"</f>
        <v>9780415212922</v>
      </c>
      <c r="D89" t="str">
        <f>"9780203461167"</f>
        <v>9780203461167</v>
      </c>
      <c r="E89" t="s">
        <v>15</v>
      </c>
      <c r="F89" t="s">
        <v>16</v>
      </c>
      <c r="G89" s="1">
        <v>36927</v>
      </c>
      <c r="H89" s="1">
        <v>38169</v>
      </c>
      <c r="I89" t="s">
        <v>12</v>
      </c>
      <c r="J89" t="s">
        <v>10859</v>
      </c>
    </row>
    <row r="90" spans="1:10" x14ac:dyDescent="0.25">
      <c r="A90">
        <v>166488</v>
      </c>
      <c r="B90" t="s">
        <v>105</v>
      </c>
      <c r="C90" t="str">
        <f>"9780415232760"</f>
        <v>9780415232760</v>
      </c>
      <c r="D90" t="str">
        <f>"9780203467701"</f>
        <v>9780203467701</v>
      </c>
      <c r="E90" t="s">
        <v>15</v>
      </c>
      <c r="F90" t="s">
        <v>16</v>
      </c>
      <c r="G90" s="1">
        <v>36788</v>
      </c>
      <c r="H90" s="1">
        <v>38169</v>
      </c>
      <c r="I90" t="s">
        <v>12</v>
      </c>
      <c r="J90" t="s">
        <v>10860</v>
      </c>
    </row>
    <row r="91" spans="1:10" x14ac:dyDescent="0.25">
      <c r="A91">
        <v>166528</v>
      </c>
      <c r="B91" t="s">
        <v>106</v>
      </c>
      <c r="C91" t="str">
        <f>"9780863778520"</f>
        <v>9780863778520</v>
      </c>
      <c r="D91" t="str">
        <f>"9780203494141"</f>
        <v>9780203494141</v>
      </c>
      <c r="E91" t="s">
        <v>15</v>
      </c>
      <c r="F91" t="s">
        <v>55</v>
      </c>
      <c r="G91" s="1">
        <v>36039</v>
      </c>
      <c r="H91" s="1">
        <v>38169</v>
      </c>
      <c r="I91" t="s">
        <v>12</v>
      </c>
      <c r="J91" t="s">
        <v>10861</v>
      </c>
    </row>
    <row r="92" spans="1:10" x14ac:dyDescent="0.25">
      <c r="A92">
        <v>166531</v>
      </c>
      <c r="B92" t="s">
        <v>107</v>
      </c>
      <c r="C92" t="str">
        <f>"9780415922210"</f>
        <v>9780415922210</v>
      </c>
      <c r="D92" t="str">
        <f>"9780203902851"</f>
        <v>9780203902851</v>
      </c>
      <c r="E92" t="s">
        <v>15</v>
      </c>
      <c r="F92" t="s">
        <v>16</v>
      </c>
      <c r="G92" s="1">
        <v>36262</v>
      </c>
      <c r="H92" s="1">
        <v>38776</v>
      </c>
      <c r="I92" t="s">
        <v>12</v>
      </c>
      <c r="J92" t="s">
        <v>10862</v>
      </c>
    </row>
    <row r="93" spans="1:10" x14ac:dyDescent="0.25">
      <c r="A93">
        <v>166603</v>
      </c>
      <c r="B93" t="s">
        <v>108</v>
      </c>
      <c r="C93" t="str">
        <f>"9780415053563"</f>
        <v>9780415053563</v>
      </c>
      <c r="D93" t="str">
        <f>"9780203409657"</f>
        <v>9780203409657</v>
      </c>
      <c r="E93" t="s">
        <v>15</v>
      </c>
      <c r="F93" t="s">
        <v>16</v>
      </c>
      <c r="G93" s="1">
        <v>33878</v>
      </c>
      <c r="H93" s="1">
        <v>38505</v>
      </c>
      <c r="I93" t="s">
        <v>12</v>
      </c>
      <c r="J93" t="s">
        <v>10863</v>
      </c>
    </row>
    <row r="94" spans="1:10" x14ac:dyDescent="0.25">
      <c r="A94">
        <v>166612</v>
      </c>
      <c r="B94" t="s">
        <v>109</v>
      </c>
      <c r="C94" t="str">
        <f>"9780415056359"</f>
        <v>9780415056359</v>
      </c>
      <c r="D94" t="str">
        <f>"9780203211281"</f>
        <v>9780203211281</v>
      </c>
      <c r="E94" t="s">
        <v>15</v>
      </c>
      <c r="F94" t="s">
        <v>16</v>
      </c>
      <c r="G94" s="1">
        <v>35048</v>
      </c>
      <c r="H94" s="1">
        <v>38169</v>
      </c>
      <c r="I94" t="s">
        <v>12</v>
      </c>
      <c r="J94" t="s">
        <v>10864</v>
      </c>
    </row>
    <row r="95" spans="1:10" x14ac:dyDescent="0.25">
      <c r="A95">
        <v>166660</v>
      </c>
      <c r="B95" t="s">
        <v>110</v>
      </c>
      <c r="C95" t="str">
        <f>"9780415072441"</f>
        <v>9780415072441</v>
      </c>
      <c r="D95" t="str">
        <f>"9780203416440"</f>
        <v>9780203416440</v>
      </c>
      <c r="E95" t="s">
        <v>15</v>
      </c>
      <c r="F95" t="s">
        <v>16</v>
      </c>
      <c r="G95" s="1">
        <v>35053</v>
      </c>
      <c r="H95" s="1">
        <v>38169</v>
      </c>
      <c r="I95" t="s">
        <v>12</v>
      </c>
      <c r="J95" t="s">
        <v>10865</v>
      </c>
    </row>
    <row r="96" spans="1:10" x14ac:dyDescent="0.25">
      <c r="A96">
        <v>166664</v>
      </c>
      <c r="B96" t="s">
        <v>111</v>
      </c>
      <c r="C96" t="str">
        <f>"9780415074063"</f>
        <v>9780415074063</v>
      </c>
      <c r="D96" t="str">
        <f>"9780203416815"</f>
        <v>9780203416815</v>
      </c>
      <c r="E96" t="s">
        <v>15</v>
      </c>
      <c r="F96" t="s">
        <v>16</v>
      </c>
      <c r="G96" s="1">
        <v>33716</v>
      </c>
      <c r="H96" s="1">
        <v>38169</v>
      </c>
      <c r="I96" t="s">
        <v>12</v>
      </c>
      <c r="J96" t="s">
        <v>10866</v>
      </c>
    </row>
    <row r="97" spans="1:10" x14ac:dyDescent="0.25">
      <c r="A97">
        <v>166674</v>
      </c>
      <c r="B97" t="s">
        <v>112</v>
      </c>
      <c r="C97" t="str">
        <f>"9780415078368"</f>
        <v>9780415078368</v>
      </c>
      <c r="D97" t="str">
        <f>"9780203418048"</f>
        <v>9780203418048</v>
      </c>
      <c r="E97" t="s">
        <v>15</v>
      </c>
      <c r="F97" t="s">
        <v>16</v>
      </c>
      <c r="G97" s="1">
        <v>34110</v>
      </c>
      <c r="H97" s="1">
        <v>38169</v>
      </c>
      <c r="I97" t="s">
        <v>12</v>
      </c>
      <c r="J97" t="s">
        <v>10867</v>
      </c>
    </row>
    <row r="98" spans="1:10" x14ac:dyDescent="0.25">
      <c r="A98">
        <v>166698</v>
      </c>
      <c r="B98" t="s">
        <v>113</v>
      </c>
      <c r="C98" t="str">
        <f>"9780415086240"</f>
        <v>9780415086240</v>
      </c>
      <c r="D98" t="str">
        <f>"9780203419755"</f>
        <v>9780203419755</v>
      </c>
      <c r="E98" t="s">
        <v>15</v>
      </c>
      <c r="F98" t="s">
        <v>16</v>
      </c>
      <c r="G98" s="1">
        <v>35051</v>
      </c>
      <c r="H98" s="1">
        <v>38169</v>
      </c>
      <c r="I98" t="s">
        <v>12</v>
      </c>
      <c r="J98" t="s">
        <v>10868</v>
      </c>
    </row>
    <row r="99" spans="1:10" x14ac:dyDescent="0.25">
      <c r="A99">
        <v>166704</v>
      </c>
      <c r="B99" t="s">
        <v>114</v>
      </c>
      <c r="C99" t="str">
        <f>"9780415087926"</f>
        <v>9780415087926</v>
      </c>
      <c r="D99" t="str">
        <f>"9780203420263"</f>
        <v>9780203420263</v>
      </c>
      <c r="E99" t="s">
        <v>15</v>
      </c>
      <c r="F99" t="s">
        <v>16</v>
      </c>
      <c r="G99" s="1">
        <v>33950</v>
      </c>
      <c r="H99" s="1">
        <v>38782</v>
      </c>
      <c r="I99" t="s">
        <v>12</v>
      </c>
      <c r="J99" t="s">
        <v>10869</v>
      </c>
    </row>
    <row r="100" spans="1:10" x14ac:dyDescent="0.25">
      <c r="A100">
        <v>166725</v>
      </c>
      <c r="B100" t="s">
        <v>115</v>
      </c>
      <c r="C100" t="str">
        <f>"9780415093866"</f>
        <v>9780415093866</v>
      </c>
      <c r="D100" t="str">
        <f>"9781134869794"</f>
        <v>9781134869794</v>
      </c>
      <c r="E100" t="s">
        <v>15</v>
      </c>
      <c r="F100" t="s">
        <v>16</v>
      </c>
      <c r="G100" s="1">
        <v>35388</v>
      </c>
      <c r="H100" s="1">
        <v>38169</v>
      </c>
      <c r="I100" t="s">
        <v>12</v>
      </c>
      <c r="J100" t="s">
        <v>10870</v>
      </c>
    </row>
    <row r="101" spans="1:10" x14ac:dyDescent="0.25">
      <c r="A101">
        <v>166726</v>
      </c>
      <c r="B101" t="s">
        <v>116</v>
      </c>
      <c r="C101" t="str">
        <f>"9780415094436"</f>
        <v>9780415094436</v>
      </c>
      <c r="D101" t="str">
        <f>"9780203422434"</f>
        <v>9780203422434</v>
      </c>
      <c r="E101" t="s">
        <v>15</v>
      </c>
      <c r="F101" t="s">
        <v>16</v>
      </c>
      <c r="G101" s="1">
        <v>28856</v>
      </c>
      <c r="H101" s="1">
        <v>38169</v>
      </c>
      <c r="I101" t="s">
        <v>12</v>
      </c>
      <c r="J101" t="s">
        <v>10871</v>
      </c>
    </row>
    <row r="102" spans="1:10" x14ac:dyDescent="0.25">
      <c r="A102">
        <v>166728</v>
      </c>
      <c r="B102" t="s">
        <v>117</v>
      </c>
      <c r="C102" t="str">
        <f>"9780415094962"</f>
        <v>9780415094962</v>
      </c>
      <c r="D102" t="str">
        <f>"9780203042953"</f>
        <v>9780203042953</v>
      </c>
      <c r="E102" t="s">
        <v>15</v>
      </c>
      <c r="F102" t="s">
        <v>16</v>
      </c>
      <c r="G102" s="1">
        <v>35537</v>
      </c>
      <c r="H102" s="1">
        <v>38169</v>
      </c>
      <c r="I102" t="s">
        <v>12</v>
      </c>
      <c r="J102" t="s">
        <v>10872</v>
      </c>
    </row>
    <row r="103" spans="1:10" x14ac:dyDescent="0.25">
      <c r="A103">
        <v>166749</v>
      </c>
      <c r="B103" t="s">
        <v>118</v>
      </c>
      <c r="C103" t="str">
        <f>"9780415100977"</f>
        <v>9780415100977</v>
      </c>
      <c r="D103" t="str">
        <f>"9780203424575"</f>
        <v>9780203424575</v>
      </c>
      <c r="E103" t="s">
        <v>15</v>
      </c>
      <c r="F103" t="s">
        <v>16</v>
      </c>
      <c r="G103" s="1">
        <v>34488</v>
      </c>
      <c r="H103" s="1">
        <v>38169</v>
      </c>
      <c r="I103" t="s">
        <v>12</v>
      </c>
      <c r="J103" t="s">
        <v>10873</v>
      </c>
    </row>
    <row r="104" spans="1:10" x14ac:dyDescent="0.25">
      <c r="A104">
        <v>166754</v>
      </c>
      <c r="B104" t="s">
        <v>119</v>
      </c>
      <c r="C104" t="str">
        <f>"9780415102803"</f>
        <v>9780415102803</v>
      </c>
      <c r="D104" t="str">
        <f>"9780203425206"</f>
        <v>9780203425206</v>
      </c>
      <c r="E104" t="s">
        <v>15</v>
      </c>
      <c r="F104" t="s">
        <v>16</v>
      </c>
      <c r="G104" s="1">
        <v>34642</v>
      </c>
      <c r="H104" s="1">
        <v>38169</v>
      </c>
      <c r="I104" t="s">
        <v>12</v>
      </c>
      <c r="J104" t="s">
        <v>10874</v>
      </c>
    </row>
    <row r="105" spans="1:10" x14ac:dyDescent="0.25">
      <c r="A105">
        <v>166763</v>
      </c>
      <c r="B105" t="s">
        <v>120</v>
      </c>
      <c r="C105" t="str">
        <f>"9780415103923"</f>
        <v>9780415103923</v>
      </c>
      <c r="D105" t="str">
        <f>"9780203033661"</f>
        <v>9780203033661</v>
      </c>
      <c r="E105" t="s">
        <v>15</v>
      </c>
      <c r="F105" t="s">
        <v>16</v>
      </c>
      <c r="G105" s="1">
        <v>35461</v>
      </c>
      <c r="H105" s="1">
        <v>38169</v>
      </c>
      <c r="I105" t="s">
        <v>12</v>
      </c>
      <c r="J105" t="s">
        <v>10875</v>
      </c>
    </row>
    <row r="106" spans="1:10" x14ac:dyDescent="0.25">
      <c r="A106">
        <v>166809</v>
      </c>
      <c r="B106" t="s">
        <v>122</v>
      </c>
      <c r="C106" t="str">
        <f>"9780415115094"</f>
        <v>9780415115094</v>
      </c>
      <c r="D106" t="str">
        <f>"9780203429037"</f>
        <v>9780203429037</v>
      </c>
      <c r="E106" t="s">
        <v>15</v>
      </c>
      <c r="F106" t="s">
        <v>16</v>
      </c>
      <c r="G106" s="1">
        <v>34627</v>
      </c>
      <c r="H106" s="1">
        <v>38169</v>
      </c>
      <c r="I106" t="s">
        <v>12</v>
      </c>
      <c r="J106" t="s">
        <v>10876</v>
      </c>
    </row>
    <row r="107" spans="1:10" x14ac:dyDescent="0.25">
      <c r="A107">
        <v>166812</v>
      </c>
      <c r="B107" t="s">
        <v>123</v>
      </c>
      <c r="C107" t="str">
        <f>"9780415115469"</f>
        <v>9780415115469</v>
      </c>
      <c r="D107" t="str">
        <f>"9780203429174"</f>
        <v>9780203429174</v>
      </c>
      <c r="E107" t="s">
        <v>15</v>
      </c>
      <c r="F107" t="s">
        <v>16</v>
      </c>
      <c r="G107" s="1">
        <v>35702</v>
      </c>
      <c r="H107" s="1">
        <v>38169</v>
      </c>
      <c r="I107" t="s">
        <v>12</v>
      </c>
      <c r="J107" t="s">
        <v>10877</v>
      </c>
    </row>
    <row r="108" spans="1:10" x14ac:dyDescent="0.25">
      <c r="A108">
        <v>166827</v>
      </c>
      <c r="B108" t="s">
        <v>124</v>
      </c>
      <c r="C108" t="str">
        <f>"9780415120111"</f>
        <v>9780415120111</v>
      </c>
      <c r="D108" t="str">
        <f>"9780203430927"</f>
        <v>9780203430927</v>
      </c>
      <c r="E108" t="s">
        <v>15</v>
      </c>
      <c r="F108" t="s">
        <v>16</v>
      </c>
      <c r="G108" s="1">
        <v>34680</v>
      </c>
      <c r="H108" s="1">
        <v>38169</v>
      </c>
      <c r="I108" t="s">
        <v>12</v>
      </c>
      <c r="J108" t="s">
        <v>10878</v>
      </c>
    </row>
    <row r="109" spans="1:10" x14ac:dyDescent="0.25">
      <c r="A109">
        <v>166835</v>
      </c>
      <c r="B109" t="s">
        <v>125</v>
      </c>
      <c r="C109" t="str">
        <f>"9780415123884"</f>
        <v>9780415123884</v>
      </c>
      <c r="D109" t="str">
        <f>"9780203432150"</f>
        <v>9780203432150</v>
      </c>
      <c r="E109" t="s">
        <v>15</v>
      </c>
      <c r="F109" t="s">
        <v>16</v>
      </c>
      <c r="G109" s="1">
        <v>35872</v>
      </c>
      <c r="H109" s="1">
        <v>38169</v>
      </c>
      <c r="I109" t="s">
        <v>12</v>
      </c>
      <c r="J109" t="s">
        <v>10879</v>
      </c>
    </row>
    <row r="110" spans="1:10" x14ac:dyDescent="0.25">
      <c r="A110">
        <v>166852</v>
      </c>
      <c r="B110" t="s">
        <v>126</v>
      </c>
      <c r="C110" t="str">
        <f>"9780415129145"</f>
        <v>9780415129145</v>
      </c>
      <c r="D110" t="str">
        <f>"9780203434420"</f>
        <v>9780203434420</v>
      </c>
      <c r="E110" t="s">
        <v>15</v>
      </c>
      <c r="F110" t="s">
        <v>16</v>
      </c>
      <c r="G110" s="1">
        <v>35151</v>
      </c>
      <c r="H110" s="1">
        <v>38169</v>
      </c>
      <c r="I110" t="s">
        <v>12</v>
      </c>
      <c r="J110" t="s">
        <v>10880</v>
      </c>
    </row>
    <row r="111" spans="1:10" x14ac:dyDescent="0.25">
      <c r="A111">
        <v>166911</v>
      </c>
      <c r="B111" t="s">
        <v>127</v>
      </c>
      <c r="C111" t="str">
        <f>"9780415144841"</f>
        <v>9780415144841</v>
      </c>
      <c r="D111" t="str">
        <f>"9780203440018"</f>
        <v>9780203440018</v>
      </c>
      <c r="E111" t="s">
        <v>15</v>
      </c>
      <c r="F111" t="s">
        <v>16</v>
      </c>
      <c r="G111" s="1">
        <v>35342</v>
      </c>
      <c r="H111" s="1">
        <v>38169</v>
      </c>
      <c r="I111" t="s">
        <v>12</v>
      </c>
      <c r="J111" t="s">
        <v>10881</v>
      </c>
    </row>
    <row r="112" spans="1:10" x14ac:dyDescent="0.25">
      <c r="A112">
        <v>166989</v>
      </c>
      <c r="B112" t="s">
        <v>128</v>
      </c>
      <c r="C112" t="str">
        <f>"9780415185868"</f>
        <v>9780415185868</v>
      </c>
      <c r="D112" t="str">
        <f>"9780203019900"</f>
        <v>9780203019900</v>
      </c>
      <c r="E112" t="s">
        <v>15</v>
      </c>
      <c r="F112" t="s">
        <v>16</v>
      </c>
      <c r="G112" s="1">
        <v>36151</v>
      </c>
      <c r="H112" s="1">
        <v>38169</v>
      </c>
      <c r="I112" t="s">
        <v>12</v>
      </c>
      <c r="J112" t="s">
        <v>10882</v>
      </c>
    </row>
    <row r="113" spans="1:10" x14ac:dyDescent="0.25">
      <c r="A113">
        <v>167003</v>
      </c>
      <c r="B113" t="s">
        <v>129</v>
      </c>
      <c r="C113" t="str">
        <f>"9780415195690"</f>
        <v>9780415195690</v>
      </c>
      <c r="D113" t="str">
        <f>"9780203210840"</f>
        <v>9780203210840</v>
      </c>
      <c r="E113" t="s">
        <v>15</v>
      </c>
      <c r="F113" t="s">
        <v>16</v>
      </c>
      <c r="G113" s="1">
        <v>37097</v>
      </c>
      <c r="H113" s="1">
        <v>38169</v>
      </c>
      <c r="I113" t="s">
        <v>12</v>
      </c>
      <c r="J113" t="s">
        <v>10883</v>
      </c>
    </row>
    <row r="114" spans="1:10" x14ac:dyDescent="0.25">
      <c r="A114">
        <v>167011</v>
      </c>
      <c r="B114" t="s">
        <v>130</v>
      </c>
      <c r="C114" t="str">
        <f>"9780415203142"</f>
        <v>9780415203142</v>
      </c>
      <c r="D114" t="str">
        <f>"9780203458013"</f>
        <v>9780203458013</v>
      </c>
      <c r="E114" t="s">
        <v>15</v>
      </c>
      <c r="F114" t="s">
        <v>16</v>
      </c>
      <c r="G114" s="1">
        <v>36476</v>
      </c>
      <c r="H114" s="1">
        <v>38169</v>
      </c>
      <c r="I114" t="s">
        <v>12</v>
      </c>
      <c r="J114" t="s">
        <v>10884</v>
      </c>
    </row>
    <row r="115" spans="1:10" x14ac:dyDescent="0.25">
      <c r="A115">
        <v>167015</v>
      </c>
      <c r="B115" t="s">
        <v>131</v>
      </c>
      <c r="C115" t="str">
        <f>"9780415206587"</f>
        <v>9780415206587</v>
      </c>
      <c r="D115" t="str">
        <f>"9780203459492"</f>
        <v>9780203459492</v>
      </c>
      <c r="E115" t="s">
        <v>15</v>
      </c>
      <c r="F115" t="s">
        <v>16</v>
      </c>
      <c r="G115" s="1">
        <v>36788</v>
      </c>
      <c r="H115" s="1">
        <v>38169</v>
      </c>
      <c r="I115" t="s">
        <v>12</v>
      </c>
      <c r="J115" t="s">
        <v>10885</v>
      </c>
    </row>
    <row r="116" spans="1:10" x14ac:dyDescent="0.25">
      <c r="A116">
        <v>167025</v>
      </c>
      <c r="B116" t="s">
        <v>132</v>
      </c>
      <c r="C116" t="str">
        <f>"9780415213875"</f>
        <v>9780415213875</v>
      </c>
      <c r="D116" t="str">
        <f>"9780203461495"</f>
        <v>9780203461495</v>
      </c>
      <c r="E116" t="s">
        <v>15</v>
      </c>
      <c r="F116" t="s">
        <v>16</v>
      </c>
      <c r="G116" s="1">
        <v>37097</v>
      </c>
      <c r="H116" s="1">
        <v>38169</v>
      </c>
      <c r="I116" t="s">
        <v>12</v>
      </c>
      <c r="J116" t="s">
        <v>10886</v>
      </c>
    </row>
    <row r="117" spans="1:10" x14ac:dyDescent="0.25">
      <c r="A117">
        <v>167026</v>
      </c>
      <c r="B117" t="s">
        <v>133</v>
      </c>
      <c r="C117" t="str">
        <f>"9780415214063"</f>
        <v>9780415214063</v>
      </c>
      <c r="D117" t="str">
        <f>"9780203461549"</f>
        <v>9780203461549</v>
      </c>
      <c r="E117" t="s">
        <v>15</v>
      </c>
      <c r="F117" t="s">
        <v>16</v>
      </c>
      <c r="G117" s="1">
        <v>37176</v>
      </c>
      <c r="H117" s="1">
        <v>38169</v>
      </c>
      <c r="I117" t="s">
        <v>12</v>
      </c>
      <c r="J117" t="s">
        <v>10887</v>
      </c>
    </row>
    <row r="118" spans="1:10" x14ac:dyDescent="0.25">
      <c r="A118">
        <v>167054</v>
      </c>
      <c r="B118" t="s">
        <v>134</v>
      </c>
      <c r="C118" t="str">
        <f>"9780415226554"</f>
        <v>9780415226554</v>
      </c>
      <c r="D118" t="str">
        <f>"9780203465370"</f>
        <v>9780203465370</v>
      </c>
      <c r="E118" t="s">
        <v>15</v>
      </c>
      <c r="F118" t="s">
        <v>16</v>
      </c>
      <c r="G118" s="1">
        <v>37090</v>
      </c>
      <c r="H118" s="1">
        <v>38169</v>
      </c>
      <c r="I118" t="s">
        <v>12</v>
      </c>
      <c r="J118" t="s">
        <v>10888</v>
      </c>
    </row>
    <row r="119" spans="1:10" x14ac:dyDescent="0.25">
      <c r="A119">
        <v>167082</v>
      </c>
      <c r="B119" t="s">
        <v>135</v>
      </c>
      <c r="C119" t="str">
        <f>"9780415236959"</f>
        <v>9780415236959</v>
      </c>
      <c r="D119" t="str">
        <f>"9780203469231"</f>
        <v>9780203469231</v>
      </c>
      <c r="E119" t="s">
        <v>15</v>
      </c>
      <c r="F119" t="s">
        <v>16</v>
      </c>
      <c r="G119" s="1">
        <v>37239</v>
      </c>
      <c r="H119" s="1">
        <v>38169</v>
      </c>
      <c r="I119" t="s">
        <v>12</v>
      </c>
      <c r="J119" t="s">
        <v>10889</v>
      </c>
    </row>
    <row r="120" spans="1:10" x14ac:dyDescent="0.25">
      <c r="A120">
        <v>167128</v>
      </c>
      <c r="B120" t="s">
        <v>136</v>
      </c>
      <c r="C120" t="str">
        <f>"9780415251389"</f>
        <v>9780415251389</v>
      </c>
      <c r="D120" t="str">
        <f>"9780203519134"</f>
        <v>9780203519134</v>
      </c>
      <c r="E120" t="s">
        <v>15</v>
      </c>
      <c r="F120" t="s">
        <v>16</v>
      </c>
      <c r="G120" s="1">
        <v>37090</v>
      </c>
      <c r="H120" s="1">
        <v>38169</v>
      </c>
      <c r="I120" t="s">
        <v>12</v>
      </c>
      <c r="J120" t="s">
        <v>10890</v>
      </c>
    </row>
    <row r="121" spans="1:10" x14ac:dyDescent="0.25">
      <c r="A121">
        <v>167139</v>
      </c>
      <c r="B121" t="s">
        <v>137</v>
      </c>
      <c r="C121" t="str">
        <f>"9780415285322"</f>
        <v>9780415285322</v>
      </c>
      <c r="D121" t="str">
        <f>"9780203405741"</f>
        <v>9780203405741</v>
      </c>
      <c r="E121" t="s">
        <v>15</v>
      </c>
      <c r="F121" t="s">
        <v>16</v>
      </c>
      <c r="G121" s="1">
        <v>41787</v>
      </c>
      <c r="H121" s="1">
        <v>39067</v>
      </c>
      <c r="I121" t="s">
        <v>12</v>
      </c>
      <c r="J121" t="s">
        <v>10891</v>
      </c>
    </row>
    <row r="122" spans="1:10" x14ac:dyDescent="0.25">
      <c r="A122">
        <v>167227</v>
      </c>
      <c r="B122" t="s">
        <v>138</v>
      </c>
      <c r="C122" t="str">
        <f>"9780748401277"</f>
        <v>9780748401277</v>
      </c>
      <c r="D122" t="str">
        <f>"9780203481813"</f>
        <v>9780203481813</v>
      </c>
      <c r="E122" t="s">
        <v>15</v>
      </c>
      <c r="F122" t="s">
        <v>139</v>
      </c>
      <c r="G122" s="1">
        <v>34284</v>
      </c>
      <c r="H122" s="1">
        <v>38169</v>
      </c>
      <c r="I122" t="s">
        <v>12</v>
      </c>
      <c r="J122" t="s">
        <v>10892</v>
      </c>
    </row>
    <row r="123" spans="1:10" x14ac:dyDescent="0.25">
      <c r="A123">
        <v>167262</v>
      </c>
      <c r="B123" t="s">
        <v>140</v>
      </c>
      <c r="C123" t="str">
        <f>"9780750706070"</f>
        <v>9780750706070</v>
      </c>
      <c r="D123" t="str">
        <f>"9780203454404"</f>
        <v>9780203454404</v>
      </c>
      <c r="E123" t="s">
        <v>15</v>
      </c>
      <c r="F123" t="s">
        <v>16</v>
      </c>
      <c r="G123" s="1">
        <v>36495</v>
      </c>
      <c r="H123" s="1">
        <v>38169</v>
      </c>
      <c r="I123" t="s">
        <v>12</v>
      </c>
      <c r="J123" t="s">
        <v>10893</v>
      </c>
    </row>
    <row r="124" spans="1:10" x14ac:dyDescent="0.25">
      <c r="A124">
        <v>167265</v>
      </c>
      <c r="B124" t="s">
        <v>141</v>
      </c>
      <c r="C124" t="str">
        <f>"9780750707084"</f>
        <v>9780750707084</v>
      </c>
      <c r="D124" t="str">
        <f>"9780203454473"</f>
        <v>9780203454473</v>
      </c>
      <c r="E124" t="s">
        <v>15</v>
      </c>
      <c r="F124" t="s">
        <v>16</v>
      </c>
      <c r="G124" s="1">
        <v>35521</v>
      </c>
      <c r="H124" s="1">
        <v>39063</v>
      </c>
      <c r="I124" t="s">
        <v>12</v>
      </c>
      <c r="J124" t="s">
        <v>10894</v>
      </c>
    </row>
    <row r="125" spans="1:10" x14ac:dyDescent="0.25">
      <c r="A125">
        <v>167268</v>
      </c>
      <c r="B125" t="s">
        <v>142</v>
      </c>
      <c r="C125" t="str">
        <f>"9780750707268"</f>
        <v>9780750707268</v>
      </c>
      <c r="D125" t="str">
        <f>"9780203486665"</f>
        <v>9780203486665</v>
      </c>
      <c r="E125" t="s">
        <v>15</v>
      </c>
      <c r="F125" t="s">
        <v>16</v>
      </c>
      <c r="G125" s="1">
        <v>35704</v>
      </c>
      <c r="H125" s="1">
        <v>38169</v>
      </c>
      <c r="I125" t="s">
        <v>12</v>
      </c>
      <c r="J125" t="s">
        <v>10895</v>
      </c>
    </row>
    <row r="126" spans="1:10" x14ac:dyDescent="0.25">
      <c r="A126">
        <v>167311</v>
      </c>
      <c r="B126" t="s">
        <v>143</v>
      </c>
      <c r="C126" t="str">
        <f>"9781851666225"</f>
        <v>9781851666225</v>
      </c>
      <c r="D126" t="str">
        <f>"9780203498255"</f>
        <v>9780203498255</v>
      </c>
      <c r="E126" t="s">
        <v>144</v>
      </c>
      <c r="F126" t="s">
        <v>144</v>
      </c>
      <c r="G126" s="1">
        <v>33238</v>
      </c>
      <c r="H126" s="1">
        <v>38169</v>
      </c>
      <c r="I126" t="s">
        <v>12</v>
      </c>
      <c r="J126" t="s">
        <v>10896</v>
      </c>
    </row>
    <row r="127" spans="1:10" x14ac:dyDescent="0.25">
      <c r="A127">
        <v>167345</v>
      </c>
      <c r="B127" t="s">
        <v>145</v>
      </c>
      <c r="C127" t="str">
        <f>"9781841692036"</f>
        <v>9781841692036</v>
      </c>
      <c r="D127" t="str">
        <f>"9780203496312"</f>
        <v>9780203496312</v>
      </c>
      <c r="E127" t="s">
        <v>15</v>
      </c>
      <c r="F127" t="s">
        <v>55</v>
      </c>
      <c r="G127" s="1">
        <v>37084</v>
      </c>
      <c r="H127" s="1">
        <v>41318</v>
      </c>
      <c r="I127" t="s">
        <v>12</v>
      </c>
      <c r="J127" t="s">
        <v>10897</v>
      </c>
    </row>
    <row r="128" spans="1:10" x14ac:dyDescent="0.25">
      <c r="A128">
        <v>167594</v>
      </c>
      <c r="B128" t="s">
        <v>146</v>
      </c>
      <c r="C128" t="str">
        <f>"9780415186261"</f>
        <v>9780415186261</v>
      </c>
      <c r="D128" t="str">
        <f>"9780203201510"</f>
        <v>9780203201510</v>
      </c>
      <c r="E128" t="s">
        <v>15</v>
      </c>
      <c r="F128" t="s">
        <v>16</v>
      </c>
      <c r="G128" s="1">
        <v>36339</v>
      </c>
      <c r="H128" s="1">
        <v>38643</v>
      </c>
      <c r="I128" t="s">
        <v>12</v>
      </c>
      <c r="J128" t="s">
        <v>10898</v>
      </c>
    </row>
    <row r="129" spans="1:10" x14ac:dyDescent="0.25">
      <c r="A129">
        <v>167608</v>
      </c>
      <c r="B129" t="s">
        <v>147</v>
      </c>
      <c r="C129" t="str">
        <f>"9780415231602"</f>
        <v>9780415231602</v>
      </c>
      <c r="D129" t="str">
        <f>"9780203165812"</f>
        <v>9780203165812</v>
      </c>
      <c r="E129" t="s">
        <v>15</v>
      </c>
      <c r="F129" t="s">
        <v>16</v>
      </c>
      <c r="G129" s="1">
        <v>37176</v>
      </c>
      <c r="H129" s="1">
        <v>38169</v>
      </c>
      <c r="I129" t="s">
        <v>12</v>
      </c>
      <c r="J129" t="s">
        <v>10899</v>
      </c>
    </row>
    <row r="130" spans="1:10" x14ac:dyDescent="0.25">
      <c r="A130">
        <v>167610</v>
      </c>
      <c r="B130" t="s">
        <v>148</v>
      </c>
      <c r="C130" t="str">
        <f>"9780415237512"</f>
        <v>9780415237512</v>
      </c>
      <c r="D130" t="str">
        <f>"9780203165836"</f>
        <v>9780203165836</v>
      </c>
      <c r="E130" t="s">
        <v>15</v>
      </c>
      <c r="F130" t="s">
        <v>16</v>
      </c>
      <c r="G130" s="1">
        <v>36990</v>
      </c>
      <c r="H130" s="1">
        <v>38169</v>
      </c>
      <c r="I130" t="s">
        <v>12</v>
      </c>
      <c r="J130" t="s">
        <v>10900</v>
      </c>
    </row>
    <row r="131" spans="1:10" x14ac:dyDescent="0.25">
      <c r="A131">
        <v>167623</v>
      </c>
      <c r="B131" t="s">
        <v>149</v>
      </c>
      <c r="C131" t="str">
        <f>"9780415255851"</f>
        <v>9780415255851</v>
      </c>
      <c r="D131" t="str">
        <f>"9780203166918"</f>
        <v>9780203166918</v>
      </c>
      <c r="E131" t="s">
        <v>15</v>
      </c>
      <c r="F131" t="s">
        <v>16</v>
      </c>
      <c r="G131" s="1">
        <v>37251</v>
      </c>
      <c r="H131" s="1">
        <v>38169</v>
      </c>
      <c r="I131" t="s">
        <v>12</v>
      </c>
      <c r="J131" t="s">
        <v>10901</v>
      </c>
    </row>
    <row r="132" spans="1:10" x14ac:dyDescent="0.25">
      <c r="A132">
        <v>167627</v>
      </c>
      <c r="B132" t="s">
        <v>150</v>
      </c>
      <c r="C132" t="str">
        <f>"9780415262545"</f>
        <v>9780415262545</v>
      </c>
      <c r="D132" t="str">
        <f>"9780203166185"</f>
        <v>9780203166185</v>
      </c>
      <c r="E132" t="s">
        <v>15</v>
      </c>
      <c r="F132" t="s">
        <v>16</v>
      </c>
      <c r="G132" s="1">
        <v>37267</v>
      </c>
      <c r="H132" s="1">
        <v>38169</v>
      </c>
      <c r="I132" t="s">
        <v>12</v>
      </c>
      <c r="J132" t="s">
        <v>10902</v>
      </c>
    </row>
    <row r="133" spans="1:10" x14ac:dyDescent="0.25">
      <c r="A133">
        <v>167634</v>
      </c>
      <c r="B133" t="s">
        <v>151</v>
      </c>
      <c r="C133" t="str">
        <f>"9780415929431"</f>
        <v>9780415929431</v>
      </c>
      <c r="D133" t="str">
        <f>"9780203904701"</f>
        <v>9780203904701</v>
      </c>
      <c r="E133" t="s">
        <v>15</v>
      </c>
      <c r="F133" t="s">
        <v>16</v>
      </c>
      <c r="G133" s="1">
        <v>37211</v>
      </c>
      <c r="H133" s="1">
        <v>38169</v>
      </c>
      <c r="I133" t="s">
        <v>12</v>
      </c>
      <c r="J133" t="s">
        <v>10903</v>
      </c>
    </row>
    <row r="134" spans="1:10" x14ac:dyDescent="0.25">
      <c r="A134">
        <v>167639</v>
      </c>
      <c r="B134" t="s">
        <v>152</v>
      </c>
      <c r="C134" t="str">
        <f>"9780419210009"</f>
        <v>9780419210009</v>
      </c>
      <c r="D134" t="str">
        <f>"9780203223574"</f>
        <v>9780203223574</v>
      </c>
      <c r="E134" t="s">
        <v>144</v>
      </c>
      <c r="F134" t="s">
        <v>153</v>
      </c>
      <c r="G134" s="1">
        <v>36110</v>
      </c>
      <c r="H134" s="1">
        <v>38635</v>
      </c>
      <c r="I134" t="s">
        <v>12</v>
      </c>
      <c r="J134" t="s">
        <v>10904</v>
      </c>
    </row>
    <row r="135" spans="1:10" x14ac:dyDescent="0.25">
      <c r="A135">
        <v>167676</v>
      </c>
      <c r="B135" t="s">
        <v>154</v>
      </c>
      <c r="C135" t="str">
        <f>"9780043381502"</f>
        <v>9780043381502</v>
      </c>
      <c r="D135" t="str">
        <f>"9780203168721"</f>
        <v>9780203168721</v>
      </c>
      <c r="E135" t="s">
        <v>15</v>
      </c>
      <c r="F135" t="s">
        <v>16</v>
      </c>
      <c r="G135" s="1">
        <v>32599</v>
      </c>
      <c r="H135" s="1">
        <v>38778</v>
      </c>
      <c r="I135" t="s">
        <v>12</v>
      </c>
      <c r="J135" t="s">
        <v>10905</v>
      </c>
    </row>
    <row r="136" spans="1:10" x14ac:dyDescent="0.25">
      <c r="A136">
        <v>167831</v>
      </c>
      <c r="B136" t="s">
        <v>155</v>
      </c>
      <c r="C136" t="str">
        <f>"9780415036993"</f>
        <v>9780415036993</v>
      </c>
      <c r="D136" t="str">
        <f>"9780203359020"</f>
        <v>9780203359020</v>
      </c>
      <c r="E136" t="s">
        <v>15</v>
      </c>
      <c r="F136" t="s">
        <v>16</v>
      </c>
      <c r="G136" s="1">
        <v>24939</v>
      </c>
      <c r="H136" s="1">
        <v>39064</v>
      </c>
      <c r="I136" t="s">
        <v>12</v>
      </c>
      <c r="J136" t="s">
        <v>10906</v>
      </c>
    </row>
    <row r="137" spans="1:10" x14ac:dyDescent="0.25">
      <c r="A137">
        <v>167973</v>
      </c>
      <c r="B137" t="s">
        <v>156</v>
      </c>
      <c r="C137" t="str">
        <f>"9780415063579"</f>
        <v>9780415063579</v>
      </c>
      <c r="D137" t="str">
        <f>"9780203213520"</f>
        <v>9780203213520</v>
      </c>
      <c r="E137" t="s">
        <v>15</v>
      </c>
      <c r="F137" t="s">
        <v>16</v>
      </c>
      <c r="G137" s="1">
        <v>33585</v>
      </c>
      <c r="H137" s="1">
        <v>40876</v>
      </c>
      <c r="I137" t="s">
        <v>12</v>
      </c>
      <c r="J137" t="s">
        <v>10907</v>
      </c>
    </row>
    <row r="138" spans="1:10" x14ac:dyDescent="0.25">
      <c r="A138">
        <v>168005</v>
      </c>
      <c r="B138" t="s">
        <v>157</v>
      </c>
      <c r="C138" t="str">
        <f>"9780415068260"</f>
        <v>9780415068260</v>
      </c>
      <c r="D138" t="str">
        <f>"9780203167878"</f>
        <v>9780203167878</v>
      </c>
      <c r="E138" t="s">
        <v>15</v>
      </c>
      <c r="F138" t="s">
        <v>16</v>
      </c>
      <c r="G138" s="1">
        <v>34078</v>
      </c>
      <c r="H138" s="1">
        <v>38169</v>
      </c>
      <c r="I138" t="s">
        <v>12</v>
      </c>
      <c r="J138" t="s">
        <v>10908</v>
      </c>
    </row>
    <row r="139" spans="1:10" x14ac:dyDescent="0.25">
      <c r="A139">
        <v>168007</v>
      </c>
      <c r="B139" t="s">
        <v>158</v>
      </c>
      <c r="C139" t="str">
        <f>"9780415068413"</f>
        <v>9780415068413</v>
      </c>
      <c r="D139" t="str">
        <f>"9780203167748"</f>
        <v>9780203167748</v>
      </c>
      <c r="E139" t="s">
        <v>15</v>
      </c>
      <c r="F139" t="s">
        <v>16</v>
      </c>
      <c r="G139" s="1">
        <v>37866</v>
      </c>
      <c r="H139" s="1">
        <v>38169</v>
      </c>
      <c r="I139" t="s">
        <v>12</v>
      </c>
      <c r="J139" t="s">
        <v>10909</v>
      </c>
    </row>
    <row r="140" spans="1:10" x14ac:dyDescent="0.25">
      <c r="A140">
        <v>168065</v>
      </c>
      <c r="B140" t="s">
        <v>159</v>
      </c>
      <c r="C140" t="str">
        <f>"9780415078900"</f>
        <v>9780415078900</v>
      </c>
      <c r="D140" t="str">
        <f>"9780203409992"</f>
        <v>9780203409992</v>
      </c>
      <c r="E140" t="s">
        <v>15</v>
      </c>
      <c r="F140" t="s">
        <v>16</v>
      </c>
      <c r="G140" s="1">
        <v>30914</v>
      </c>
      <c r="H140" s="1">
        <v>38169</v>
      </c>
      <c r="I140" t="s">
        <v>12</v>
      </c>
      <c r="J140" t="s">
        <v>10910</v>
      </c>
    </row>
    <row r="141" spans="1:10" x14ac:dyDescent="0.25">
      <c r="A141">
        <v>168142</v>
      </c>
      <c r="B141" t="s">
        <v>160</v>
      </c>
      <c r="C141" t="str">
        <f>"9780415088725"</f>
        <v>9780415088725</v>
      </c>
      <c r="D141" t="str">
        <f>"9780203168134"</f>
        <v>9780203168134</v>
      </c>
      <c r="E141" t="s">
        <v>15</v>
      </c>
      <c r="F141" t="s">
        <v>16</v>
      </c>
      <c r="G141" s="1">
        <v>38000</v>
      </c>
      <c r="H141" s="1">
        <v>38169</v>
      </c>
      <c r="I141" t="s">
        <v>12</v>
      </c>
      <c r="J141" t="s">
        <v>10911</v>
      </c>
    </row>
    <row r="142" spans="1:10" x14ac:dyDescent="0.25">
      <c r="A142">
        <v>168224</v>
      </c>
      <c r="B142" t="s">
        <v>161</v>
      </c>
      <c r="C142" t="str">
        <f>"9780415105699"</f>
        <v>9780415105699</v>
      </c>
      <c r="D142" t="str">
        <f>"9780203205808"</f>
        <v>9780203205808</v>
      </c>
      <c r="E142" t="s">
        <v>15</v>
      </c>
      <c r="F142" t="s">
        <v>16</v>
      </c>
      <c r="G142" s="1">
        <v>34723</v>
      </c>
      <c r="H142" s="1">
        <v>38169</v>
      </c>
      <c r="I142" t="s">
        <v>12</v>
      </c>
      <c r="J142" t="s">
        <v>10912</v>
      </c>
    </row>
    <row r="143" spans="1:10" x14ac:dyDescent="0.25">
      <c r="A143">
        <v>168406</v>
      </c>
      <c r="B143" t="s">
        <v>162</v>
      </c>
      <c r="C143" t="str">
        <f>"9780415149631"</f>
        <v>9780415149631</v>
      </c>
      <c r="D143" t="str">
        <f>"9780203137918"</f>
        <v>9780203137918</v>
      </c>
      <c r="E143" t="s">
        <v>16</v>
      </c>
      <c r="F143" t="s">
        <v>16</v>
      </c>
      <c r="G143" s="1">
        <v>35404</v>
      </c>
      <c r="H143" s="1">
        <v>38169</v>
      </c>
      <c r="I143" t="s">
        <v>12</v>
      </c>
      <c r="J143" t="s">
        <v>10913</v>
      </c>
    </row>
    <row r="144" spans="1:10" x14ac:dyDescent="0.25">
      <c r="A144">
        <v>168468</v>
      </c>
      <c r="B144" t="s">
        <v>163</v>
      </c>
      <c r="C144" t="str">
        <f>"9780415202336"</f>
        <v>9780415202336</v>
      </c>
      <c r="D144" t="str">
        <f>"9780203131183"</f>
        <v>9780203131183</v>
      </c>
      <c r="E144" t="s">
        <v>15</v>
      </c>
      <c r="F144" t="s">
        <v>16</v>
      </c>
      <c r="G144" s="1">
        <v>36895</v>
      </c>
      <c r="H144" s="1">
        <v>38169</v>
      </c>
      <c r="I144" t="s">
        <v>12</v>
      </c>
      <c r="J144" t="s">
        <v>10914</v>
      </c>
    </row>
    <row r="145" spans="1:10" x14ac:dyDescent="0.25">
      <c r="A145">
        <v>168475</v>
      </c>
      <c r="B145" t="s">
        <v>164</v>
      </c>
      <c r="C145" t="str">
        <f>"9780415215220"</f>
        <v>9780415215220</v>
      </c>
      <c r="D145" t="str">
        <f>"9780203186008"</f>
        <v>9780203186008</v>
      </c>
      <c r="E145" t="s">
        <v>15</v>
      </c>
      <c r="F145" t="s">
        <v>16</v>
      </c>
      <c r="G145" s="1">
        <v>36816</v>
      </c>
      <c r="H145" s="1">
        <v>38169</v>
      </c>
      <c r="I145" t="s">
        <v>12</v>
      </c>
      <c r="J145" t="s">
        <v>10915</v>
      </c>
    </row>
    <row r="146" spans="1:10" x14ac:dyDescent="0.25">
      <c r="A146">
        <v>168513</v>
      </c>
      <c r="B146" t="s">
        <v>165</v>
      </c>
      <c r="C146" t="str">
        <f>"9780415246583"</f>
        <v>9780415246583</v>
      </c>
      <c r="D146" t="str">
        <f>"9780203192320"</f>
        <v>9780203192320</v>
      </c>
      <c r="E146" t="s">
        <v>15</v>
      </c>
      <c r="F146" t="s">
        <v>16</v>
      </c>
      <c r="G146" s="1">
        <v>37176</v>
      </c>
      <c r="H146" s="1">
        <v>38796</v>
      </c>
      <c r="I146" t="s">
        <v>12</v>
      </c>
      <c r="J146" t="s">
        <v>10916</v>
      </c>
    </row>
    <row r="147" spans="1:10" x14ac:dyDescent="0.25">
      <c r="A147">
        <v>168514</v>
      </c>
      <c r="B147" t="s">
        <v>166</v>
      </c>
      <c r="C147" t="str">
        <f>"9780415246897"</f>
        <v>9780415246897</v>
      </c>
      <c r="D147" t="str">
        <f>"9780203192276"</f>
        <v>9780203192276</v>
      </c>
      <c r="E147" t="s">
        <v>15</v>
      </c>
      <c r="F147" t="s">
        <v>16</v>
      </c>
      <c r="G147" s="1">
        <v>41773</v>
      </c>
      <c r="H147" s="1">
        <v>38169</v>
      </c>
      <c r="I147" t="s">
        <v>12</v>
      </c>
      <c r="J147" t="s">
        <v>10917</v>
      </c>
    </row>
    <row r="148" spans="1:10" x14ac:dyDescent="0.25">
      <c r="A148">
        <v>168535</v>
      </c>
      <c r="B148" t="s">
        <v>167</v>
      </c>
      <c r="C148" t="str">
        <f>"9780415131360"</f>
        <v>9780415131360</v>
      </c>
      <c r="D148" t="str">
        <f>"9781134789788"</f>
        <v>9781134789788</v>
      </c>
      <c r="E148" t="s">
        <v>15</v>
      </c>
      <c r="F148" t="s">
        <v>16</v>
      </c>
      <c r="G148" s="1">
        <v>35454</v>
      </c>
      <c r="H148" s="1">
        <v>38169</v>
      </c>
      <c r="I148" t="s">
        <v>12</v>
      </c>
      <c r="J148" t="s">
        <v>10918</v>
      </c>
    </row>
    <row r="149" spans="1:10" x14ac:dyDescent="0.25">
      <c r="A149">
        <v>168546</v>
      </c>
      <c r="B149" t="s">
        <v>168</v>
      </c>
      <c r="C149" t="str">
        <f>"9780415133173"</f>
        <v>9780415133173</v>
      </c>
      <c r="D149" t="str">
        <f>"9780203435854"</f>
        <v>9780203435854</v>
      </c>
      <c r="E149" t="s">
        <v>15</v>
      </c>
      <c r="F149" t="s">
        <v>16</v>
      </c>
      <c r="G149" s="1">
        <v>35311</v>
      </c>
      <c r="H149" s="1">
        <v>38642</v>
      </c>
      <c r="I149" t="s">
        <v>12</v>
      </c>
      <c r="J149" t="s">
        <v>10919</v>
      </c>
    </row>
    <row r="150" spans="1:10" x14ac:dyDescent="0.25">
      <c r="A150">
        <v>168564</v>
      </c>
      <c r="B150" t="s">
        <v>169</v>
      </c>
      <c r="C150" t="str">
        <f>"9780748408849"</f>
        <v>9780748408849</v>
      </c>
      <c r="D150" t="str">
        <f>"9780203194034"</f>
        <v>9780203194034</v>
      </c>
      <c r="E150" t="s">
        <v>15</v>
      </c>
      <c r="F150" t="s">
        <v>139</v>
      </c>
      <c r="G150" s="1">
        <v>36594</v>
      </c>
      <c r="H150" s="1">
        <v>38486</v>
      </c>
      <c r="I150" t="s">
        <v>12</v>
      </c>
      <c r="J150" t="s">
        <v>10920</v>
      </c>
    </row>
    <row r="151" spans="1:10" x14ac:dyDescent="0.25">
      <c r="A151">
        <v>168576</v>
      </c>
      <c r="B151" t="s">
        <v>170</v>
      </c>
      <c r="C151" t="str">
        <f>"9780415199292"</f>
        <v>9780415199292</v>
      </c>
      <c r="D151" t="str">
        <f>"9780203199350"</f>
        <v>9780203199350</v>
      </c>
      <c r="E151" t="s">
        <v>15</v>
      </c>
      <c r="F151" t="s">
        <v>16</v>
      </c>
      <c r="G151" s="1">
        <v>37408</v>
      </c>
      <c r="H151" s="1">
        <v>38169</v>
      </c>
      <c r="I151" t="s">
        <v>12</v>
      </c>
      <c r="J151" t="s">
        <v>10921</v>
      </c>
    </row>
    <row r="152" spans="1:10" x14ac:dyDescent="0.25">
      <c r="A152">
        <v>168580</v>
      </c>
      <c r="B152" t="s">
        <v>171</v>
      </c>
      <c r="C152" t="str">
        <f>"9780415085236"</f>
        <v>9780415085236</v>
      </c>
      <c r="D152" t="str">
        <f>"9780203195437"</f>
        <v>9780203195437</v>
      </c>
      <c r="E152" t="s">
        <v>15</v>
      </c>
      <c r="F152" t="s">
        <v>16</v>
      </c>
      <c r="G152" s="1">
        <v>35786</v>
      </c>
      <c r="H152" s="1">
        <v>38169</v>
      </c>
      <c r="I152" t="s">
        <v>12</v>
      </c>
      <c r="J152" t="s">
        <v>10922</v>
      </c>
    </row>
    <row r="153" spans="1:10" x14ac:dyDescent="0.25">
      <c r="A153">
        <v>168600</v>
      </c>
      <c r="B153" t="s">
        <v>172</v>
      </c>
      <c r="C153" t="str">
        <f>"9780415154055"</f>
        <v>9780415154055</v>
      </c>
      <c r="D153" t="str">
        <f>"9780203195673"</f>
        <v>9780203195673</v>
      </c>
      <c r="E153" t="s">
        <v>15</v>
      </c>
      <c r="F153" t="s">
        <v>16</v>
      </c>
      <c r="G153" s="1">
        <v>36881</v>
      </c>
      <c r="H153" s="1">
        <v>41334</v>
      </c>
      <c r="I153" t="s">
        <v>12</v>
      </c>
      <c r="J153" t="s">
        <v>10923</v>
      </c>
    </row>
    <row r="154" spans="1:10" x14ac:dyDescent="0.25">
      <c r="A154">
        <v>168604</v>
      </c>
      <c r="B154" t="s">
        <v>173</v>
      </c>
      <c r="C154" t="str">
        <f>"9780415211987"</f>
        <v>9780415211987</v>
      </c>
      <c r="D154" t="str">
        <f>"9780203194157"</f>
        <v>9780203194157</v>
      </c>
      <c r="E154" t="s">
        <v>15</v>
      </c>
      <c r="F154" t="s">
        <v>55</v>
      </c>
      <c r="G154" s="1">
        <v>37232</v>
      </c>
      <c r="H154" s="1">
        <v>38169</v>
      </c>
      <c r="I154" t="s">
        <v>12</v>
      </c>
      <c r="J154" t="s">
        <v>10924</v>
      </c>
    </row>
    <row r="155" spans="1:10" x14ac:dyDescent="0.25">
      <c r="A155">
        <v>168625</v>
      </c>
      <c r="B155" t="s">
        <v>174</v>
      </c>
      <c r="C155" t="str">
        <f>"9780415151689"</f>
        <v>9780415151689</v>
      </c>
      <c r="D155" t="str">
        <f>"9780203195550"</f>
        <v>9780203195550</v>
      </c>
      <c r="E155" t="s">
        <v>15</v>
      </c>
      <c r="F155" t="s">
        <v>16</v>
      </c>
      <c r="G155" s="1">
        <v>36201</v>
      </c>
      <c r="H155" s="1">
        <v>38169</v>
      </c>
      <c r="I155" t="s">
        <v>12</v>
      </c>
      <c r="J155" t="s">
        <v>10925</v>
      </c>
    </row>
    <row r="156" spans="1:10" x14ac:dyDescent="0.25">
      <c r="A156">
        <v>168630</v>
      </c>
      <c r="B156" t="s">
        <v>175</v>
      </c>
      <c r="C156" t="str">
        <f>"9780415242752"</f>
        <v>9780415242752</v>
      </c>
      <c r="D156" t="str">
        <f>"9780203193679"</f>
        <v>9780203193679</v>
      </c>
      <c r="E156" t="s">
        <v>15</v>
      </c>
      <c r="F156" t="s">
        <v>16</v>
      </c>
      <c r="G156" s="1">
        <v>37232</v>
      </c>
      <c r="H156" s="1">
        <v>38169</v>
      </c>
      <c r="I156" t="s">
        <v>12</v>
      </c>
      <c r="J156" t="s">
        <v>10926</v>
      </c>
    </row>
    <row r="157" spans="1:10" x14ac:dyDescent="0.25">
      <c r="A157">
        <v>168639</v>
      </c>
      <c r="B157" t="s">
        <v>176</v>
      </c>
      <c r="C157" t="str">
        <f>"9780415133272"</f>
        <v>9780415133272</v>
      </c>
      <c r="D157" t="str">
        <f>"9780203198834"</f>
        <v>9780203198834</v>
      </c>
      <c r="E157" t="s">
        <v>15</v>
      </c>
      <c r="F157" t="s">
        <v>16</v>
      </c>
      <c r="G157" s="1">
        <v>35054</v>
      </c>
      <c r="H157" s="1">
        <v>38169</v>
      </c>
      <c r="I157" t="s">
        <v>12</v>
      </c>
      <c r="J157" t="s">
        <v>10927</v>
      </c>
    </row>
    <row r="158" spans="1:10" x14ac:dyDescent="0.25">
      <c r="A158">
        <v>168647</v>
      </c>
      <c r="B158" t="s">
        <v>177</v>
      </c>
      <c r="C158" t="str">
        <f>"9780415171847"</f>
        <v>9780415171847</v>
      </c>
      <c r="D158" t="str">
        <f>"9780203195079"</f>
        <v>9780203195079</v>
      </c>
      <c r="E158" t="s">
        <v>15</v>
      </c>
      <c r="F158" t="s">
        <v>16</v>
      </c>
      <c r="G158" s="1">
        <v>36375</v>
      </c>
      <c r="H158" s="1">
        <v>38169</v>
      </c>
      <c r="I158" t="s">
        <v>12</v>
      </c>
      <c r="J158" t="s">
        <v>10928</v>
      </c>
    </row>
    <row r="159" spans="1:10" x14ac:dyDescent="0.25">
      <c r="A159">
        <v>168681</v>
      </c>
      <c r="B159" t="s">
        <v>178</v>
      </c>
      <c r="C159" t="str">
        <f>"9780415137393"</f>
        <v>9780415137393</v>
      </c>
      <c r="D159" t="str">
        <f>"9780203031063"</f>
        <v>9780203031063</v>
      </c>
      <c r="E159" t="s">
        <v>15</v>
      </c>
      <c r="F159" t="s">
        <v>16</v>
      </c>
      <c r="G159" s="1">
        <v>35563</v>
      </c>
      <c r="H159" s="1">
        <v>38698</v>
      </c>
      <c r="I159" t="s">
        <v>12</v>
      </c>
      <c r="J159" t="s">
        <v>10929</v>
      </c>
    </row>
    <row r="160" spans="1:10" x14ac:dyDescent="0.25">
      <c r="A160">
        <v>168715</v>
      </c>
      <c r="B160" t="s">
        <v>179</v>
      </c>
      <c r="C160" t="str">
        <f>"9780415229289"</f>
        <v>9780415229289</v>
      </c>
      <c r="D160" t="str">
        <f>"9780203193631"</f>
        <v>9780203193631</v>
      </c>
      <c r="E160" t="s">
        <v>15</v>
      </c>
      <c r="F160" t="s">
        <v>16</v>
      </c>
      <c r="G160" s="1">
        <v>37203</v>
      </c>
      <c r="H160" s="1">
        <v>38169</v>
      </c>
      <c r="I160" t="s">
        <v>12</v>
      </c>
      <c r="J160" t="s">
        <v>10930</v>
      </c>
    </row>
    <row r="161" spans="1:10" x14ac:dyDescent="0.25">
      <c r="A161">
        <v>168716</v>
      </c>
      <c r="B161" t="s">
        <v>180</v>
      </c>
      <c r="C161" t="str">
        <f>"9780415233651"</f>
        <v>9780415233651</v>
      </c>
      <c r="D161" t="str">
        <f>"9780203193877"</f>
        <v>9780203193877</v>
      </c>
      <c r="E161" t="s">
        <v>15</v>
      </c>
      <c r="F161" t="s">
        <v>16</v>
      </c>
      <c r="G161" s="1">
        <v>37183</v>
      </c>
      <c r="H161" s="1">
        <v>39107</v>
      </c>
      <c r="I161" t="s">
        <v>12</v>
      </c>
      <c r="J161" t="s">
        <v>10931</v>
      </c>
    </row>
    <row r="162" spans="1:10" x14ac:dyDescent="0.25">
      <c r="A162">
        <v>168719</v>
      </c>
      <c r="B162" t="s">
        <v>181</v>
      </c>
      <c r="C162" t="str">
        <f>"9780415183178"</f>
        <v>9780415183178</v>
      </c>
      <c r="D162" t="str">
        <f>"9780203198315"</f>
        <v>9780203198315</v>
      </c>
      <c r="E162" t="s">
        <v>15</v>
      </c>
      <c r="F162" t="s">
        <v>16</v>
      </c>
      <c r="G162" s="1">
        <v>36250</v>
      </c>
      <c r="H162" s="1">
        <v>39997</v>
      </c>
      <c r="I162" t="s">
        <v>12</v>
      </c>
      <c r="J162" t="s">
        <v>10932</v>
      </c>
    </row>
    <row r="163" spans="1:10" x14ac:dyDescent="0.25">
      <c r="A163">
        <v>168731</v>
      </c>
      <c r="B163" t="s">
        <v>182</v>
      </c>
      <c r="C163" t="str">
        <f>"9780415141116"</f>
        <v>9780415141116</v>
      </c>
      <c r="D163" t="str">
        <f>"9780203024980"</f>
        <v>9780203024980</v>
      </c>
      <c r="E163" t="s">
        <v>15</v>
      </c>
      <c r="F163" t="s">
        <v>16</v>
      </c>
      <c r="G163" s="1">
        <v>35454</v>
      </c>
      <c r="H163" s="1">
        <v>41878</v>
      </c>
      <c r="I163" t="s">
        <v>12</v>
      </c>
      <c r="J163" t="s">
        <v>10933</v>
      </c>
    </row>
    <row r="164" spans="1:10" x14ac:dyDescent="0.25">
      <c r="A164">
        <v>168739</v>
      </c>
      <c r="B164" t="s">
        <v>183</v>
      </c>
      <c r="C164" t="str">
        <f>"9780415143141"</f>
        <v>9780415143141</v>
      </c>
      <c r="D164" t="str">
        <f>"9780203023587"</f>
        <v>9780203023587</v>
      </c>
      <c r="E164" t="s">
        <v>15</v>
      </c>
      <c r="F164" t="s">
        <v>16</v>
      </c>
      <c r="G164" s="1">
        <v>35817</v>
      </c>
      <c r="H164" s="1">
        <v>41877</v>
      </c>
      <c r="I164" t="s">
        <v>12</v>
      </c>
      <c r="J164" t="s">
        <v>10934</v>
      </c>
    </row>
    <row r="165" spans="1:10" x14ac:dyDescent="0.25">
      <c r="A165">
        <v>168827</v>
      </c>
      <c r="B165" t="s">
        <v>184</v>
      </c>
      <c r="C165" t="str">
        <f>"9780415110563"</f>
        <v>9780415110563</v>
      </c>
      <c r="D165" t="str">
        <f>"9780203017463"</f>
        <v>9780203017463</v>
      </c>
      <c r="E165" t="s">
        <v>15</v>
      </c>
      <c r="F165" t="s">
        <v>16</v>
      </c>
      <c r="G165" s="1">
        <v>35941</v>
      </c>
      <c r="H165" s="1">
        <v>38169</v>
      </c>
      <c r="I165" t="s">
        <v>12</v>
      </c>
      <c r="J165" t="s">
        <v>10935</v>
      </c>
    </row>
    <row r="166" spans="1:10" x14ac:dyDescent="0.25">
      <c r="A166">
        <v>168861</v>
      </c>
      <c r="B166" t="s">
        <v>185</v>
      </c>
      <c r="C166" t="str">
        <f>"9780415180290"</f>
        <v>9780415180290</v>
      </c>
      <c r="D166" t="str">
        <f>"9780203014561"</f>
        <v>9780203014561</v>
      </c>
      <c r="E166" t="s">
        <v>15</v>
      </c>
      <c r="F166" t="s">
        <v>16</v>
      </c>
      <c r="G166" s="1">
        <v>35964</v>
      </c>
      <c r="H166" s="1">
        <v>38169</v>
      </c>
      <c r="I166" t="s">
        <v>12</v>
      </c>
      <c r="J166" t="s">
        <v>10936</v>
      </c>
    </row>
    <row r="167" spans="1:10" x14ac:dyDescent="0.25">
      <c r="A167">
        <v>168893</v>
      </c>
      <c r="B167" t="s">
        <v>186</v>
      </c>
      <c r="C167" t="str">
        <f>"9780415161473"</f>
        <v>9780415161473</v>
      </c>
      <c r="D167" t="str">
        <f>"9780203048696"</f>
        <v>9780203048696</v>
      </c>
      <c r="E167" t="s">
        <v>15</v>
      </c>
      <c r="F167" t="s">
        <v>16</v>
      </c>
      <c r="G167" s="1">
        <v>35633</v>
      </c>
      <c r="H167" s="1">
        <v>38169</v>
      </c>
      <c r="I167" t="s">
        <v>12</v>
      </c>
      <c r="J167" t="s">
        <v>10937</v>
      </c>
    </row>
    <row r="168" spans="1:10" x14ac:dyDescent="0.25">
      <c r="A168">
        <v>168895</v>
      </c>
      <c r="B168" t="s">
        <v>187</v>
      </c>
      <c r="C168" t="str">
        <f>"9780415165709"</f>
        <v>9780415165709</v>
      </c>
      <c r="D168" t="str">
        <f>"9780203003398"</f>
        <v>9780203003398</v>
      </c>
      <c r="E168" t="s">
        <v>15</v>
      </c>
      <c r="F168" t="s">
        <v>16</v>
      </c>
      <c r="G168" s="1">
        <v>36420</v>
      </c>
      <c r="H168" s="1">
        <v>38486</v>
      </c>
      <c r="I168" t="s">
        <v>12</v>
      </c>
      <c r="J168" t="s">
        <v>10938</v>
      </c>
    </row>
    <row r="169" spans="1:10" x14ac:dyDescent="0.25">
      <c r="A169">
        <v>168917</v>
      </c>
      <c r="B169" t="s">
        <v>188</v>
      </c>
      <c r="C169" t="str">
        <f>"9780415060400"</f>
        <v>9780415060400</v>
      </c>
      <c r="D169" t="str">
        <f>"9780203207666"</f>
        <v>9780203207666</v>
      </c>
      <c r="E169" t="s">
        <v>15</v>
      </c>
      <c r="F169" t="s">
        <v>16</v>
      </c>
      <c r="G169" s="1">
        <v>33521</v>
      </c>
      <c r="H169" s="1">
        <v>38960</v>
      </c>
      <c r="I169" t="s">
        <v>12</v>
      </c>
      <c r="J169" t="s">
        <v>10939</v>
      </c>
    </row>
    <row r="170" spans="1:10" x14ac:dyDescent="0.25">
      <c r="A170">
        <v>169004</v>
      </c>
      <c r="B170" t="s">
        <v>189</v>
      </c>
      <c r="C170" t="str">
        <f>"9780415183925"</f>
        <v>9780415183925</v>
      </c>
      <c r="D170" t="str">
        <f>"9780203056936"</f>
        <v>9780203056936</v>
      </c>
      <c r="E170" t="s">
        <v>15</v>
      </c>
      <c r="F170" t="s">
        <v>16</v>
      </c>
      <c r="G170" s="1">
        <v>36332</v>
      </c>
      <c r="H170" s="1">
        <v>38169</v>
      </c>
      <c r="I170" t="s">
        <v>12</v>
      </c>
      <c r="J170" t="s">
        <v>10940</v>
      </c>
    </row>
    <row r="171" spans="1:10" x14ac:dyDescent="0.25">
      <c r="A171">
        <v>169011</v>
      </c>
      <c r="B171" t="s">
        <v>190</v>
      </c>
      <c r="C171" t="str">
        <f>"9780415189521"</f>
        <v>9780415189521</v>
      </c>
      <c r="D171" t="str">
        <f>"9780203064870"</f>
        <v>9780203064870</v>
      </c>
      <c r="E171" t="s">
        <v>15</v>
      </c>
      <c r="F171" t="s">
        <v>16</v>
      </c>
      <c r="G171" s="1">
        <v>36032</v>
      </c>
      <c r="H171" s="1">
        <v>38169</v>
      </c>
      <c r="I171" t="s">
        <v>12</v>
      </c>
      <c r="J171" t="s">
        <v>10941</v>
      </c>
    </row>
    <row r="172" spans="1:10" x14ac:dyDescent="0.25">
      <c r="A172">
        <v>169026</v>
      </c>
      <c r="B172" t="s">
        <v>191</v>
      </c>
      <c r="C172" t="str">
        <f>"9780415208093"</f>
        <v>9780415208093</v>
      </c>
      <c r="D172" t="str">
        <f>"9780203020869"</f>
        <v>9780203020869</v>
      </c>
      <c r="E172" t="s">
        <v>15</v>
      </c>
      <c r="F172" t="s">
        <v>16</v>
      </c>
      <c r="G172" s="1">
        <v>36507</v>
      </c>
      <c r="H172" s="1">
        <v>38310</v>
      </c>
      <c r="I172" t="s">
        <v>12</v>
      </c>
      <c r="J172" t="s">
        <v>10942</v>
      </c>
    </row>
    <row r="173" spans="1:10" x14ac:dyDescent="0.25">
      <c r="A173">
        <v>169052</v>
      </c>
      <c r="B173" t="s">
        <v>192</v>
      </c>
      <c r="C173" t="str">
        <f>"9780415036757"</f>
        <v>9780415036757</v>
      </c>
      <c r="D173" t="str">
        <f>"9780203221365"</f>
        <v>9780203221365</v>
      </c>
      <c r="E173" t="s">
        <v>15</v>
      </c>
      <c r="F173" t="s">
        <v>16</v>
      </c>
      <c r="G173" s="1">
        <v>32247</v>
      </c>
      <c r="H173" s="1">
        <v>38169</v>
      </c>
      <c r="I173" t="s">
        <v>12</v>
      </c>
      <c r="J173" t="s">
        <v>10943</v>
      </c>
    </row>
    <row r="174" spans="1:10" x14ac:dyDescent="0.25">
      <c r="A174">
        <v>169200</v>
      </c>
      <c r="B174" t="s">
        <v>193</v>
      </c>
      <c r="C174" t="str">
        <f>"9780415147446"</f>
        <v>9780415147446</v>
      </c>
      <c r="D174" t="str">
        <f>"9780203068878"</f>
        <v>9780203068878</v>
      </c>
      <c r="E174" t="s">
        <v>15</v>
      </c>
      <c r="F174" t="s">
        <v>16</v>
      </c>
      <c r="G174" s="1">
        <v>36189</v>
      </c>
      <c r="H174" s="1">
        <v>38486</v>
      </c>
      <c r="I174" t="s">
        <v>12</v>
      </c>
      <c r="J174" t="s">
        <v>10944</v>
      </c>
    </row>
    <row r="175" spans="1:10" x14ac:dyDescent="0.25">
      <c r="A175">
        <v>169218</v>
      </c>
      <c r="B175" t="s">
        <v>194</v>
      </c>
      <c r="C175" t="str">
        <f>"9780415158718"</f>
        <v>9780415158718</v>
      </c>
      <c r="D175" t="str">
        <f>"9780203216767"</f>
        <v>9780203216767</v>
      </c>
      <c r="E175" t="s">
        <v>15</v>
      </c>
      <c r="F175" t="s">
        <v>16</v>
      </c>
      <c r="G175" s="1">
        <v>35808</v>
      </c>
      <c r="H175" s="1">
        <v>38169</v>
      </c>
      <c r="I175" t="s">
        <v>12</v>
      </c>
      <c r="J175" t="s">
        <v>10945</v>
      </c>
    </row>
    <row r="176" spans="1:10" x14ac:dyDescent="0.25">
      <c r="A176">
        <v>169244</v>
      </c>
      <c r="B176" t="s">
        <v>195</v>
      </c>
      <c r="C176" t="str">
        <f>"9780415168632"</f>
        <v>9780415168632</v>
      </c>
      <c r="D176" t="str">
        <f>"9780203070239"</f>
        <v>9780203070239</v>
      </c>
      <c r="E176" t="s">
        <v>16</v>
      </c>
      <c r="F176" t="s">
        <v>16</v>
      </c>
      <c r="G176" s="1">
        <v>36048</v>
      </c>
      <c r="H176" s="1">
        <v>38169</v>
      </c>
      <c r="I176" t="s">
        <v>12</v>
      </c>
      <c r="J176" t="s">
        <v>10946</v>
      </c>
    </row>
    <row r="177" spans="1:10" x14ac:dyDescent="0.25">
      <c r="A177">
        <v>169250</v>
      </c>
      <c r="B177" t="s">
        <v>196</v>
      </c>
      <c r="C177" t="str">
        <f>"9780415171892"</f>
        <v>9780415171892</v>
      </c>
      <c r="D177" t="str">
        <f>"9780203067062"</f>
        <v>9780203067062</v>
      </c>
      <c r="E177" t="s">
        <v>15</v>
      </c>
      <c r="F177" t="s">
        <v>16</v>
      </c>
      <c r="G177" s="1">
        <v>36123</v>
      </c>
      <c r="H177" s="1">
        <v>41333</v>
      </c>
      <c r="I177" t="s">
        <v>12</v>
      </c>
      <c r="J177" t="s">
        <v>10947</v>
      </c>
    </row>
    <row r="178" spans="1:10" x14ac:dyDescent="0.25">
      <c r="A178">
        <v>169265</v>
      </c>
      <c r="B178" t="s">
        <v>197</v>
      </c>
      <c r="C178" t="str">
        <f>"9780415183864"</f>
        <v>9780415183864</v>
      </c>
      <c r="D178" t="str">
        <f>"9780203073483"</f>
        <v>9780203073483</v>
      </c>
      <c r="E178" t="s">
        <v>15</v>
      </c>
      <c r="F178" t="s">
        <v>16</v>
      </c>
      <c r="G178" s="1">
        <v>36496</v>
      </c>
      <c r="H178" s="1">
        <v>38169</v>
      </c>
      <c r="I178" t="s">
        <v>12</v>
      </c>
      <c r="J178" t="s">
        <v>10948</v>
      </c>
    </row>
    <row r="179" spans="1:10" x14ac:dyDescent="0.25">
      <c r="A179">
        <v>169268</v>
      </c>
      <c r="B179" t="s">
        <v>198</v>
      </c>
      <c r="C179" t="str">
        <f>"9780415128759"</f>
        <v>9780415128759</v>
      </c>
      <c r="D179" t="str">
        <f>"9780203021569"</f>
        <v>9780203021569</v>
      </c>
      <c r="E179" t="s">
        <v>15</v>
      </c>
      <c r="F179" t="s">
        <v>16</v>
      </c>
      <c r="G179" s="1">
        <v>35117</v>
      </c>
      <c r="H179" s="1">
        <v>38169</v>
      </c>
      <c r="I179" t="s">
        <v>12</v>
      </c>
      <c r="J179" t="s">
        <v>10949</v>
      </c>
    </row>
    <row r="180" spans="1:10" x14ac:dyDescent="0.25">
      <c r="A180">
        <v>169395</v>
      </c>
      <c r="B180" t="s">
        <v>199</v>
      </c>
      <c r="C180" t="str">
        <f>"9780415056816"</f>
        <v>9780415056816</v>
      </c>
      <c r="D180" t="str">
        <f>"9780203053171"</f>
        <v>9780203053171</v>
      </c>
      <c r="E180" t="s">
        <v>15</v>
      </c>
      <c r="F180" t="s">
        <v>16</v>
      </c>
      <c r="G180" s="1">
        <v>34145</v>
      </c>
      <c r="H180" s="1">
        <v>41877</v>
      </c>
      <c r="I180" t="s">
        <v>12</v>
      </c>
      <c r="J180" t="s">
        <v>10950</v>
      </c>
    </row>
    <row r="181" spans="1:10" x14ac:dyDescent="0.25">
      <c r="A181">
        <v>169422</v>
      </c>
      <c r="B181" t="s">
        <v>200</v>
      </c>
      <c r="C181" t="str">
        <f>"9780415168502"</f>
        <v>9780415168502</v>
      </c>
      <c r="D181" t="str">
        <f>"9780203004692"</f>
        <v>9780203004692</v>
      </c>
      <c r="E181" t="s">
        <v>15</v>
      </c>
      <c r="F181" t="s">
        <v>16</v>
      </c>
      <c r="G181" s="1">
        <v>36067</v>
      </c>
      <c r="H181" s="1">
        <v>38169</v>
      </c>
      <c r="I181" t="s">
        <v>12</v>
      </c>
      <c r="J181" t="s">
        <v>10951</v>
      </c>
    </row>
    <row r="182" spans="1:10" x14ac:dyDescent="0.25">
      <c r="A182">
        <v>169428</v>
      </c>
      <c r="B182" t="s">
        <v>201</v>
      </c>
      <c r="C182" t="str">
        <f>"9780415179577"</f>
        <v>9780415179577</v>
      </c>
      <c r="D182" t="str">
        <f>"9780203130636"</f>
        <v>9780203130636</v>
      </c>
      <c r="E182" t="s">
        <v>15</v>
      </c>
      <c r="F182" t="s">
        <v>16</v>
      </c>
      <c r="G182" s="1">
        <v>36475</v>
      </c>
      <c r="H182" s="1">
        <v>38169</v>
      </c>
      <c r="I182" t="s">
        <v>12</v>
      </c>
      <c r="J182" t="s">
        <v>10952</v>
      </c>
    </row>
    <row r="183" spans="1:10" x14ac:dyDescent="0.25">
      <c r="A183">
        <v>169448</v>
      </c>
      <c r="B183" t="s">
        <v>202</v>
      </c>
      <c r="C183" t="str">
        <f>"9780415204354"</f>
        <v>9780415204354</v>
      </c>
      <c r="D183" t="str">
        <f>"9780203160534"</f>
        <v>9780203160534</v>
      </c>
      <c r="E183" t="s">
        <v>15</v>
      </c>
      <c r="F183" t="s">
        <v>16</v>
      </c>
      <c r="G183" s="1">
        <v>36817</v>
      </c>
      <c r="H183" s="1">
        <v>38486</v>
      </c>
      <c r="I183" t="s">
        <v>12</v>
      </c>
      <c r="J183" t="s">
        <v>10953</v>
      </c>
    </row>
    <row r="184" spans="1:10" x14ac:dyDescent="0.25">
      <c r="A184">
        <v>169457</v>
      </c>
      <c r="B184" t="s">
        <v>203</v>
      </c>
      <c r="C184" t="str">
        <f>"9780415223263"</f>
        <v>9780415223263</v>
      </c>
      <c r="D184" t="str">
        <f>"9780203162057"</f>
        <v>9780203162057</v>
      </c>
      <c r="E184" t="s">
        <v>15</v>
      </c>
      <c r="F184" t="s">
        <v>16</v>
      </c>
      <c r="G184" s="1">
        <v>37127</v>
      </c>
      <c r="H184" s="1">
        <v>38169</v>
      </c>
      <c r="I184" t="s">
        <v>12</v>
      </c>
      <c r="J184" t="s">
        <v>10954</v>
      </c>
    </row>
    <row r="185" spans="1:10" x14ac:dyDescent="0.25">
      <c r="A185">
        <v>169481</v>
      </c>
      <c r="B185" t="s">
        <v>204</v>
      </c>
      <c r="C185" t="str">
        <f>"9780415009980"</f>
        <v>9780415009980</v>
      </c>
      <c r="D185" t="str">
        <f>"9780203206720"</f>
        <v>9780203206720</v>
      </c>
      <c r="E185" t="s">
        <v>15</v>
      </c>
      <c r="F185" t="s">
        <v>16</v>
      </c>
      <c r="G185" s="1">
        <v>33661</v>
      </c>
      <c r="H185" s="1">
        <v>38169</v>
      </c>
      <c r="I185" t="s">
        <v>12</v>
      </c>
      <c r="J185" t="s">
        <v>10955</v>
      </c>
    </row>
    <row r="186" spans="1:10" x14ac:dyDescent="0.25">
      <c r="A186">
        <v>169490</v>
      </c>
      <c r="B186" t="s">
        <v>205</v>
      </c>
      <c r="C186" t="str">
        <f>"9780415021371"</f>
        <v>9780415021371</v>
      </c>
      <c r="D186" t="str">
        <f>"9780203036327"</f>
        <v>9780203036327</v>
      </c>
      <c r="E186" t="s">
        <v>15</v>
      </c>
      <c r="F186" t="s">
        <v>16</v>
      </c>
      <c r="G186" s="1">
        <v>34311</v>
      </c>
      <c r="H186" s="1">
        <v>38169</v>
      </c>
      <c r="I186" t="s">
        <v>12</v>
      </c>
      <c r="J186" t="s">
        <v>10956</v>
      </c>
    </row>
    <row r="187" spans="1:10" x14ac:dyDescent="0.25">
      <c r="A187">
        <v>169580</v>
      </c>
      <c r="B187" t="s">
        <v>206</v>
      </c>
      <c r="C187" t="str">
        <f>"9780415057547"</f>
        <v>9780415057547</v>
      </c>
      <c r="D187" t="str">
        <f>"9780203042830"</f>
        <v>9780203042830</v>
      </c>
      <c r="E187" t="s">
        <v>15</v>
      </c>
      <c r="F187" t="s">
        <v>16</v>
      </c>
      <c r="G187" s="1">
        <v>35328</v>
      </c>
      <c r="H187" s="1">
        <v>38169</v>
      </c>
      <c r="I187" t="s">
        <v>12</v>
      </c>
      <c r="J187" t="s">
        <v>10957</v>
      </c>
    </row>
    <row r="188" spans="1:10" x14ac:dyDescent="0.25">
      <c r="A188">
        <v>169611</v>
      </c>
      <c r="B188" t="s">
        <v>207</v>
      </c>
      <c r="C188" t="str">
        <f>"9780415132459"</f>
        <v>9780415132459</v>
      </c>
      <c r="D188" t="str">
        <f>"9780203030240"</f>
        <v>9780203030240</v>
      </c>
      <c r="E188" t="s">
        <v>15</v>
      </c>
      <c r="F188" t="s">
        <v>16</v>
      </c>
      <c r="G188" s="1">
        <v>35051</v>
      </c>
      <c r="H188" s="1">
        <v>38169</v>
      </c>
      <c r="I188" t="s">
        <v>12</v>
      </c>
      <c r="J188" t="s">
        <v>10958</v>
      </c>
    </row>
    <row r="189" spans="1:10" x14ac:dyDescent="0.25">
      <c r="A189">
        <v>169628</v>
      </c>
      <c r="B189" t="s">
        <v>208</v>
      </c>
      <c r="C189" t="str">
        <f>"9780415150941"</f>
        <v>9780415150941</v>
      </c>
      <c r="D189" t="str">
        <f>"9780203135013"</f>
        <v>9780203135013</v>
      </c>
      <c r="E189" t="s">
        <v>15</v>
      </c>
      <c r="F189" t="s">
        <v>16</v>
      </c>
      <c r="G189" s="1">
        <v>35555</v>
      </c>
      <c r="H189" s="1">
        <v>38169</v>
      </c>
      <c r="I189" t="s">
        <v>12</v>
      </c>
      <c r="J189" t="s">
        <v>10959</v>
      </c>
    </row>
    <row r="190" spans="1:10" x14ac:dyDescent="0.25">
      <c r="A190">
        <v>169649</v>
      </c>
      <c r="B190" t="s">
        <v>209</v>
      </c>
      <c r="C190" t="str">
        <f>"9780415168397"</f>
        <v>9780415168397</v>
      </c>
      <c r="D190" t="str">
        <f>"9780203020319"</f>
        <v>9780203020319</v>
      </c>
      <c r="E190" t="s">
        <v>15</v>
      </c>
      <c r="F190" t="s">
        <v>16</v>
      </c>
      <c r="G190" s="1">
        <v>36235</v>
      </c>
      <c r="H190" s="1">
        <v>38169</v>
      </c>
      <c r="I190" t="s">
        <v>12</v>
      </c>
      <c r="J190" t="s">
        <v>10960</v>
      </c>
    </row>
    <row r="191" spans="1:10" x14ac:dyDescent="0.25">
      <c r="A191">
        <v>169663</v>
      </c>
      <c r="B191" t="s">
        <v>210</v>
      </c>
      <c r="C191" t="str">
        <f>"9780415174961"</f>
        <v>9780415174961</v>
      </c>
      <c r="D191" t="str">
        <f>"9780203016329"</f>
        <v>9780203016329</v>
      </c>
      <c r="E191" t="s">
        <v>15</v>
      </c>
      <c r="F191" t="s">
        <v>16</v>
      </c>
      <c r="G191" s="1">
        <v>36285</v>
      </c>
      <c r="H191" s="1">
        <v>38169</v>
      </c>
      <c r="I191" t="s">
        <v>12</v>
      </c>
      <c r="J191" t="s">
        <v>10961</v>
      </c>
    </row>
    <row r="192" spans="1:10" x14ac:dyDescent="0.25">
      <c r="A192">
        <v>169690</v>
      </c>
      <c r="B192" t="s">
        <v>211</v>
      </c>
      <c r="C192" t="str">
        <f>"9780415191364"</f>
        <v>9780415191364</v>
      </c>
      <c r="D192" t="str">
        <f>"9780203025437"</f>
        <v>9780203025437</v>
      </c>
      <c r="E192" t="s">
        <v>16</v>
      </c>
      <c r="F192" t="s">
        <v>16</v>
      </c>
      <c r="G192" s="1">
        <v>36426</v>
      </c>
      <c r="H192" s="1">
        <v>38142</v>
      </c>
      <c r="I192" t="s">
        <v>12</v>
      </c>
      <c r="J192" t="s">
        <v>10962</v>
      </c>
    </row>
    <row r="193" spans="1:10" x14ac:dyDescent="0.25">
      <c r="A193">
        <v>169703</v>
      </c>
      <c r="B193" t="s">
        <v>212</v>
      </c>
      <c r="C193" t="str">
        <f>"9780415198363"</f>
        <v>9780415198363</v>
      </c>
      <c r="D193" t="str">
        <f>"9780203015896"</f>
        <v>9780203015896</v>
      </c>
      <c r="E193" t="s">
        <v>15</v>
      </c>
      <c r="F193" t="s">
        <v>16</v>
      </c>
      <c r="G193" s="1">
        <v>36332</v>
      </c>
      <c r="H193" s="1">
        <v>38169</v>
      </c>
      <c r="I193" t="s">
        <v>12</v>
      </c>
      <c r="J193" t="s">
        <v>10963</v>
      </c>
    </row>
    <row r="194" spans="1:10" x14ac:dyDescent="0.25">
      <c r="A194">
        <v>169729</v>
      </c>
      <c r="B194" t="s">
        <v>213</v>
      </c>
      <c r="C194" t="str">
        <f>"9780415137812"</f>
        <v>9780415137812</v>
      </c>
      <c r="D194" t="str">
        <f>"9780203206607"</f>
        <v>9780203206607</v>
      </c>
      <c r="E194" t="s">
        <v>15</v>
      </c>
      <c r="F194" t="s">
        <v>16</v>
      </c>
      <c r="G194" s="1">
        <v>37040</v>
      </c>
      <c r="H194" s="1">
        <v>42067</v>
      </c>
      <c r="I194" t="s">
        <v>12</v>
      </c>
      <c r="J194" t="s">
        <v>10964</v>
      </c>
    </row>
    <row r="195" spans="1:10" x14ac:dyDescent="0.25">
      <c r="A195">
        <v>169792</v>
      </c>
      <c r="B195" t="s">
        <v>214</v>
      </c>
      <c r="C195" t="str">
        <f>"9780415142977"</f>
        <v>9780415142977</v>
      </c>
      <c r="D195" t="str">
        <f>"9780203031223"</f>
        <v>9780203031223</v>
      </c>
      <c r="E195" t="s">
        <v>15</v>
      </c>
      <c r="F195" t="s">
        <v>16</v>
      </c>
      <c r="G195" s="1">
        <v>35732</v>
      </c>
      <c r="H195" s="1">
        <v>38837</v>
      </c>
      <c r="I195" t="s">
        <v>12</v>
      </c>
      <c r="J195" t="s">
        <v>10965</v>
      </c>
    </row>
    <row r="196" spans="1:10" x14ac:dyDescent="0.25">
      <c r="A196">
        <v>169844</v>
      </c>
      <c r="B196" t="s">
        <v>215</v>
      </c>
      <c r="C196" t="str">
        <f>"9780415206648"</f>
        <v>9780415206648</v>
      </c>
      <c r="D196" t="str">
        <f>"9780203021514"</f>
        <v>9780203021514</v>
      </c>
      <c r="E196" t="s">
        <v>15</v>
      </c>
      <c r="F196" t="s">
        <v>16</v>
      </c>
      <c r="G196" s="1">
        <v>36557</v>
      </c>
      <c r="H196" s="1">
        <v>38169</v>
      </c>
      <c r="I196" t="s">
        <v>12</v>
      </c>
      <c r="J196" t="s">
        <v>10966</v>
      </c>
    </row>
    <row r="197" spans="1:10" x14ac:dyDescent="0.25">
      <c r="A197">
        <v>169849</v>
      </c>
      <c r="B197" t="s">
        <v>216</v>
      </c>
      <c r="C197" t="str">
        <f>"9780415224499"</f>
        <v>9780415224499</v>
      </c>
      <c r="D197" t="str">
        <f>"9780203464861"</f>
        <v>9780203464861</v>
      </c>
      <c r="E197" t="s">
        <v>15</v>
      </c>
      <c r="F197" t="s">
        <v>16</v>
      </c>
      <c r="G197" s="1">
        <v>37358</v>
      </c>
      <c r="H197" s="1">
        <v>38169</v>
      </c>
      <c r="I197" t="s">
        <v>12</v>
      </c>
      <c r="J197" t="s">
        <v>10967</v>
      </c>
    </row>
    <row r="198" spans="1:10" x14ac:dyDescent="0.25">
      <c r="A198">
        <v>169850</v>
      </c>
      <c r="B198" t="s">
        <v>217</v>
      </c>
      <c r="C198" t="str">
        <f>"9780415224628"</f>
        <v>9780415224628</v>
      </c>
      <c r="D198" t="str">
        <f>"9780203464915"</f>
        <v>9780203464915</v>
      </c>
      <c r="E198" t="s">
        <v>15</v>
      </c>
      <c r="F198" t="s">
        <v>16</v>
      </c>
      <c r="G198" s="1">
        <v>36654</v>
      </c>
      <c r="H198" s="1">
        <v>38169</v>
      </c>
      <c r="I198" t="s">
        <v>12</v>
      </c>
      <c r="J198" t="s">
        <v>10968</v>
      </c>
    </row>
    <row r="199" spans="1:10" x14ac:dyDescent="0.25">
      <c r="A199">
        <v>169878</v>
      </c>
      <c r="B199" t="s">
        <v>218</v>
      </c>
      <c r="C199" t="str">
        <f>"9780748405145"</f>
        <v>9780748405145</v>
      </c>
      <c r="D199" t="str">
        <f>"9780203483398"</f>
        <v>9780203483398</v>
      </c>
      <c r="E199" t="s">
        <v>15</v>
      </c>
      <c r="F199" t="s">
        <v>139</v>
      </c>
      <c r="G199" s="1">
        <v>36145</v>
      </c>
      <c r="H199" s="1">
        <v>38169</v>
      </c>
      <c r="I199" t="s">
        <v>12</v>
      </c>
      <c r="J199" t="s">
        <v>10969</v>
      </c>
    </row>
    <row r="200" spans="1:10" x14ac:dyDescent="0.25">
      <c r="A200">
        <v>169917</v>
      </c>
      <c r="B200" t="s">
        <v>219</v>
      </c>
      <c r="C200" t="str">
        <f>"9780415137409"</f>
        <v>9780415137409</v>
      </c>
      <c r="D200" t="str">
        <f>"9780203437193"</f>
        <v>9780203437193</v>
      </c>
      <c r="E200" t="s">
        <v>15</v>
      </c>
      <c r="F200" t="s">
        <v>16</v>
      </c>
      <c r="G200" s="1">
        <v>35207</v>
      </c>
      <c r="H200" s="1">
        <v>38169</v>
      </c>
      <c r="I200" t="s">
        <v>12</v>
      </c>
      <c r="J200" t="s">
        <v>10970</v>
      </c>
    </row>
    <row r="201" spans="1:10" x14ac:dyDescent="0.25">
      <c r="A201">
        <v>169936</v>
      </c>
      <c r="B201" t="s">
        <v>220</v>
      </c>
      <c r="C201" t="str">
        <f>"9780415227629"</f>
        <v>9780415227629</v>
      </c>
      <c r="D201" t="str">
        <f>"9780203465714"</f>
        <v>9780203465714</v>
      </c>
      <c r="E201" t="s">
        <v>15</v>
      </c>
      <c r="F201" t="s">
        <v>16</v>
      </c>
      <c r="G201" s="1">
        <v>37407</v>
      </c>
      <c r="H201" s="1">
        <v>38169</v>
      </c>
      <c r="I201" t="s">
        <v>12</v>
      </c>
      <c r="J201" t="s">
        <v>10971</v>
      </c>
    </row>
    <row r="202" spans="1:10" x14ac:dyDescent="0.25">
      <c r="A202">
        <v>169945</v>
      </c>
      <c r="B202" t="s">
        <v>221</v>
      </c>
      <c r="C202" t="str">
        <f>"9780415247955"</f>
        <v>9780415247955</v>
      </c>
      <c r="D202" t="str">
        <f>"9780203453476"</f>
        <v>9780203453476</v>
      </c>
      <c r="E202" t="s">
        <v>15</v>
      </c>
      <c r="F202" t="s">
        <v>16</v>
      </c>
      <c r="G202" s="1">
        <v>37246</v>
      </c>
      <c r="H202" s="1">
        <v>38169</v>
      </c>
      <c r="I202" t="s">
        <v>12</v>
      </c>
      <c r="J202" t="s">
        <v>10972</v>
      </c>
    </row>
    <row r="203" spans="1:10" x14ac:dyDescent="0.25">
      <c r="A203">
        <v>169967</v>
      </c>
      <c r="B203" t="s">
        <v>222</v>
      </c>
      <c r="C203" t="str">
        <f>"9780415172523"</f>
        <v>9780415172523</v>
      </c>
      <c r="D203" t="str">
        <f>"9780203449127"</f>
        <v>9780203449127</v>
      </c>
      <c r="E203" t="s">
        <v>15</v>
      </c>
      <c r="F203" t="s">
        <v>16</v>
      </c>
      <c r="G203" s="1">
        <v>36475</v>
      </c>
      <c r="H203" s="1">
        <v>38169</v>
      </c>
      <c r="I203" t="s">
        <v>12</v>
      </c>
      <c r="J203" t="s">
        <v>10973</v>
      </c>
    </row>
    <row r="204" spans="1:10" x14ac:dyDescent="0.25">
      <c r="A204">
        <v>170016</v>
      </c>
      <c r="B204" t="s">
        <v>223</v>
      </c>
      <c r="C204" t="str">
        <f>"9780415060639"</f>
        <v>9780415060639</v>
      </c>
      <c r="D204" t="str">
        <f>"9780203413081"</f>
        <v>9780203413081</v>
      </c>
      <c r="E204" t="s">
        <v>15</v>
      </c>
      <c r="F204" t="s">
        <v>16</v>
      </c>
      <c r="G204" s="1">
        <v>34369</v>
      </c>
      <c r="H204" s="1">
        <v>38169</v>
      </c>
      <c r="I204" t="s">
        <v>12</v>
      </c>
      <c r="J204" t="s">
        <v>10974</v>
      </c>
    </row>
    <row r="205" spans="1:10" x14ac:dyDescent="0.25">
      <c r="A205">
        <v>170020</v>
      </c>
      <c r="B205" t="s">
        <v>224</v>
      </c>
      <c r="C205" t="str">
        <f>"9780415070317"</f>
        <v>9780415070317</v>
      </c>
      <c r="D205" t="str">
        <f>"9780203415825"</f>
        <v>9780203415825</v>
      </c>
      <c r="E205" t="s">
        <v>15</v>
      </c>
      <c r="F205" t="s">
        <v>16</v>
      </c>
      <c r="G205" s="1">
        <v>33676</v>
      </c>
      <c r="H205" s="1">
        <v>38169</v>
      </c>
      <c r="I205" t="s">
        <v>12</v>
      </c>
      <c r="J205" t="s">
        <v>10975</v>
      </c>
    </row>
    <row r="206" spans="1:10" x14ac:dyDescent="0.25">
      <c r="A206">
        <v>170071</v>
      </c>
      <c r="B206" t="s">
        <v>225</v>
      </c>
      <c r="C206" t="str">
        <f>"9780415116060"</f>
        <v>9780415116060</v>
      </c>
      <c r="D206" t="str">
        <f>"9780203429365"</f>
        <v>9780203429365</v>
      </c>
      <c r="E206" t="s">
        <v>15</v>
      </c>
      <c r="F206" t="s">
        <v>16</v>
      </c>
      <c r="G206" s="1">
        <v>35454</v>
      </c>
      <c r="H206" s="1">
        <v>38169</v>
      </c>
      <c r="I206" t="s">
        <v>12</v>
      </c>
      <c r="J206" t="s">
        <v>10976</v>
      </c>
    </row>
    <row r="207" spans="1:10" x14ac:dyDescent="0.25">
      <c r="A207">
        <v>170083</v>
      </c>
      <c r="B207" t="s">
        <v>226</v>
      </c>
      <c r="C207" t="str">
        <f>"9780415093903"</f>
        <v>9780415093903</v>
      </c>
      <c r="D207" t="str">
        <f>"9780203434550"</f>
        <v>9780203434550</v>
      </c>
      <c r="E207" t="s">
        <v>15</v>
      </c>
      <c r="F207" t="s">
        <v>16</v>
      </c>
      <c r="G207" s="1">
        <v>35073</v>
      </c>
      <c r="H207" s="1">
        <v>38169</v>
      </c>
      <c r="I207" t="s">
        <v>12</v>
      </c>
      <c r="J207" t="s">
        <v>10977</v>
      </c>
    </row>
    <row r="208" spans="1:10" x14ac:dyDescent="0.25">
      <c r="A208">
        <v>170101</v>
      </c>
      <c r="B208" t="s">
        <v>227</v>
      </c>
      <c r="C208" t="str">
        <f>"9780415137980"</f>
        <v>9780415137980</v>
      </c>
      <c r="D208" t="str">
        <f>"9780203437452"</f>
        <v>9780203437452</v>
      </c>
      <c r="E208" t="s">
        <v>15</v>
      </c>
      <c r="F208" t="s">
        <v>16</v>
      </c>
      <c r="G208" s="1">
        <v>35779</v>
      </c>
      <c r="H208" s="1">
        <v>38565</v>
      </c>
      <c r="I208" t="s">
        <v>12</v>
      </c>
      <c r="J208" t="s">
        <v>10978</v>
      </c>
    </row>
    <row r="209" spans="1:10" x14ac:dyDescent="0.25">
      <c r="A209">
        <v>170112</v>
      </c>
      <c r="B209" t="s">
        <v>228</v>
      </c>
      <c r="C209" t="str">
        <f>"9780415148290"</f>
        <v>9780415148290</v>
      </c>
      <c r="D209" t="str">
        <f>"9780203012154"</f>
        <v>9780203012154</v>
      </c>
      <c r="E209" t="s">
        <v>15</v>
      </c>
      <c r="F209" t="s">
        <v>16</v>
      </c>
      <c r="G209" s="1">
        <v>35388</v>
      </c>
      <c r="H209" s="1">
        <v>41877</v>
      </c>
      <c r="I209" t="s">
        <v>12</v>
      </c>
      <c r="J209" t="s">
        <v>10979</v>
      </c>
    </row>
    <row r="210" spans="1:10" x14ac:dyDescent="0.25">
      <c r="A210">
        <v>170136</v>
      </c>
      <c r="B210" t="s">
        <v>229</v>
      </c>
      <c r="C210" t="str">
        <f>"9780415185325"</f>
        <v>9780415185325</v>
      </c>
      <c r="D210" t="str">
        <f>"9780203446010"</f>
        <v>9780203446010</v>
      </c>
      <c r="E210" t="s">
        <v>15</v>
      </c>
      <c r="F210" t="s">
        <v>16</v>
      </c>
      <c r="G210" s="1">
        <v>35922</v>
      </c>
      <c r="H210" s="1">
        <v>38633</v>
      </c>
      <c r="I210" t="s">
        <v>12</v>
      </c>
      <c r="J210" t="s">
        <v>10980</v>
      </c>
    </row>
    <row r="211" spans="1:10" x14ac:dyDescent="0.25">
      <c r="A211">
        <v>170138</v>
      </c>
      <c r="B211" t="s">
        <v>230</v>
      </c>
      <c r="C211" t="str">
        <f>"9780415181556"</f>
        <v>9780415181556</v>
      </c>
      <c r="D211" t="str">
        <f>"9780203451137"</f>
        <v>9780203451137</v>
      </c>
      <c r="E211" t="s">
        <v>15</v>
      </c>
      <c r="F211" t="s">
        <v>16</v>
      </c>
      <c r="G211" s="1">
        <v>36706</v>
      </c>
      <c r="H211" s="1">
        <v>38169</v>
      </c>
      <c r="I211" t="s">
        <v>12</v>
      </c>
      <c r="J211" t="s">
        <v>10981</v>
      </c>
    </row>
    <row r="212" spans="1:10" x14ac:dyDescent="0.25">
      <c r="A212">
        <v>170139</v>
      </c>
      <c r="B212" t="s">
        <v>231</v>
      </c>
      <c r="C212" t="str">
        <f>"9780415182201"</f>
        <v>9780415182201</v>
      </c>
      <c r="D212" t="str">
        <f>"9780203451335"</f>
        <v>9780203451335</v>
      </c>
      <c r="E212" t="s">
        <v>15</v>
      </c>
      <c r="F212" t="s">
        <v>16</v>
      </c>
      <c r="G212" s="1">
        <v>36781</v>
      </c>
      <c r="H212" s="1">
        <v>38169</v>
      </c>
      <c r="I212" t="s">
        <v>12</v>
      </c>
      <c r="J212" t="s">
        <v>10982</v>
      </c>
    </row>
    <row r="213" spans="1:10" x14ac:dyDescent="0.25">
      <c r="A213">
        <v>170146</v>
      </c>
      <c r="B213" t="s">
        <v>232</v>
      </c>
      <c r="C213" t="str">
        <f>"9780415190343"</f>
        <v>9780415190343</v>
      </c>
      <c r="D213" t="str">
        <f>"9780203452431"</f>
        <v>9780203452431</v>
      </c>
      <c r="E213" t="s">
        <v>15</v>
      </c>
      <c r="F213" t="s">
        <v>16</v>
      </c>
      <c r="G213" s="1">
        <v>36916</v>
      </c>
      <c r="H213" s="1">
        <v>38169</v>
      </c>
      <c r="I213" t="s">
        <v>12</v>
      </c>
      <c r="J213" t="s">
        <v>10983</v>
      </c>
    </row>
    <row r="214" spans="1:10" x14ac:dyDescent="0.25">
      <c r="A214">
        <v>170154</v>
      </c>
      <c r="B214" t="s">
        <v>233</v>
      </c>
      <c r="C214" t="str">
        <f>"9780415206150"</f>
        <v>9780415206150</v>
      </c>
      <c r="D214" t="str">
        <f>"9780203459348"</f>
        <v>9780203459348</v>
      </c>
      <c r="E214" t="s">
        <v>15</v>
      </c>
      <c r="F214" t="s">
        <v>16</v>
      </c>
      <c r="G214" s="1">
        <v>36682</v>
      </c>
      <c r="H214" s="1">
        <v>38169</v>
      </c>
      <c r="I214" t="s">
        <v>12</v>
      </c>
      <c r="J214" t="s">
        <v>10984</v>
      </c>
    </row>
    <row r="215" spans="1:10" x14ac:dyDescent="0.25">
      <c r="A215">
        <v>170203</v>
      </c>
      <c r="B215" t="s">
        <v>234</v>
      </c>
      <c r="C215" t="str">
        <f>"9780415241793"</f>
        <v>9780415241793</v>
      </c>
      <c r="D215" t="str">
        <f>"9780203470787"</f>
        <v>9780203470787</v>
      </c>
      <c r="E215" t="s">
        <v>15</v>
      </c>
      <c r="F215" t="s">
        <v>16</v>
      </c>
      <c r="G215" s="1">
        <v>36860</v>
      </c>
      <c r="H215" s="1">
        <v>38169</v>
      </c>
      <c r="I215" t="s">
        <v>12</v>
      </c>
      <c r="J215" t="s">
        <v>10985</v>
      </c>
    </row>
    <row r="216" spans="1:10" x14ac:dyDescent="0.25">
      <c r="A216">
        <v>170224</v>
      </c>
      <c r="B216" t="s">
        <v>235</v>
      </c>
      <c r="C216" t="str">
        <f>"9780415922081"</f>
        <v>9780415922081</v>
      </c>
      <c r="D216" t="str">
        <f>"9780203905210"</f>
        <v>9780203905210</v>
      </c>
      <c r="E216" t="s">
        <v>15</v>
      </c>
      <c r="F216" t="s">
        <v>16</v>
      </c>
      <c r="G216" s="1">
        <v>36258</v>
      </c>
      <c r="H216" s="1">
        <v>38169</v>
      </c>
      <c r="I216" t="s">
        <v>12</v>
      </c>
      <c r="J216" t="s">
        <v>10986</v>
      </c>
    </row>
    <row r="217" spans="1:10" x14ac:dyDescent="0.25">
      <c r="A217">
        <v>170264</v>
      </c>
      <c r="B217" t="s">
        <v>236</v>
      </c>
      <c r="C217" t="str">
        <f>"9780419189602"</f>
        <v>9780419189602</v>
      </c>
      <c r="D217" t="str">
        <f>"9780203474839"</f>
        <v>9780203474839</v>
      </c>
      <c r="E217" t="s">
        <v>15</v>
      </c>
      <c r="F217" t="s">
        <v>16</v>
      </c>
      <c r="G217" s="1">
        <v>36770</v>
      </c>
      <c r="H217" s="1">
        <v>38169</v>
      </c>
      <c r="I217" t="s">
        <v>12</v>
      </c>
      <c r="J217" t="s">
        <v>10987</v>
      </c>
    </row>
    <row r="218" spans="1:10" x14ac:dyDescent="0.25">
      <c r="A218">
        <v>170284</v>
      </c>
      <c r="B218" t="s">
        <v>237</v>
      </c>
      <c r="C218" t="str">
        <f>"9780419257509"</f>
        <v>9780419257509</v>
      </c>
      <c r="D218" t="str">
        <f>"9780203478912"</f>
        <v>9780203478912</v>
      </c>
      <c r="E218" t="s">
        <v>144</v>
      </c>
      <c r="F218" t="s">
        <v>153</v>
      </c>
      <c r="G218" s="1">
        <v>36957</v>
      </c>
      <c r="H218" s="1">
        <v>38169</v>
      </c>
      <c r="I218" t="s">
        <v>12</v>
      </c>
      <c r="J218" t="s">
        <v>10988</v>
      </c>
    </row>
    <row r="219" spans="1:10" x14ac:dyDescent="0.25">
      <c r="A219">
        <v>170321</v>
      </c>
      <c r="B219" t="s">
        <v>238</v>
      </c>
      <c r="C219" t="str">
        <f>"9780815319573"</f>
        <v>9780815319573</v>
      </c>
      <c r="D219" t="str">
        <f>"9780203905074"</f>
        <v>9780203905074</v>
      </c>
      <c r="E219" t="s">
        <v>15</v>
      </c>
      <c r="F219" t="s">
        <v>16</v>
      </c>
      <c r="G219" s="1">
        <v>36495</v>
      </c>
      <c r="H219" s="1">
        <v>38169</v>
      </c>
      <c r="I219" t="s">
        <v>12</v>
      </c>
      <c r="J219" t="s">
        <v>10989</v>
      </c>
    </row>
    <row r="220" spans="1:10" x14ac:dyDescent="0.25">
      <c r="A220">
        <v>170373</v>
      </c>
      <c r="B220" t="s">
        <v>239</v>
      </c>
      <c r="C220" t="str">
        <f>"9780415136921"</f>
        <v>9780415136921</v>
      </c>
      <c r="D220" t="str">
        <f>"9780203437025"</f>
        <v>9780203437025</v>
      </c>
      <c r="E220" t="s">
        <v>16</v>
      </c>
      <c r="F220" t="s">
        <v>16</v>
      </c>
      <c r="G220" s="1">
        <v>35656</v>
      </c>
      <c r="H220" s="1">
        <v>38169</v>
      </c>
      <c r="I220" t="s">
        <v>12</v>
      </c>
      <c r="J220" t="s">
        <v>10990</v>
      </c>
    </row>
    <row r="221" spans="1:10" x14ac:dyDescent="0.25">
      <c r="A221">
        <v>170426</v>
      </c>
      <c r="B221" t="s">
        <v>240</v>
      </c>
      <c r="C221" t="str">
        <f>"9780415138796"</f>
        <v>9780415138796</v>
      </c>
      <c r="D221" t="str">
        <f>"9780203437759"</f>
        <v>9780203437759</v>
      </c>
      <c r="E221" t="s">
        <v>15</v>
      </c>
      <c r="F221" t="s">
        <v>16</v>
      </c>
      <c r="G221" s="1">
        <v>35163</v>
      </c>
      <c r="H221" s="1">
        <v>38169</v>
      </c>
      <c r="I221" t="s">
        <v>12</v>
      </c>
      <c r="J221" t="s">
        <v>10991</v>
      </c>
    </row>
    <row r="222" spans="1:10" x14ac:dyDescent="0.25">
      <c r="A222">
        <v>170476</v>
      </c>
      <c r="B222" t="s">
        <v>241</v>
      </c>
      <c r="C222" t="str">
        <f>"9780415208444"</f>
        <v>9780415208444</v>
      </c>
      <c r="D222" t="str">
        <f>"9780203022412"</f>
        <v>9780203022412</v>
      </c>
      <c r="E222" t="s">
        <v>15</v>
      </c>
      <c r="F222" t="s">
        <v>16</v>
      </c>
      <c r="G222" s="1">
        <v>36671</v>
      </c>
      <c r="H222" s="1">
        <v>38169</v>
      </c>
      <c r="I222" t="s">
        <v>12</v>
      </c>
      <c r="J222" t="s">
        <v>10992</v>
      </c>
    </row>
    <row r="223" spans="1:10" x14ac:dyDescent="0.25">
      <c r="A223">
        <v>170479</v>
      </c>
      <c r="B223" t="s">
        <v>242</v>
      </c>
      <c r="C223" t="str">
        <f>"9780415195515"</f>
        <v>9780415195515</v>
      </c>
      <c r="D223" t="str">
        <f>"9780203455746"</f>
        <v>9780203455746</v>
      </c>
      <c r="E223" t="s">
        <v>15</v>
      </c>
      <c r="F223" t="s">
        <v>16</v>
      </c>
      <c r="G223" s="1">
        <v>36753</v>
      </c>
      <c r="H223" s="1">
        <v>38169</v>
      </c>
      <c r="I223" t="s">
        <v>12</v>
      </c>
      <c r="J223" t="s">
        <v>10993</v>
      </c>
    </row>
    <row r="224" spans="1:10" x14ac:dyDescent="0.25">
      <c r="A224">
        <v>170532</v>
      </c>
      <c r="B224" t="s">
        <v>243</v>
      </c>
      <c r="C224" t="str">
        <f>"9780415926898"</f>
        <v>9780415926898</v>
      </c>
      <c r="D224" t="str">
        <f>"9780203906682"</f>
        <v>9780203906682</v>
      </c>
      <c r="E224" t="s">
        <v>15</v>
      </c>
      <c r="F224" t="s">
        <v>16</v>
      </c>
      <c r="G224" s="1">
        <v>36790</v>
      </c>
      <c r="H224" s="1">
        <v>38169</v>
      </c>
      <c r="I224" t="s">
        <v>12</v>
      </c>
      <c r="J224" t="s">
        <v>10994</v>
      </c>
    </row>
    <row r="225" spans="1:10" x14ac:dyDescent="0.25">
      <c r="A225">
        <v>170540</v>
      </c>
      <c r="B225" t="s">
        <v>244</v>
      </c>
      <c r="C225" t="str">
        <f>"9780419169307"</f>
        <v>9780419169307</v>
      </c>
      <c r="D225" t="str">
        <f>"9780203473863"</f>
        <v>9780203473863</v>
      </c>
      <c r="E225" t="s">
        <v>144</v>
      </c>
      <c r="F225" t="s">
        <v>144</v>
      </c>
      <c r="G225" s="1">
        <v>35674</v>
      </c>
      <c r="H225" s="1">
        <v>38169</v>
      </c>
      <c r="I225" t="s">
        <v>12</v>
      </c>
      <c r="J225" t="s">
        <v>10995</v>
      </c>
    </row>
    <row r="226" spans="1:10" x14ac:dyDescent="0.25">
      <c r="A226">
        <v>170576</v>
      </c>
      <c r="B226" t="s">
        <v>245</v>
      </c>
      <c r="C226" t="str">
        <f>"9780415200943"</f>
        <v>9780415200943</v>
      </c>
      <c r="D226" t="str">
        <f>"9780203457283"</f>
        <v>9780203457283</v>
      </c>
      <c r="E226" t="s">
        <v>15</v>
      </c>
      <c r="F226" t="s">
        <v>16</v>
      </c>
      <c r="G226" s="1">
        <v>36693</v>
      </c>
      <c r="H226" s="1">
        <v>38635</v>
      </c>
      <c r="I226" t="s">
        <v>12</v>
      </c>
      <c r="J226" t="s">
        <v>10996</v>
      </c>
    </row>
    <row r="227" spans="1:10" x14ac:dyDescent="0.25">
      <c r="A227">
        <v>170626</v>
      </c>
      <c r="B227" t="s">
        <v>246</v>
      </c>
      <c r="C227" t="str">
        <f>"9780415216104"</f>
        <v>9780415216104</v>
      </c>
      <c r="D227" t="str">
        <f>"9780203060810"</f>
        <v>9780203060810</v>
      </c>
      <c r="E227" t="s">
        <v>15</v>
      </c>
      <c r="F227" t="s">
        <v>16</v>
      </c>
      <c r="G227" s="1">
        <v>36549</v>
      </c>
      <c r="H227" s="1">
        <v>40037</v>
      </c>
      <c r="I227" t="s">
        <v>12</v>
      </c>
      <c r="J227" t="s">
        <v>10997</v>
      </c>
    </row>
    <row r="228" spans="1:10" x14ac:dyDescent="0.25">
      <c r="A228">
        <v>170674</v>
      </c>
      <c r="B228" t="s">
        <v>248</v>
      </c>
      <c r="C228" t="str">
        <f>"9780415221153"</f>
        <v>9780415221153</v>
      </c>
      <c r="D228" t="str">
        <f>"9780203361092"</f>
        <v>9780203361092</v>
      </c>
      <c r="E228" t="s">
        <v>15</v>
      </c>
      <c r="F228" t="s">
        <v>16</v>
      </c>
      <c r="G228" s="1">
        <v>37190</v>
      </c>
      <c r="H228" s="1">
        <v>38169</v>
      </c>
      <c r="I228" t="s">
        <v>12</v>
      </c>
      <c r="J228" t="s">
        <v>10998</v>
      </c>
    </row>
    <row r="229" spans="1:10" x14ac:dyDescent="0.25">
      <c r="A229">
        <v>170676</v>
      </c>
      <c r="B229" t="s">
        <v>249</v>
      </c>
      <c r="C229" t="str">
        <f>"9780415221689"</f>
        <v>9780415221689</v>
      </c>
      <c r="D229" t="str">
        <f>"9780203165430"</f>
        <v>9780203165430</v>
      </c>
      <c r="E229" t="s">
        <v>15</v>
      </c>
      <c r="F229" t="s">
        <v>16</v>
      </c>
      <c r="G229" s="1">
        <v>37519</v>
      </c>
      <c r="H229" s="1">
        <v>38169</v>
      </c>
      <c r="I229" t="s">
        <v>12</v>
      </c>
      <c r="J229" t="s">
        <v>10999</v>
      </c>
    </row>
    <row r="230" spans="1:10" x14ac:dyDescent="0.25">
      <c r="A230">
        <v>170703</v>
      </c>
      <c r="B230" t="s">
        <v>250</v>
      </c>
      <c r="C230" t="str">
        <f>"9780415227759"</f>
        <v>9780415227759</v>
      </c>
      <c r="D230" t="str">
        <f>"9780203465783"</f>
        <v>9780203465783</v>
      </c>
      <c r="E230" t="s">
        <v>15</v>
      </c>
      <c r="F230" t="s">
        <v>16</v>
      </c>
      <c r="G230" s="1">
        <v>37470</v>
      </c>
      <c r="H230" s="1">
        <v>39095</v>
      </c>
      <c r="I230" t="s">
        <v>12</v>
      </c>
      <c r="J230" t="s">
        <v>11000</v>
      </c>
    </row>
    <row r="231" spans="1:10" x14ac:dyDescent="0.25">
      <c r="A231">
        <v>170821</v>
      </c>
      <c r="B231" t="s">
        <v>251</v>
      </c>
      <c r="C231" t="str">
        <f>"9780415242561"</f>
        <v>9780415242561</v>
      </c>
      <c r="D231" t="str">
        <f>"9780203471104"</f>
        <v>9780203471104</v>
      </c>
      <c r="E231" t="s">
        <v>15</v>
      </c>
      <c r="F231" t="s">
        <v>16</v>
      </c>
      <c r="G231" s="1">
        <v>37574</v>
      </c>
      <c r="H231" s="1">
        <v>38169</v>
      </c>
      <c r="I231" t="s">
        <v>12</v>
      </c>
      <c r="J231" t="s">
        <v>11001</v>
      </c>
    </row>
    <row r="232" spans="1:10" x14ac:dyDescent="0.25">
      <c r="A232">
        <v>170869</v>
      </c>
      <c r="B232" t="s">
        <v>252</v>
      </c>
      <c r="C232" t="str">
        <f>"9780415254014"</f>
        <v>9780415254014</v>
      </c>
      <c r="D232" t="str">
        <f>"9780203164730"</f>
        <v>9780203164730</v>
      </c>
      <c r="E232" t="s">
        <v>16</v>
      </c>
      <c r="F232" t="s">
        <v>16</v>
      </c>
      <c r="G232" s="1">
        <v>37068</v>
      </c>
      <c r="H232" s="1">
        <v>38169</v>
      </c>
      <c r="I232" t="s">
        <v>12</v>
      </c>
      <c r="J232" t="s">
        <v>11002</v>
      </c>
    </row>
    <row r="233" spans="1:10" x14ac:dyDescent="0.25">
      <c r="A233">
        <v>170873</v>
      </c>
      <c r="B233" t="s">
        <v>253</v>
      </c>
      <c r="C233" t="str">
        <f>"9780415248822"</f>
        <v>9780415248822</v>
      </c>
      <c r="D233" t="str">
        <f>"9780203420065"</f>
        <v>9780203420065</v>
      </c>
      <c r="E233" t="s">
        <v>15</v>
      </c>
      <c r="F233" t="s">
        <v>16</v>
      </c>
      <c r="G233" s="1">
        <v>37029</v>
      </c>
      <c r="H233" s="1">
        <v>38665</v>
      </c>
      <c r="I233" t="s">
        <v>12</v>
      </c>
      <c r="J233" t="s">
        <v>11003</v>
      </c>
    </row>
    <row r="234" spans="1:10" x14ac:dyDescent="0.25">
      <c r="A234">
        <v>170884</v>
      </c>
      <c r="B234" t="s">
        <v>254</v>
      </c>
      <c r="C234" t="str">
        <f>"9780415249584"</f>
        <v>9780415249584</v>
      </c>
      <c r="D234" t="str">
        <f>"9780203164211"</f>
        <v>9780203164211</v>
      </c>
      <c r="E234" t="s">
        <v>15</v>
      </c>
      <c r="F234" t="s">
        <v>16</v>
      </c>
      <c r="G234" s="1">
        <v>37176</v>
      </c>
      <c r="H234" s="1">
        <v>38169</v>
      </c>
      <c r="I234" t="s">
        <v>12</v>
      </c>
      <c r="J234" t="s">
        <v>11004</v>
      </c>
    </row>
    <row r="235" spans="1:10" x14ac:dyDescent="0.25">
      <c r="A235">
        <v>170890</v>
      </c>
      <c r="B235" t="s">
        <v>255</v>
      </c>
      <c r="C235" t="str">
        <f>"9780415249713"</f>
        <v>9780415249713</v>
      </c>
      <c r="D235" t="str">
        <f>"9780203164273"</f>
        <v>9780203164273</v>
      </c>
      <c r="E235" t="s">
        <v>15</v>
      </c>
      <c r="F235" t="s">
        <v>16</v>
      </c>
      <c r="G235" s="1">
        <v>37239</v>
      </c>
      <c r="H235" s="1">
        <v>38169</v>
      </c>
      <c r="I235" t="s">
        <v>12</v>
      </c>
      <c r="J235" t="s">
        <v>11005</v>
      </c>
    </row>
    <row r="236" spans="1:10" x14ac:dyDescent="0.25">
      <c r="A236">
        <v>170929</v>
      </c>
      <c r="B236" t="s">
        <v>256</v>
      </c>
      <c r="C236" t="str">
        <f>"9780415252959"</f>
        <v>9780415252959</v>
      </c>
      <c r="D236" t="str">
        <f>"9780203164921"</f>
        <v>9780203164921</v>
      </c>
      <c r="E236" t="s">
        <v>15</v>
      </c>
      <c r="F236" t="s">
        <v>16</v>
      </c>
      <c r="G236" s="1">
        <v>37344</v>
      </c>
      <c r="H236" s="1">
        <v>38169</v>
      </c>
      <c r="I236" t="s">
        <v>12</v>
      </c>
      <c r="J236" t="s">
        <v>11006</v>
      </c>
    </row>
    <row r="237" spans="1:10" x14ac:dyDescent="0.25">
      <c r="A237">
        <v>170950</v>
      </c>
      <c r="B237" t="s">
        <v>257</v>
      </c>
      <c r="C237" t="str">
        <f>"9780415254311"</f>
        <v>9780415254311</v>
      </c>
      <c r="D237" t="str">
        <f>"9780203167137"</f>
        <v>9780203167137</v>
      </c>
      <c r="E237" t="s">
        <v>15</v>
      </c>
      <c r="F237" t="s">
        <v>16</v>
      </c>
      <c r="G237" s="1">
        <v>37225</v>
      </c>
      <c r="H237" s="1">
        <v>38169</v>
      </c>
      <c r="I237" t="s">
        <v>12</v>
      </c>
      <c r="J237" t="s">
        <v>11007</v>
      </c>
    </row>
    <row r="238" spans="1:10" x14ac:dyDescent="0.25">
      <c r="A238">
        <v>170969</v>
      </c>
      <c r="B238" t="s">
        <v>258</v>
      </c>
      <c r="C238" t="str">
        <f>"9780415255783"</f>
        <v>9780415255783</v>
      </c>
      <c r="D238" t="str">
        <f>"9780203166987"</f>
        <v>9780203166987</v>
      </c>
      <c r="E238" t="s">
        <v>15</v>
      </c>
      <c r="F238" t="s">
        <v>16</v>
      </c>
      <c r="G238" s="1">
        <v>37715</v>
      </c>
      <c r="H238" s="1">
        <v>38169</v>
      </c>
      <c r="I238" t="s">
        <v>12</v>
      </c>
      <c r="J238" t="s">
        <v>11008</v>
      </c>
    </row>
    <row r="239" spans="1:10" x14ac:dyDescent="0.25">
      <c r="A239">
        <v>170990</v>
      </c>
      <c r="B239" t="s">
        <v>259</v>
      </c>
      <c r="C239" t="str">
        <f>"9780415257268"</f>
        <v>9780415257268</v>
      </c>
      <c r="D239" t="str">
        <f>"9780203167489"</f>
        <v>9780203167489</v>
      </c>
      <c r="E239" t="s">
        <v>15</v>
      </c>
      <c r="F239" t="s">
        <v>16</v>
      </c>
      <c r="G239" s="1">
        <v>37596</v>
      </c>
      <c r="H239" s="1">
        <v>38169</v>
      </c>
      <c r="I239" t="s">
        <v>12</v>
      </c>
      <c r="J239" t="s">
        <v>11009</v>
      </c>
    </row>
    <row r="240" spans="1:10" x14ac:dyDescent="0.25">
      <c r="A240">
        <v>170999</v>
      </c>
      <c r="B240" t="s">
        <v>260</v>
      </c>
      <c r="C240" t="str">
        <f>"9780415258081"</f>
        <v>9780415258081</v>
      </c>
      <c r="D240" t="str">
        <f>"9780203167410"</f>
        <v>9780203167410</v>
      </c>
      <c r="E240" t="s">
        <v>15</v>
      </c>
      <c r="F240" t="s">
        <v>16</v>
      </c>
      <c r="G240" s="1">
        <v>37344</v>
      </c>
      <c r="H240" s="1">
        <v>38169</v>
      </c>
      <c r="I240" t="s">
        <v>12</v>
      </c>
      <c r="J240" t="s">
        <v>11010</v>
      </c>
    </row>
    <row r="241" spans="1:10" x14ac:dyDescent="0.25">
      <c r="A241">
        <v>171016</v>
      </c>
      <c r="B241" t="s">
        <v>261</v>
      </c>
      <c r="C241" t="str">
        <f>"9780415259323"</f>
        <v>9780415259323</v>
      </c>
      <c r="D241" t="str">
        <f>"9780203167243"</f>
        <v>9780203167243</v>
      </c>
      <c r="E241" t="s">
        <v>15</v>
      </c>
      <c r="F241" t="s">
        <v>16</v>
      </c>
      <c r="G241" s="1">
        <v>37435</v>
      </c>
      <c r="H241" s="1">
        <v>38169</v>
      </c>
      <c r="I241" t="s">
        <v>12</v>
      </c>
      <c r="J241" t="s">
        <v>11011</v>
      </c>
    </row>
    <row r="242" spans="1:10" x14ac:dyDescent="0.25">
      <c r="A242">
        <v>171354</v>
      </c>
      <c r="B242" t="s">
        <v>262</v>
      </c>
      <c r="C242" t="str">
        <f>"9780415286589"</f>
        <v>9780415286589</v>
      </c>
      <c r="D242" t="str">
        <f>"9780203217993"</f>
        <v>9780203217993</v>
      </c>
      <c r="E242" t="s">
        <v>15</v>
      </c>
      <c r="F242" t="s">
        <v>16</v>
      </c>
      <c r="G242" s="1">
        <v>37463</v>
      </c>
      <c r="H242" s="1">
        <v>38169</v>
      </c>
      <c r="I242" t="s">
        <v>12</v>
      </c>
      <c r="J242" t="s">
        <v>11012</v>
      </c>
    </row>
    <row r="243" spans="1:10" x14ac:dyDescent="0.25">
      <c r="A243">
        <v>171379</v>
      </c>
      <c r="B243" t="s">
        <v>263</v>
      </c>
      <c r="C243" t="str">
        <f>"9780415291842"</f>
        <v>9780415291842</v>
      </c>
      <c r="D243" t="str">
        <f>"9780203391457"</f>
        <v>9780203391457</v>
      </c>
      <c r="E243" t="s">
        <v>144</v>
      </c>
      <c r="F243" t="s">
        <v>16</v>
      </c>
      <c r="G243" s="1">
        <v>37757</v>
      </c>
      <c r="H243" s="1">
        <v>38169</v>
      </c>
      <c r="I243" t="s">
        <v>12</v>
      </c>
      <c r="J243" t="s">
        <v>11013</v>
      </c>
    </row>
    <row r="244" spans="1:10" x14ac:dyDescent="0.25">
      <c r="A244">
        <v>171384</v>
      </c>
      <c r="B244" t="s">
        <v>264</v>
      </c>
      <c r="C244" t="str">
        <f>"9780415296670"</f>
        <v>9780415296670</v>
      </c>
      <c r="D244" t="str">
        <f>"9780203217511"</f>
        <v>9780203217511</v>
      </c>
      <c r="E244" t="s">
        <v>15</v>
      </c>
      <c r="F244" t="s">
        <v>16</v>
      </c>
      <c r="G244" s="1">
        <v>37620</v>
      </c>
      <c r="H244" s="1">
        <v>38169</v>
      </c>
      <c r="I244" t="s">
        <v>12</v>
      </c>
      <c r="J244" t="s">
        <v>11014</v>
      </c>
    </row>
    <row r="245" spans="1:10" x14ac:dyDescent="0.25">
      <c r="A245">
        <v>171504</v>
      </c>
      <c r="B245" t="s">
        <v>265</v>
      </c>
      <c r="C245" t="str">
        <f>"9780415308328"</f>
        <v>9780415308328</v>
      </c>
      <c r="D245" t="str">
        <f>"9780203390283"</f>
        <v>9780203390283</v>
      </c>
      <c r="E245" t="s">
        <v>15</v>
      </c>
      <c r="F245" t="s">
        <v>139</v>
      </c>
      <c r="G245" s="1">
        <v>37686</v>
      </c>
      <c r="H245" s="1">
        <v>41553</v>
      </c>
      <c r="I245" t="s">
        <v>12</v>
      </c>
      <c r="J245" t="s">
        <v>11015</v>
      </c>
    </row>
    <row r="246" spans="1:10" x14ac:dyDescent="0.25">
      <c r="A246">
        <v>171603</v>
      </c>
      <c r="B246" t="s">
        <v>266</v>
      </c>
      <c r="C246" t="str">
        <f>"9780419146605"</f>
        <v>9780419146605</v>
      </c>
      <c r="D246" t="str">
        <f>"9780203473108"</f>
        <v>9780203473108</v>
      </c>
      <c r="E246" t="s">
        <v>15</v>
      </c>
      <c r="F246" t="s">
        <v>16</v>
      </c>
      <c r="G246" s="1">
        <v>32652</v>
      </c>
      <c r="H246" s="1">
        <v>38663</v>
      </c>
      <c r="I246" t="s">
        <v>12</v>
      </c>
      <c r="J246" t="s">
        <v>11016</v>
      </c>
    </row>
    <row r="247" spans="1:10" x14ac:dyDescent="0.25">
      <c r="A247">
        <v>171848</v>
      </c>
      <c r="B247" t="s">
        <v>267</v>
      </c>
      <c r="C247" t="str">
        <f>"9780700717460"</f>
        <v>9780700717460</v>
      </c>
      <c r="D247" t="str">
        <f>"9780203222072"</f>
        <v>9780203222072</v>
      </c>
      <c r="E247" t="s">
        <v>15</v>
      </c>
      <c r="F247" t="s">
        <v>16</v>
      </c>
      <c r="G247" s="1">
        <v>37596</v>
      </c>
      <c r="H247" s="1">
        <v>38169</v>
      </c>
      <c r="I247" t="s">
        <v>12</v>
      </c>
      <c r="J247" t="s">
        <v>11017</v>
      </c>
    </row>
    <row r="248" spans="1:10" x14ac:dyDescent="0.25">
      <c r="A248">
        <v>171866</v>
      </c>
      <c r="B248" t="s">
        <v>268</v>
      </c>
      <c r="C248" t="str">
        <f>"9780710210166"</f>
        <v>9780710210166</v>
      </c>
      <c r="D248" t="str">
        <f>"9780203221952"</f>
        <v>9780203221952</v>
      </c>
      <c r="E248" t="s">
        <v>15</v>
      </c>
      <c r="F248" t="s">
        <v>16</v>
      </c>
      <c r="G248" s="1">
        <v>31999</v>
      </c>
      <c r="H248" s="1">
        <v>38169</v>
      </c>
      <c r="I248" t="s">
        <v>12</v>
      </c>
      <c r="J248" t="s">
        <v>11018</v>
      </c>
    </row>
    <row r="249" spans="1:10" x14ac:dyDescent="0.25">
      <c r="A249">
        <v>171938</v>
      </c>
      <c r="B249" t="s">
        <v>269</v>
      </c>
      <c r="C249" t="str">
        <f>"9780748403479"</f>
        <v>9780748403479</v>
      </c>
      <c r="D249" t="str">
        <f>"9780203211816"</f>
        <v>9780203211816</v>
      </c>
      <c r="E249" t="s">
        <v>144</v>
      </c>
      <c r="F249" t="s">
        <v>153</v>
      </c>
      <c r="G249" s="1">
        <v>35217</v>
      </c>
      <c r="H249" s="1">
        <v>38169</v>
      </c>
      <c r="I249" t="s">
        <v>12</v>
      </c>
      <c r="J249" t="s">
        <v>11019</v>
      </c>
    </row>
    <row r="250" spans="1:10" x14ac:dyDescent="0.25">
      <c r="A250">
        <v>172078</v>
      </c>
      <c r="B250" t="s">
        <v>270</v>
      </c>
      <c r="C250" t="str">
        <f>"9780415272469"</f>
        <v>9780415272469</v>
      </c>
      <c r="D250" t="str">
        <f>"9780203210918"</f>
        <v>9780203210918</v>
      </c>
      <c r="E250" t="s">
        <v>16</v>
      </c>
      <c r="F250" t="s">
        <v>16</v>
      </c>
      <c r="G250" s="1">
        <v>37239</v>
      </c>
      <c r="H250" s="1">
        <v>38169</v>
      </c>
      <c r="I250" t="s">
        <v>12</v>
      </c>
      <c r="J250" t="s">
        <v>11020</v>
      </c>
    </row>
    <row r="251" spans="1:10" x14ac:dyDescent="0.25">
      <c r="A251">
        <v>172146</v>
      </c>
      <c r="B251" t="s">
        <v>271</v>
      </c>
      <c r="C251" t="str">
        <f>"9780946392162"</f>
        <v>9780946392162</v>
      </c>
      <c r="D251" t="str">
        <f>"9780203210338"</f>
        <v>9780203210338</v>
      </c>
      <c r="E251" t="s">
        <v>144</v>
      </c>
      <c r="F251" t="s">
        <v>144</v>
      </c>
      <c r="G251" s="1">
        <v>33238</v>
      </c>
      <c r="H251" s="1">
        <v>38645</v>
      </c>
      <c r="I251" t="s">
        <v>12</v>
      </c>
      <c r="J251" t="s">
        <v>11021</v>
      </c>
    </row>
    <row r="252" spans="1:10" x14ac:dyDescent="0.25">
      <c r="A252">
        <v>172165</v>
      </c>
      <c r="B252" t="s">
        <v>272</v>
      </c>
      <c r="C252" t="str">
        <f>"9781841692418"</f>
        <v>9781841692418</v>
      </c>
      <c r="D252" t="str">
        <f>"9780203496480"</f>
        <v>9780203496480</v>
      </c>
      <c r="E252" t="s">
        <v>15</v>
      </c>
      <c r="F252" t="s">
        <v>55</v>
      </c>
      <c r="G252" s="1">
        <v>37008</v>
      </c>
      <c r="H252" s="1">
        <v>38169</v>
      </c>
      <c r="I252" t="s">
        <v>12</v>
      </c>
      <c r="J252" t="s">
        <v>11022</v>
      </c>
    </row>
    <row r="253" spans="1:10" x14ac:dyDescent="0.25">
      <c r="A253">
        <v>172225</v>
      </c>
      <c r="B253" t="s">
        <v>273</v>
      </c>
      <c r="C253" t="str">
        <f>"9781851660940"</f>
        <v>9781851660940</v>
      </c>
      <c r="D253" t="str">
        <f>"9780203497777"</f>
        <v>9780203497777</v>
      </c>
      <c r="E253" t="s">
        <v>144</v>
      </c>
      <c r="F253" t="s">
        <v>144</v>
      </c>
      <c r="G253" s="1">
        <v>33238</v>
      </c>
      <c r="H253" s="1">
        <v>38169</v>
      </c>
      <c r="I253" t="s">
        <v>12</v>
      </c>
      <c r="J253" t="s">
        <v>11023</v>
      </c>
    </row>
    <row r="254" spans="1:10" x14ac:dyDescent="0.25">
      <c r="A254">
        <v>172237</v>
      </c>
      <c r="B254" t="s">
        <v>274</v>
      </c>
      <c r="C254" t="str">
        <f>"9781851662807"</f>
        <v>9781851662807</v>
      </c>
      <c r="D254" t="str">
        <f>"9780203216330"</f>
        <v>9780203216330</v>
      </c>
      <c r="E254" t="s">
        <v>144</v>
      </c>
      <c r="F254" t="s">
        <v>16</v>
      </c>
      <c r="G254" s="1">
        <v>33238</v>
      </c>
      <c r="H254" s="1">
        <v>38169</v>
      </c>
      <c r="I254" t="s">
        <v>12</v>
      </c>
      <c r="J254" t="s">
        <v>11024</v>
      </c>
    </row>
    <row r="255" spans="1:10" x14ac:dyDescent="0.25">
      <c r="A255">
        <v>172253</v>
      </c>
      <c r="B255" t="s">
        <v>275</v>
      </c>
      <c r="C255" t="str">
        <f>"9781851665242"</f>
        <v>9781851665242</v>
      </c>
      <c r="D255" t="str">
        <f>"9780203215852"</f>
        <v>9780203215852</v>
      </c>
      <c r="E255" t="s">
        <v>144</v>
      </c>
      <c r="F255" t="s">
        <v>16</v>
      </c>
      <c r="G255" s="1">
        <v>33238</v>
      </c>
      <c r="H255" s="1">
        <v>38637</v>
      </c>
      <c r="I255" t="s">
        <v>12</v>
      </c>
      <c r="J255" t="s">
        <v>11025</v>
      </c>
    </row>
    <row r="256" spans="1:10" x14ac:dyDescent="0.25">
      <c r="A256">
        <v>172737</v>
      </c>
      <c r="B256" t="s">
        <v>276</v>
      </c>
      <c r="C256" t="str">
        <f>"9780415259859"</f>
        <v>9780415259859</v>
      </c>
      <c r="D256" t="str">
        <f>"9780203422854"</f>
        <v>9780203422854</v>
      </c>
      <c r="E256" t="s">
        <v>15</v>
      </c>
      <c r="F256" t="s">
        <v>16</v>
      </c>
      <c r="G256" s="1">
        <v>37757</v>
      </c>
      <c r="H256" s="1">
        <v>38169</v>
      </c>
      <c r="I256" t="s">
        <v>12</v>
      </c>
      <c r="J256" t="s">
        <v>11026</v>
      </c>
    </row>
    <row r="257" spans="1:10" x14ac:dyDescent="0.25">
      <c r="A257">
        <v>173168</v>
      </c>
      <c r="B257" t="s">
        <v>277</v>
      </c>
      <c r="C257" t="str">
        <f>"9780415238335"</f>
        <v>9780415238335</v>
      </c>
      <c r="D257" t="str">
        <f>"9780203482254"</f>
        <v>9780203482254</v>
      </c>
      <c r="E257" t="s">
        <v>15</v>
      </c>
      <c r="F257" t="s">
        <v>16</v>
      </c>
      <c r="G257" s="1">
        <v>37620</v>
      </c>
      <c r="H257" s="1">
        <v>38169</v>
      </c>
      <c r="I257" t="s">
        <v>12</v>
      </c>
      <c r="J257" t="s">
        <v>11027</v>
      </c>
    </row>
    <row r="258" spans="1:10" x14ac:dyDescent="0.25">
      <c r="A258">
        <v>174633</v>
      </c>
      <c r="B258" t="s">
        <v>278</v>
      </c>
      <c r="C258" t="str">
        <f>"9781841692715"</f>
        <v>9781841692715</v>
      </c>
      <c r="D258" t="str">
        <f>"9780203499573"</f>
        <v>9780203499573</v>
      </c>
      <c r="E258" t="s">
        <v>15</v>
      </c>
      <c r="F258" t="s">
        <v>55</v>
      </c>
      <c r="G258" s="1">
        <v>38622</v>
      </c>
      <c r="H258" s="1">
        <v>38685</v>
      </c>
      <c r="I258" t="s">
        <v>12</v>
      </c>
      <c r="J258" t="s">
        <v>11028</v>
      </c>
    </row>
    <row r="259" spans="1:10" x14ac:dyDescent="0.25">
      <c r="A259">
        <v>175243</v>
      </c>
      <c r="B259" t="s">
        <v>279</v>
      </c>
      <c r="C259" t="str">
        <f>"9781931448000"</f>
        <v>9781931448000</v>
      </c>
      <c r="D259" t="str">
        <f>"9781931448017"</f>
        <v>9781931448017</v>
      </c>
      <c r="E259" t="s">
        <v>280</v>
      </c>
      <c r="F259" t="s">
        <v>280</v>
      </c>
      <c r="G259" s="1">
        <v>37773</v>
      </c>
      <c r="H259" s="1">
        <v>38894</v>
      </c>
      <c r="I259" t="s">
        <v>12</v>
      </c>
      <c r="J259" t="s">
        <v>11029</v>
      </c>
    </row>
    <row r="260" spans="1:10" x14ac:dyDescent="0.25">
      <c r="A260">
        <v>178064</v>
      </c>
      <c r="B260" t="s">
        <v>281</v>
      </c>
      <c r="C260" t="str">
        <f>"9780415346122"</f>
        <v>9780415346122</v>
      </c>
      <c r="D260" t="str">
        <f>"9780203308233"</f>
        <v>9780203308233</v>
      </c>
      <c r="E260" t="s">
        <v>15</v>
      </c>
      <c r="F260" t="s">
        <v>16</v>
      </c>
      <c r="G260" s="1">
        <v>38545</v>
      </c>
      <c r="H260" s="1">
        <v>38641</v>
      </c>
      <c r="I260" t="s">
        <v>12</v>
      </c>
      <c r="J260" t="s">
        <v>11030</v>
      </c>
    </row>
    <row r="261" spans="1:10" x14ac:dyDescent="0.25">
      <c r="A261">
        <v>178070</v>
      </c>
      <c r="B261" t="s">
        <v>282</v>
      </c>
      <c r="C261" t="str">
        <f>"9780415310802"</f>
        <v>9780415310802</v>
      </c>
      <c r="D261" t="str">
        <f>"9780203002148"</f>
        <v>9780203002148</v>
      </c>
      <c r="E261" t="s">
        <v>16</v>
      </c>
      <c r="F261" t="s">
        <v>16</v>
      </c>
      <c r="G261" s="1">
        <v>38317</v>
      </c>
      <c r="H261" s="1">
        <v>38664</v>
      </c>
      <c r="I261" t="s">
        <v>12</v>
      </c>
      <c r="J261" t="s">
        <v>11031</v>
      </c>
    </row>
    <row r="262" spans="1:10" x14ac:dyDescent="0.25">
      <c r="A262">
        <v>178071</v>
      </c>
      <c r="B262" t="s">
        <v>283</v>
      </c>
      <c r="C262" t="str">
        <f>"9780415338691"</f>
        <v>9780415338691</v>
      </c>
      <c r="D262" t="str">
        <f>"9780203446416"</f>
        <v>9780203446416</v>
      </c>
      <c r="E262" t="s">
        <v>16</v>
      </c>
      <c r="F262" t="s">
        <v>16</v>
      </c>
      <c r="G262" s="1">
        <v>38533</v>
      </c>
      <c r="H262" s="1">
        <v>38699</v>
      </c>
      <c r="I262" t="s">
        <v>12</v>
      </c>
      <c r="J262" t="s">
        <v>11032</v>
      </c>
    </row>
    <row r="263" spans="1:10" x14ac:dyDescent="0.25">
      <c r="A263">
        <v>178084</v>
      </c>
      <c r="B263" t="s">
        <v>284</v>
      </c>
      <c r="C263" t="str">
        <f>"9780415348492"</f>
        <v>9780415348492</v>
      </c>
      <c r="D263" t="str">
        <f>"9780203581063"</f>
        <v>9780203581063</v>
      </c>
      <c r="E263" t="s">
        <v>15</v>
      </c>
      <c r="F263" t="s">
        <v>16</v>
      </c>
      <c r="G263" s="1">
        <v>39014</v>
      </c>
      <c r="H263" s="1">
        <v>38997</v>
      </c>
      <c r="I263" t="s">
        <v>12</v>
      </c>
      <c r="J263" t="s">
        <v>11033</v>
      </c>
    </row>
    <row r="264" spans="1:10" x14ac:dyDescent="0.25">
      <c r="A264">
        <v>178087</v>
      </c>
      <c r="B264" t="s">
        <v>285</v>
      </c>
      <c r="C264" t="str">
        <f>"9780415345156"</f>
        <v>9780415345156</v>
      </c>
      <c r="D264" t="str">
        <f>"9780203536971"</f>
        <v>9780203536971</v>
      </c>
      <c r="E264" t="s">
        <v>15</v>
      </c>
      <c r="F264" t="s">
        <v>16</v>
      </c>
      <c r="G264" s="1">
        <v>38882</v>
      </c>
      <c r="H264" s="1">
        <v>38983</v>
      </c>
      <c r="I264" t="s">
        <v>12</v>
      </c>
      <c r="J264" t="s">
        <v>11034</v>
      </c>
    </row>
    <row r="265" spans="1:10" x14ac:dyDescent="0.25">
      <c r="A265">
        <v>178100</v>
      </c>
      <c r="B265" t="s">
        <v>286</v>
      </c>
      <c r="C265" t="str">
        <f>"9780415328623"</f>
        <v>9780415328623</v>
      </c>
      <c r="D265" t="str">
        <f>"9780203327630"</f>
        <v>9780203327630</v>
      </c>
      <c r="E265" t="s">
        <v>15</v>
      </c>
      <c r="F265" t="s">
        <v>16</v>
      </c>
      <c r="G265" s="1">
        <v>38516</v>
      </c>
      <c r="H265" s="1">
        <v>38664</v>
      </c>
      <c r="I265" t="s">
        <v>12</v>
      </c>
      <c r="J265" t="s">
        <v>11035</v>
      </c>
    </row>
    <row r="266" spans="1:10" x14ac:dyDescent="0.25">
      <c r="A266">
        <v>178118</v>
      </c>
      <c r="B266" t="s">
        <v>287</v>
      </c>
      <c r="C266" t="str">
        <f>"9780415055406"</f>
        <v>9780415055406</v>
      </c>
      <c r="D266" t="str">
        <f>"9780203026168"</f>
        <v>9780203026168</v>
      </c>
      <c r="E266" t="s">
        <v>15</v>
      </c>
      <c r="F266" t="s">
        <v>16</v>
      </c>
      <c r="G266" s="1">
        <v>33564</v>
      </c>
      <c r="H266" s="1">
        <v>38893</v>
      </c>
      <c r="I266" t="s">
        <v>12</v>
      </c>
      <c r="J266" t="s">
        <v>11036</v>
      </c>
    </row>
    <row r="267" spans="1:10" x14ac:dyDescent="0.25">
      <c r="A267">
        <v>178129</v>
      </c>
      <c r="B267" t="s">
        <v>288</v>
      </c>
      <c r="C267" t="str">
        <f>"9780415091596"</f>
        <v>9780415091596</v>
      </c>
      <c r="D267" t="str">
        <f>"9780203136539"</f>
        <v>9780203136539</v>
      </c>
      <c r="E267" t="s">
        <v>15</v>
      </c>
      <c r="F267" t="s">
        <v>16</v>
      </c>
      <c r="G267" s="1">
        <v>35018</v>
      </c>
      <c r="H267" s="1">
        <v>41157</v>
      </c>
      <c r="I267" t="s">
        <v>12</v>
      </c>
      <c r="J267" t="s">
        <v>11037</v>
      </c>
    </row>
    <row r="268" spans="1:10" x14ac:dyDescent="0.25">
      <c r="A268">
        <v>178148</v>
      </c>
      <c r="B268" t="s">
        <v>289</v>
      </c>
      <c r="C268" t="str">
        <f>"9780415100311"</f>
        <v>9780415100311</v>
      </c>
      <c r="D268" t="str">
        <f>"9780203003237"</f>
        <v>9780203003237</v>
      </c>
      <c r="E268" t="s">
        <v>15</v>
      </c>
      <c r="F268" t="s">
        <v>16</v>
      </c>
      <c r="G268" s="1">
        <v>34262</v>
      </c>
      <c r="H268" s="1">
        <v>38169</v>
      </c>
      <c r="I268" t="s">
        <v>12</v>
      </c>
      <c r="J268" t="s">
        <v>11038</v>
      </c>
    </row>
    <row r="269" spans="1:10" x14ac:dyDescent="0.25">
      <c r="A269">
        <v>178192</v>
      </c>
      <c r="B269" t="s">
        <v>290</v>
      </c>
      <c r="C269" t="str">
        <f>"9780415333221"</f>
        <v>9780415333221</v>
      </c>
      <c r="D269" t="str">
        <f>"9780203412893"</f>
        <v>9780203412893</v>
      </c>
      <c r="E269" t="s">
        <v>15</v>
      </c>
      <c r="F269" t="s">
        <v>16</v>
      </c>
      <c r="G269" s="1">
        <v>38056</v>
      </c>
      <c r="H269" s="1">
        <v>38169</v>
      </c>
      <c r="I269" t="s">
        <v>12</v>
      </c>
      <c r="J269" t="s">
        <v>11039</v>
      </c>
    </row>
    <row r="270" spans="1:10" x14ac:dyDescent="0.25">
      <c r="A270">
        <v>178226</v>
      </c>
      <c r="B270" t="s">
        <v>291</v>
      </c>
      <c r="C270" t="str">
        <f>"9780415101455"</f>
        <v>9780415101455</v>
      </c>
      <c r="D270" t="str">
        <f>"9780203137284"</f>
        <v>9780203137284</v>
      </c>
      <c r="E270" t="s">
        <v>15</v>
      </c>
      <c r="F270" t="s">
        <v>16</v>
      </c>
      <c r="G270" s="1">
        <v>34459</v>
      </c>
      <c r="H270" s="1">
        <v>38169</v>
      </c>
      <c r="I270" t="s">
        <v>12</v>
      </c>
      <c r="J270" t="s">
        <v>11040</v>
      </c>
    </row>
    <row r="271" spans="1:10" x14ac:dyDescent="0.25">
      <c r="A271">
        <v>178230</v>
      </c>
      <c r="B271" t="s">
        <v>292</v>
      </c>
      <c r="C271" t="str">
        <f>"9780415277723"</f>
        <v>9780415277723</v>
      </c>
      <c r="D271" t="str">
        <f>"9780203417713"</f>
        <v>9780203417713</v>
      </c>
      <c r="E271" t="s">
        <v>15</v>
      </c>
      <c r="F271" t="s">
        <v>16</v>
      </c>
      <c r="G271" s="1">
        <v>37722</v>
      </c>
      <c r="H271" s="1">
        <v>38169</v>
      </c>
      <c r="I271" t="s">
        <v>12</v>
      </c>
      <c r="J271" t="s">
        <v>11041</v>
      </c>
    </row>
    <row r="272" spans="1:10" x14ac:dyDescent="0.25">
      <c r="A272">
        <v>178232</v>
      </c>
      <c r="B272" t="s">
        <v>293</v>
      </c>
      <c r="C272" t="str">
        <f>"9780415273961"</f>
        <v>9780415273961</v>
      </c>
      <c r="D272" t="str">
        <f>"9780203417683"</f>
        <v>9780203417683</v>
      </c>
      <c r="E272" t="s">
        <v>15</v>
      </c>
      <c r="F272" t="s">
        <v>16</v>
      </c>
      <c r="G272" s="1">
        <v>37722</v>
      </c>
      <c r="H272" s="1">
        <v>38169</v>
      </c>
      <c r="I272" t="s">
        <v>12</v>
      </c>
      <c r="J272" t="s">
        <v>11042</v>
      </c>
    </row>
    <row r="273" spans="1:10" x14ac:dyDescent="0.25">
      <c r="A273">
        <v>178235</v>
      </c>
      <c r="B273" t="s">
        <v>294</v>
      </c>
      <c r="C273" t="str">
        <f>"9780700717347"</f>
        <v>9780700717347</v>
      </c>
      <c r="D273" t="str">
        <f>"9780203417492"</f>
        <v>9780203417492</v>
      </c>
      <c r="E273" t="s">
        <v>15</v>
      </c>
      <c r="F273" t="s">
        <v>16</v>
      </c>
      <c r="G273" s="1">
        <v>37701</v>
      </c>
      <c r="H273" s="1">
        <v>38169</v>
      </c>
      <c r="I273" t="s">
        <v>12</v>
      </c>
      <c r="J273" t="s">
        <v>11043</v>
      </c>
    </row>
    <row r="274" spans="1:10" x14ac:dyDescent="0.25">
      <c r="A274">
        <v>178236</v>
      </c>
      <c r="B274" t="s">
        <v>295</v>
      </c>
      <c r="C274" t="str">
        <f>"9780415271394"</f>
        <v>9780415271394</v>
      </c>
      <c r="D274" t="str">
        <f>"9780203417584"</f>
        <v>9780203417584</v>
      </c>
      <c r="E274" t="s">
        <v>15</v>
      </c>
      <c r="F274" t="s">
        <v>16</v>
      </c>
      <c r="G274" s="1">
        <v>37729</v>
      </c>
      <c r="H274" s="1">
        <v>38169</v>
      </c>
      <c r="I274" t="s">
        <v>12</v>
      </c>
      <c r="J274" t="s">
        <v>11044</v>
      </c>
    </row>
    <row r="275" spans="1:10" x14ac:dyDescent="0.25">
      <c r="A275">
        <v>178256</v>
      </c>
      <c r="B275" t="s">
        <v>296</v>
      </c>
      <c r="C275" t="str">
        <f>"9780415018333"</f>
        <v>9780415018333</v>
      </c>
      <c r="D275" t="str">
        <f>"9780203131459"</f>
        <v>9780203131459</v>
      </c>
      <c r="E275" t="s">
        <v>15</v>
      </c>
      <c r="F275" t="s">
        <v>16</v>
      </c>
      <c r="G275" s="1">
        <v>32778</v>
      </c>
      <c r="H275" s="1">
        <v>38169</v>
      </c>
      <c r="I275" t="s">
        <v>12</v>
      </c>
      <c r="J275" t="s">
        <v>11045</v>
      </c>
    </row>
    <row r="276" spans="1:10" x14ac:dyDescent="0.25">
      <c r="A276">
        <v>178262</v>
      </c>
      <c r="B276" t="s">
        <v>297</v>
      </c>
      <c r="C276" t="str">
        <f>"9780415114110"</f>
        <v>9780415114110</v>
      </c>
      <c r="D276" t="str">
        <f>"9780203137079"</f>
        <v>9780203137079</v>
      </c>
      <c r="E276" t="s">
        <v>15</v>
      </c>
      <c r="F276" t="s">
        <v>16</v>
      </c>
      <c r="G276" s="1">
        <v>35033</v>
      </c>
      <c r="H276" s="1">
        <v>40037</v>
      </c>
      <c r="I276" t="s">
        <v>12</v>
      </c>
      <c r="J276" t="s">
        <v>11046</v>
      </c>
    </row>
    <row r="277" spans="1:10" x14ac:dyDescent="0.25">
      <c r="A277">
        <v>178266</v>
      </c>
      <c r="B277" t="s">
        <v>298</v>
      </c>
      <c r="C277" t="str">
        <f>"9780415006958"</f>
        <v>9780415006958</v>
      </c>
      <c r="D277" t="str">
        <f>"9780203135457"</f>
        <v>9780203135457</v>
      </c>
      <c r="E277" t="s">
        <v>15</v>
      </c>
      <c r="F277" t="s">
        <v>16</v>
      </c>
      <c r="G277" s="1">
        <v>32989</v>
      </c>
      <c r="H277" s="1">
        <v>38887</v>
      </c>
      <c r="I277" t="s">
        <v>12</v>
      </c>
      <c r="J277" t="s">
        <v>11047</v>
      </c>
    </row>
    <row r="278" spans="1:10" x14ac:dyDescent="0.25">
      <c r="A278">
        <v>178283</v>
      </c>
      <c r="B278" t="s">
        <v>299</v>
      </c>
      <c r="C278" t="str">
        <f>"9780415119290"</f>
        <v>9780415119290</v>
      </c>
      <c r="D278" t="str">
        <f>"9780203131374"</f>
        <v>9780203131374</v>
      </c>
      <c r="E278" t="s">
        <v>15</v>
      </c>
      <c r="F278" t="s">
        <v>16</v>
      </c>
      <c r="G278" s="1">
        <v>34859</v>
      </c>
      <c r="H278" s="1">
        <v>41157</v>
      </c>
      <c r="I278" t="s">
        <v>12</v>
      </c>
      <c r="J278" t="s">
        <v>11048</v>
      </c>
    </row>
    <row r="279" spans="1:10" x14ac:dyDescent="0.25">
      <c r="A279">
        <v>178330</v>
      </c>
      <c r="B279" t="s">
        <v>300</v>
      </c>
      <c r="C279" t="str">
        <f>"9780415084376"</f>
        <v>9780415084376</v>
      </c>
      <c r="D279" t="str">
        <f>"9780203135433"</f>
        <v>9780203135433</v>
      </c>
      <c r="E279" t="s">
        <v>15</v>
      </c>
      <c r="F279" t="s">
        <v>16</v>
      </c>
      <c r="G279" s="1">
        <v>33647</v>
      </c>
      <c r="H279" s="1">
        <v>40037</v>
      </c>
      <c r="I279" t="s">
        <v>12</v>
      </c>
      <c r="J279" t="s">
        <v>11049</v>
      </c>
    </row>
    <row r="280" spans="1:10" x14ac:dyDescent="0.25">
      <c r="A280">
        <v>178344</v>
      </c>
      <c r="B280" t="s">
        <v>301</v>
      </c>
      <c r="C280" t="str">
        <f>"9780748401918"</f>
        <v>9780748401918</v>
      </c>
      <c r="D280" t="str">
        <f>"9780203137703"</f>
        <v>9780203137703</v>
      </c>
      <c r="E280" t="s">
        <v>144</v>
      </c>
      <c r="F280" t="s">
        <v>153</v>
      </c>
      <c r="G280" s="1">
        <v>34973</v>
      </c>
      <c r="H280" s="1">
        <v>38948</v>
      </c>
      <c r="I280" t="s">
        <v>12</v>
      </c>
      <c r="J280" t="s">
        <v>11050</v>
      </c>
    </row>
    <row r="281" spans="1:10" x14ac:dyDescent="0.25">
      <c r="A281">
        <v>178348</v>
      </c>
      <c r="B281" t="s">
        <v>302</v>
      </c>
      <c r="C281" t="str">
        <f>"9780415345187"</f>
        <v>9780415345187</v>
      </c>
      <c r="D281" t="str">
        <f>"9780203311288"</f>
        <v>9780203311288</v>
      </c>
      <c r="E281" t="s">
        <v>15</v>
      </c>
      <c r="F281" t="s">
        <v>16</v>
      </c>
      <c r="G281" s="1">
        <v>38552</v>
      </c>
      <c r="H281" s="1">
        <v>38654</v>
      </c>
      <c r="I281" t="s">
        <v>12</v>
      </c>
      <c r="J281" t="s">
        <v>11051</v>
      </c>
    </row>
    <row r="282" spans="1:10" x14ac:dyDescent="0.25">
      <c r="A282">
        <v>178353</v>
      </c>
      <c r="B282" t="s">
        <v>303</v>
      </c>
      <c r="C282" t="str">
        <f>"9780415012850"</f>
        <v>9780415012850</v>
      </c>
      <c r="D282" t="str">
        <f>"9780203134238"</f>
        <v>9780203134238</v>
      </c>
      <c r="E282" t="s">
        <v>15</v>
      </c>
      <c r="F282" t="s">
        <v>16</v>
      </c>
      <c r="G282" s="1">
        <v>37510</v>
      </c>
      <c r="H282" s="1">
        <v>38169</v>
      </c>
      <c r="I282" t="s">
        <v>12</v>
      </c>
      <c r="J282" t="s">
        <v>11052</v>
      </c>
    </row>
    <row r="283" spans="1:10" x14ac:dyDescent="0.25">
      <c r="A283">
        <v>178364</v>
      </c>
      <c r="B283" t="s">
        <v>304</v>
      </c>
      <c r="C283" t="str">
        <f>"9780415056519"</f>
        <v>9780415056519</v>
      </c>
      <c r="D283" t="str">
        <f>"9780203132470"</f>
        <v>9780203132470</v>
      </c>
      <c r="E283" t="s">
        <v>15</v>
      </c>
      <c r="F283" t="s">
        <v>16</v>
      </c>
      <c r="G283" s="1">
        <v>34110</v>
      </c>
      <c r="H283" s="1">
        <v>38307</v>
      </c>
      <c r="I283" t="s">
        <v>12</v>
      </c>
      <c r="J283" t="s">
        <v>11053</v>
      </c>
    </row>
    <row r="284" spans="1:10" x14ac:dyDescent="0.25">
      <c r="A284">
        <v>178370</v>
      </c>
      <c r="B284" t="s">
        <v>305</v>
      </c>
      <c r="C284" t="str">
        <f>"9780415168519"</f>
        <v>9780415168519</v>
      </c>
      <c r="D284" t="str">
        <f>"9780203132951"</f>
        <v>9780203132951</v>
      </c>
      <c r="E284" t="s">
        <v>15</v>
      </c>
      <c r="F284" t="s">
        <v>16</v>
      </c>
      <c r="G284" s="1">
        <v>35922</v>
      </c>
      <c r="H284" s="1">
        <v>41134</v>
      </c>
      <c r="I284" t="s">
        <v>12</v>
      </c>
      <c r="J284" t="s">
        <v>11054</v>
      </c>
    </row>
    <row r="285" spans="1:10" x14ac:dyDescent="0.25">
      <c r="A285">
        <v>178371</v>
      </c>
      <c r="B285" t="s">
        <v>306</v>
      </c>
      <c r="C285" t="str">
        <f>"9780415055109"</f>
        <v>9780415055109</v>
      </c>
      <c r="D285" t="str">
        <f>"9780203133019"</f>
        <v>9780203133019</v>
      </c>
      <c r="E285" t="s">
        <v>15</v>
      </c>
      <c r="F285" t="s">
        <v>16</v>
      </c>
      <c r="G285" s="1">
        <v>33988</v>
      </c>
      <c r="H285" s="1">
        <v>38491</v>
      </c>
      <c r="I285" t="s">
        <v>12</v>
      </c>
      <c r="J285" t="s">
        <v>11055</v>
      </c>
    </row>
    <row r="286" spans="1:10" x14ac:dyDescent="0.25">
      <c r="A286">
        <v>178408</v>
      </c>
      <c r="B286" t="s">
        <v>307</v>
      </c>
      <c r="C286" t="str">
        <f>"9780415305716"</f>
        <v>9780415305716</v>
      </c>
      <c r="D286" t="str">
        <f>"9780203613450"</f>
        <v>9780203613450</v>
      </c>
      <c r="E286" t="s">
        <v>15</v>
      </c>
      <c r="F286" t="s">
        <v>16</v>
      </c>
      <c r="G286" s="1">
        <v>37855</v>
      </c>
      <c r="H286" s="1">
        <v>38411</v>
      </c>
      <c r="I286" t="s">
        <v>12</v>
      </c>
      <c r="J286" t="s">
        <v>11056</v>
      </c>
    </row>
    <row r="287" spans="1:10" x14ac:dyDescent="0.25">
      <c r="A287">
        <v>178438</v>
      </c>
      <c r="B287" t="s">
        <v>308</v>
      </c>
      <c r="C287" t="str">
        <f>"9780415075992"</f>
        <v>9780415075992</v>
      </c>
      <c r="D287" t="str">
        <f>"9780203203590"</f>
        <v>9780203203590</v>
      </c>
      <c r="E287" t="s">
        <v>15</v>
      </c>
      <c r="F287" t="s">
        <v>16</v>
      </c>
      <c r="G287" s="1">
        <v>33806</v>
      </c>
      <c r="H287" s="1">
        <v>38169</v>
      </c>
      <c r="I287" t="s">
        <v>12</v>
      </c>
      <c r="J287" t="s">
        <v>11057</v>
      </c>
    </row>
    <row r="288" spans="1:10" x14ac:dyDescent="0.25">
      <c r="A288">
        <v>178471</v>
      </c>
      <c r="B288" t="s">
        <v>309</v>
      </c>
      <c r="C288" t="str">
        <f>"9780415223331"</f>
        <v>9780415223331</v>
      </c>
      <c r="D288" t="str">
        <f>"9780203464373"</f>
        <v>9780203464373</v>
      </c>
      <c r="E288" t="s">
        <v>15</v>
      </c>
      <c r="F288" t="s">
        <v>16</v>
      </c>
      <c r="G288" s="1">
        <v>37068</v>
      </c>
      <c r="H288" s="1">
        <v>38169</v>
      </c>
      <c r="I288" t="s">
        <v>12</v>
      </c>
      <c r="J288" t="s">
        <v>11058</v>
      </c>
    </row>
    <row r="289" spans="1:10" x14ac:dyDescent="0.25">
      <c r="A289">
        <v>178472</v>
      </c>
      <c r="B289" t="s">
        <v>310</v>
      </c>
      <c r="C289" t="str">
        <f>"9780415227216"</f>
        <v>9780415227216</v>
      </c>
      <c r="D289" t="str">
        <f>"9781134588114"</f>
        <v>9781134588114</v>
      </c>
      <c r="E289" t="s">
        <v>15</v>
      </c>
      <c r="F289" t="s">
        <v>55</v>
      </c>
      <c r="G289" s="1">
        <v>37204</v>
      </c>
      <c r="H289" s="1">
        <v>38169</v>
      </c>
      <c r="I289" t="s">
        <v>12</v>
      </c>
      <c r="J289" t="s">
        <v>11059</v>
      </c>
    </row>
    <row r="290" spans="1:10" x14ac:dyDescent="0.25">
      <c r="A290">
        <v>178476</v>
      </c>
      <c r="B290" t="s">
        <v>311</v>
      </c>
      <c r="C290" t="str">
        <f>"9780415236980"</f>
        <v>9780415236980</v>
      </c>
      <c r="D290" t="str">
        <f>"9780203469255"</f>
        <v>9780203469255</v>
      </c>
      <c r="E290" t="s">
        <v>15</v>
      </c>
      <c r="F290" t="s">
        <v>16</v>
      </c>
      <c r="G290" s="1">
        <v>37547</v>
      </c>
      <c r="H290" s="1">
        <v>38169</v>
      </c>
      <c r="I290" t="s">
        <v>12</v>
      </c>
      <c r="J290" t="s">
        <v>11060</v>
      </c>
    </row>
    <row r="291" spans="1:10" x14ac:dyDescent="0.25">
      <c r="A291">
        <v>178478</v>
      </c>
      <c r="B291" t="s">
        <v>312</v>
      </c>
      <c r="C291" t="str">
        <f>"9780415244244"</f>
        <v>9780415244244</v>
      </c>
      <c r="D291" t="str">
        <f>"9780203471630"</f>
        <v>9780203471630</v>
      </c>
      <c r="E291" t="s">
        <v>15</v>
      </c>
      <c r="F291" t="s">
        <v>16</v>
      </c>
      <c r="G291" s="1">
        <v>37309</v>
      </c>
      <c r="H291" s="1">
        <v>38169</v>
      </c>
      <c r="I291" t="s">
        <v>12</v>
      </c>
      <c r="J291" t="s">
        <v>11061</v>
      </c>
    </row>
    <row r="292" spans="1:10" x14ac:dyDescent="0.25">
      <c r="A292">
        <v>178557</v>
      </c>
      <c r="B292" t="s">
        <v>313</v>
      </c>
      <c r="C292" t="str">
        <f>"9780415095204"</f>
        <v>9780415095204</v>
      </c>
      <c r="D292" t="str">
        <f>"9780203422656"</f>
        <v>9780203422656</v>
      </c>
      <c r="E292" t="s">
        <v>15</v>
      </c>
      <c r="F292" t="s">
        <v>16</v>
      </c>
      <c r="G292" s="1">
        <v>34432</v>
      </c>
      <c r="H292" s="1">
        <v>38169</v>
      </c>
      <c r="I292" t="s">
        <v>12</v>
      </c>
      <c r="J292" t="s">
        <v>11062</v>
      </c>
    </row>
    <row r="293" spans="1:10" x14ac:dyDescent="0.25">
      <c r="A293">
        <v>178588</v>
      </c>
      <c r="B293" t="s">
        <v>314</v>
      </c>
      <c r="C293" t="str">
        <f>"9780415119269"</f>
        <v>9780415119269</v>
      </c>
      <c r="D293" t="str">
        <f>"9780203430552"</f>
        <v>9780203430552</v>
      </c>
      <c r="E293" t="s">
        <v>15</v>
      </c>
      <c r="F293" t="s">
        <v>16</v>
      </c>
      <c r="G293" s="1">
        <v>35384</v>
      </c>
      <c r="H293" s="1">
        <v>38169</v>
      </c>
      <c r="I293" t="s">
        <v>12</v>
      </c>
      <c r="J293" t="s">
        <v>11063</v>
      </c>
    </row>
    <row r="294" spans="1:10" x14ac:dyDescent="0.25">
      <c r="A294">
        <v>178601</v>
      </c>
      <c r="B294" t="s">
        <v>315</v>
      </c>
      <c r="C294" t="str">
        <f>"9780415133531"</f>
        <v>9780415133531</v>
      </c>
      <c r="D294" t="str">
        <f>"9780203435977"</f>
        <v>9780203435977</v>
      </c>
      <c r="E294" t="s">
        <v>15</v>
      </c>
      <c r="F294" t="s">
        <v>16</v>
      </c>
      <c r="G294" s="1">
        <v>35279</v>
      </c>
      <c r="H294" s="1">
        <v>38169</v>
      </c>
      <c r="I294" t="s">
        <v>12</v>
      </c>
      <c r="J294" t="s">
        <v>11064</v>
      </c>
    </row>
    <row r="295" spans="1:10" x14ac:dyDescent="0.25">
      <c r="A295">
        <v>178609</v>
      </c>
      <c r="B295" t="s">
        <v>316</v>
      </c>
      <c r="C295" t="str">
        <f>"9780415140652"</f>
        <v>9780415140652</v>
      </c>
      <c r="D295" t="str">
        <f>"9780203438381"</f>
        <v>9780203438381</v>
      </c>
      <c r="E295" t="s">
        <v>15</v>
      </c>
      <c r="F295" t="s">
        <v>16</v>
      </c>
      <c r="G295" s="1">
        <v>35740</v>
      </c>
      <c r="H295" s="1">
        <v>38169</v>
      </c>
      <c r="I295" t="s">
        <v>12</v>
      </c>
      <c r="J295" t="s">
        <v>11065</v>
      </c>
    </row>
    <row r="296" spans="1:10" x14ac:dyDescent="0.25">
      <c r="A296">
        <v>178615</v>
      </c>
      <c r="B296" t="s">
        <v>317</v>
      </c>
      <c r="C296" t="str">
        <f>"9780415145763"</f>
        <v>9780415145763</v>
      </c>
      <c r="D296" t="str">
        <f>"9780203440223"</f>
        <v>9780203440223</v>
      </c>
      <c r="E296" t="s">
        <v>15</v>
      </c>
      <c r="F296" t="s">
        <v>16</v>
      </c>
      <c r="G296" s="1">
        <v>35354</v>
      </c>
      <c r="H296" s="1">
        <v>38169</v>
      </c>
      <c r="I296" t="s">
        <v>12</v>
      </c>
      <c r="J296" t="s">
        <v>11066</v>
      </c>
    </row>
    <row r="297" spans="1:10" x14ac:dyDescent="0.25">
      <c r="A297">
        <v>178648</v>
      </c>
      <c r="B297" t="s">
        <v>318</v>
      </c>
      <c r="C297" t="str">
        <f>"9780415199254"</f>
        <v>9780415199254</v>
      </c>
      <c r="D297" t="str">
        <f>"9780203456910"</f>
        <v>9780203456910</v>
      </c>
      <c r="E297" t="s">
        <v>15</v>
      </c>
      <c r="F297" t="s">
        <v>16</v>
      </c>
      <c r="G297" s="1">
        <v>36742</v>
      </c>
      <c r="H297" s="1">
        <v>41801</v>
      </c>
      <c r="I297" t="s">
        <v>12</v>
      </c>
      <c r="J297" t="s">
        <v>11067</v>
      </c>
    </row>
    <row r="298" spans="1:10" x14ac:dyDescent="0.25">
      <c r="A298">
        <v>178664</v>
      </c>
      <c r="B298" t="s">
        <v>319</v>
      </c>
      <c r="C298" t="str">
        <f>"9780415223881"</f>
        <v>9780415223881</v>
      </c>
      <c r="D298" t="str">
        <f>"9780203464601"</f>
        <v>9780203464601</v>
      </c>
      <c r="E298" t="s">
        <v>15</v>
      </c>
      <c r="F298" t="s">
        <v>16</v>
      </c>
      <c r="G298" s="1">
        <v>36749</v>
      </c>
      <c r="H298" s="1">
        <v>38169</v>
      </c>
      <c r="I298" t="s">
        <v>12</v>
      </c>
      <c r="J298" t="s">
        <v>11068</v>
      </c>
    </row>
    <row r="299" spans="1:10" x14ac:dyDescent="0.25">
      <c r="A299">
        <v>178666</v>
      </c>
      <c r="B299" t="s">
        <v>320</v>
      </c>
      <c r="C299" t="str">
        <f>"9780415224314"</f>
        <v>9780415224314</v>
      </c>
      <c r="D299" t="str">
        <f>"9780203464793"</f>
        <v>9780203464793</v>
      </c>
      <c r="E299" t="s">
        <v>15</v>
      </c>
      <c r="F299" t="s">
        <v>16</v>
      </c>
      <c r="G299" s="1">
        <v>36623</v>
      </c>
      <c r="H299" s="1">
        <v>38169</v>
      </c>
      <c r="I299" t="s">
        <v>12</v>
      </c>
      <c r="J299" t="s">
        <v>11069</v>
      </c>
    </row>
    <row r="300" spans="1:10" x14ac:dyDescent="0.25">
      <c r="A300">
        <v>178669</v>
      </c>
      <c r="B300" t="s">
        <v>321</v>
      </c>
      <c r="C300" t="str">
        <f>"9780415224956"</f>
        <v>9780415224956</v>
      </c>
      <c r="D300" t="str">
        <f>"9780203465042"</f>
        <v>9780203465042</v>
      </c>
      <c r="E300" t="s">
        <v>15</v>
      </c>
      <c r="F300" t="s">
        <v>16</v>
      </c>
      <c r="G300" s="1">
        <v>36742</v>
      </c>
      <c r="H300" s="1">
        <v>38655</v>
      </c>
      <c r="I300" t="s">
        <v>12</v>
      </c>
      <c r="J300" t="s">
        <v>11070</v>
      </c>
    </row>
    <row r="301" spans="1:10" x14ac:dyDescent="0.25">
      <c r="A301">
        <v>178675</v>
      </c>
      <c r="B301" t="s">
        <v>322</v>
      </c>
      <c r="C301" t="str">
        <f>"9780415234276"</f>
        <v>9780415234276</v>
      </c>
      <c r="D301" t="str">
        <f>"9780203468241"</f>
        <v>9780203468241</v>
      </c>
      <c r="E301" t="s">
        <v>15</v>
      </c>
      <c r="F301" t="s">
        <v>16</v>
      </c>
      <c r="G301" s="1">
        <v>36917</v>
      </c>
      <c r="H301" s="1">
        <v>38169</v>
      </c>
      <c r="I301" t="s">
        <v>12</v>
      </c>
      <c r="J301" t="s">
        <v>11071</v>
      </c>
    </row>
    <row r="302" spans="1:10" x14ac:dyDescent="0.25">
      <c r="A302">
        <v>178684</v>
      </c>
      <c r="B302" t="s">
        <v>323</v>
      </c>
      <c r="C302" t="str">
        <f>"9780415240208"</f>
        <v>9780415240208</v>
      </c>
      <c r="D302" t="str">
        <f>"9780203470190"</f>
        <v>9780203470190</v>
      </c>
      <c r="E302" t="s">
        <v>15</v>
      </c>
      <c r="F302" t="s">
        <v>16</v>
      </c>
      <c r="G302" s="1">
        <v>37007</v>
      </c>
      <c r="H302" s="1">
        <v>38169</v>
      </c>
      <c r="I302" t="s">
        <v>12</v>
      </c>
      <c r="J302" t="s">
        <v>11072</v>
      </c>
    </row>
    <row r="303" spans="1:10" x14ac:dyDescent="0.25">
      <c r="A303">
        <v>178693</v>
      </c>
      <c r="B303" t="s">
        <v>324</v>
      </c>
      <c r="C303" t="str">
        <f>"9780415257756"</f>
        <v>9780415257756</v>
      </c>
      <c r="D303" t="str">
        <f>"9780203519820"</f>
        <v>9780203519820</v>
      </c>
      <c r="E303" t="s">
        <v>15</v>
      </c>
      <c r="F303" t="s">
        <v>16</v>
      </c>
      <c r="G303" s="1">
        <v>37040</v>
      </c>
      <c r="H303" s="1">
        <v>38169</v>
      </c>
      <c r="I303" t="s">
        <v>12</v>
      </c>
      <c r="J303" t="s">
        <v>11073</v>
      </c>
    </row>
    <row r="304" spans="1:10" x14ac:dyDescent="0.25">
      <c r="A304">
        <v>178702</v>
      </c>
      <c r="B304" t="s">
        <v>325</v>
      </c>
      <c r="C304" t="str">
        <f>"9780415301541"</f>
        <v>9780415301541</v>
      </c>
      <c r="D304" t="str">
        <f>"9780203522301"</f>
        <v>9780203522301</v>
      </c>
      <c r="E304" t="s">
        <v>144</v>
      </c>
      <c r="F304" t="s">
        <v>144</v>
      </c>
      <c r="G304" s="1">
        <v>37588</v>
      </c>
      <c r="H304" s="1">
        <v>38169</v>
      </c>
      <c r="I304" t="s">
        <v>12</v>
      </c>
      <c r="J304" t="s">
        <v>11074</v>
      </c>
    </row>
    <row r="305" spans="1:10" x14ac:dyDescent="0.25">
      <c r="A305">
        <v>178723</v>
      </c>
      <c r="B305" t="s">
        <v>326</v>
      </c>
      <c r="C305" t="str">
        <f>"9780419215202"</f>
        <v>9780419215202</v>
      </c>
      <c r="D305" t="str">
        <f>"9780203476659"</f>
        <v>9780203476659</v>
      </c>
      <c r="E305" t="s">
        <v>144</v>
      </c>
      <c r="F305" t="s">
        <v>16</v>
      </c>
      <c r="G305" s="1">
        <v>35906</v>
      </c>
      <c r="H305" s="1">
        <v>38169</v>
      </c>
      <c r="I305" t="s">
        <v>12</v>
      </c>
      <c r="J305" t="s">
        <v>11075</v>
      </c>
    </row>
    <row r="306" spans="1:10" x14ac:dyDescent="0.25">
      <c r="A306">
        <v>178737</v>
      </c>
      <c r="B306" t="s">
        <v>327</v>
      </c>
      <c r="C306" t="str">
        <f>"9780419252405"</f>
        <v>9780419252405</v>
      </c>
      <c r="D306" t="str">
        <f>"9780203478684"</f>
        <v>9780203478684</v>
      </c>
      <c r="E306" t="s">
        <v>15</v>
      </c>
      <c r="F306" t="s">
        <v>16</v>
      </c>
      <c r="G306" s="1">
        <v>33704</v>
      </c>
      <c r="H306" s="1">
        <v>38169</v>
      </c>
      <c r="I306" t="s">
        <v>12</v>
      </c>
      <c r="J306" t="s">
        <v>11076</v>
      </c>
    </row>
    <row r="307" spans="1:10" x14ac:dyDescent="0.25">
      <c r="A307">
        <v>178739</v>
      </c>
      <c r="B307" t="s">
        <v>328</v>
      </c>
      <c r="C307" t="str">
        <f>"9780419261407"</f>
        <v>9780419261407</v>
      </c>
      <c r="D307" t="str">
        <f>"9780203477342"</f>
        <v>9780203477342</v>
      </c>
      <c r="E307" t="s">
        <v>16</v>
      </c>
      <c r="F307" t="s">
        <v>16</v>
      </c>
      <c r="G307" s="1">
        <v>36664</v>
      </c>
      <c r="H307" s="1">
        <v>41462</v>
      </c>
      <c r="I307" t="s">
        <v>12</v>
      </c>
      <c r="J307" t="s">
        <v>11077</v>
      </c>
    </row>
    <row r="308" spans="1:10" x14ac:dyDescent="0.25">
      <c r="A308">
        <v>178752</v>
      </c>
      <c r="B308" t="s">
        <v>329</v>
      </c>
      <c r="C308" t="str">
        <f>"9780750705448"</f>
        <v>9780750705448</v>
      </c>
      <c r="D308" t="str">
        <f>"9780203454084"</f>
        <v>9780203454084</v>
      </c>
      <c r="E308" t="s">
        <v>15</v>
      </c>
      <c r="F308" t="s">
        <v>16</v>
      </c>
      <c r="G308" s="1">
        <v>35370</v>
      </c>
      <c r="H308" s="1">
        <v>38169</v>
      </c>
      <c r="I308" t="s">
        <v>12</v>
      </c>
      <c r="J308" t="s">
        <v>11078</v>
      </c>
    </row>
    <row r="309" spans="1:10" x14ac:dyDescent="0.25">
      <c r="A309">
        <v>178754</v>
      </c>
      <c r="B309" t="s">
        <v>330</v>
      </c>
      <c r="C309" t="str">
        <f>"9780750703871"</f>
        <v>9780750703871</v>
      </c>
      <c r="D309" t="str">
        <f>"9780203454220"</f>
        <v>9780203454220</v>
      </c>
      <c r="E309" t="s">
        <v>15</v>
      </c>
      <c r="F309" t="s">
        <v>16</v>
      </c>
      <c r="G309" s="1">
        <v>34731</v>
      </c>
      <c r="H309" s="1">
        <v>38169</v>
      </c>
      <c r="I309" t="s">
        <v>12</v>
      </c>
      <c r="J309" t="s">
        <v>11079</v>
      </c>
    </row>
    <row r="310" spans="1:10" x14ac:dyDescent="0.25">
      <c r="A310">
        <v>178795</v>
      </c>
      <c r="B310" t="s">
        <v>331</v>
      </c>
      <c r="C310" t="str">
        <f>"9780415333108"</f>
        <v>9780415333108</v>
      </c>
      <c r="D310" t="str">
        <f>"9780203412695"</f>
        <v>9780203412695</v>
      </c>
      <c r="E310" t="s">
        <v>15</v>
      </c>
      <c r="F310" t="s">
        <v>16</v>
      </c>
      <c r="G310" s="1">
        <v>38473</v>
      </c>
      <c r="H310" s="1">
        <v>38666</v>
      </c>
      <c r="I310" t="s">
        <v>12</v>
      </c>
      <c r="J310" t="s">
        <v>11080</v>
      </c>
    </row>
    <row r="311" spans="1:10" x14ac:dyDescent="0.25">
      <c r="A311">
        <v>178798</v>
      </c>
      <c r="B311" t="s">
        <v>332</v>
      </c>
      <c r="C311" t="str">
        <f>"9780415323758"</f>
        <v>9780415323758</v>
      </c>
      <c r="D311" t="str">
        <f>"9780203022733"</f>
        <v>9780203022733</v>
      </c>
      <c r="E311" t="s">
        <v>15</v>
      </c>
      <c r="F311" t="s">
        <v>16</v>
      </c>
      <c r="G311" s="1">
        <v>38701</v>
      </c>
      <c r="H311" s="1">
        <v>40218</v>
      </c>
      <c r="I311" t="s">
        <v>12</v>
      </c>
      <c r="J311" t="s">
        <v>11081</v>
      </c>
    </row>
    <row r="312" spans="1:10" x14ac:dyDescent="0.25">
      <c r="A312">
        <v>178810</v>
      </c>
      <c r="B312" t="s">
        <v>333</v>
      </c>
      <c r="C312" t="str">
        <f>"9780415317511"</f>
        <v>9780415317511</v>
      </c>
      <c r="D312" t="str">
        <f>"9780203590591"</f>
        <v>9780203590591</v>
      </c>
      <c r="E312" t="s">
        <v>15</v>
      </c>
      <c r="F312" t="s">
        <v>16</v>
      </c>
      <c r="G312" s="1">
        <v>39477</v>
      </c>
      <c r="H312" s="1">
        <v>39472</v>
      </c>
      <c r="I312" t="s">
        <v>12</v>
      </c>
      <c r="J312" t="s">
        <v>11082</v>
      </c>
    </row>
    <row r="313" spans="1:10" x14ac:dyDescent="0.25">
      <c r="A313">
        <v>178816</v>
      </c>
      <c r="B313" t="s">
        <v>334</v>
      </c>
      <c r="C313" t="str">
        <f>"9780415700092"</f>
        <v>9780415700092</v>
      </c>
      <c r="D313" t="str">
        <f>"9780203799932"</f>
        <v>9780203799932</v>
      </c>
      <c r="E313" t="s">
        <v>15</v>
      </c>
      <c r="F313" t="s">
        <v>16</v>
      </c>
      <c r="G313" s="1">
        <v>38987</v>
      </c>
      <c r="H313" s="1">
        <v>39042</v>
      </c>
      <c r="I313" t="s">
        <v>12</v>
      </c>
      <c r="J313" t="s">
        <v>11083</v>
      </c>
    </row>
    <row r="314" spans="1:10" x14ac:dyDescent="0.25">
      <c r="A314">
        <v>178838</v>
      </c>
      <c r="B314" t="s">
        <v>335</v>
      </c>
      <c r="C314" t="str">
        <f>"9780415228824"</f>
        <v>9780415228824</v>
      </c>
      <c r="D314" t="str">
        <f>"9780203402801"</f>
        <v>9780203402801</v>
      </c>
      <c r="E314" t="s">
        <v>15</v>
      </c>
      <c r="F314" t="s">
        <v>16</v>
      </c>
      <c r="G314" s="1">
        <v>37245</v>
      </c>
      <c r="H314" s="1">
        <v>38169</v>
      </c>
      <c r="I314" t="s">
        <v>12</v>
      </c>
      <c r="J314" t="s">
        <v>11084</v>
      </c>
    </row>
    <row r="315" spans="1:10" x14ac:dyDescent="0.25">
      <c r="A315">
        <v>178857</v>
      </c>
      <c r="B315" t="s">
        <v>336</v>
      </c>
      <c r="C315" t="str">
        <f>"9780415256209"</f>
        <v>9780415256209</v>
      </c>
      <c r="D315" t="str">
        <f>"9780203402870"</f>
        <v>9780203402870</v>
      </c>
      <c r="E315" t="s">
        <v>144</v>
      </c>
      <c r="F315" t="s">
        <v>153</v>
      </c>
      <c r="G315" s="1">
        <v>38231</v>
      </c>
      <c r="H315" s="1">
        <v>38771</v>
      </c>
      <c r="I315" t="s">
        <v>12</v>
      </c>
      <c r="J315" t="s">
        <v>11085</v>
      </c>
    </row>
    <row r="316" spans="1:10" x14ac:dyDescent="0.25">
      <c r="A316">
        <v>178859</v>
      </c>
      <c r="B316" t="s">
        <v>337</v>
      </c>
      <c r="C316" t="str">
        <f>"9780415258166"</f>
        <v>9780415258166</v>
      </c>
      <c r="D316" t="str">
        <f>"9780203380468"</f>
        <v>9780203380468</v>
      </c>
      <c r="E316" t="s">
        <v>15</v>
      </c>
      <c r="F316" t="s">
        <v>16</v>
      </c>
      <c r="G316" s="1">
        <v>37909</v>
      </c>
      <c r="H316" s="1">
        <v>38491</v>
      </c>
      <c r="I316" t="s">
        <v>12</v>
      </c>
      <c r="J316" t="s">
        <v>11086</v>
      </c>
    </row>
    <row r="317" spans="1:10" x14ac:dyDescent="0.25">
      <c r="A317">
        <v>178865</v>
      </c>
      <c r="B317" t="s">
        <v>338</v>
      </c>
      <c r="C317" t="str">
        <f>"9780415274920"</f>
        <v>9780415274920</v>
      </c>
      <c r="D317" t="str">
        <f>"9780203402689"</f>
        <v>9780203402689</v>
      </c>
      <c r="E317" t="s">
        <v>15</v>
      </c>
      <c r="F317" t="s">
        <v>16</v>
      </c>
      <c r="G317" s="1">
        <v>37852</v>
      </c>
      <c r="H317" s="1">
        <v>38819</v>
      </c>
      <c r="I317" t="s">
        <v>12</v>
      </c>
      <c r="J317" t="s">
        <v>11087</v>
      </c>
    </row>
    <row r="318" spans="1:10" x14ac:dyDescent="0.25">
      <c r="A318">
        <v>178924</v>
      </c>
      <c r="B318" t="s">
        <v>339</v>
      </c>
      <c r="C318" t="str">
        <f>"9781857430233"</f>
        <v>9781857430233</v>
      </c>
      <c r="D318" t="str">
        <f>"9780203403686"</f>
        <v>9780203403686</v>
      </c>
      <c r="E318" t="s">
        <v>16</v>
      </c>
      <c r="F318" t="s">
        <v>16</v>
      </c>
      <c r="G318" s="1">
        <v>35796</v>
      </c>
      <c r="H318" s="1">
        <v>38686</v>
      </c>
      <c r="I318" t="s">
        <v>12</v>
      </c>
      <c r="J318" t="s">
        <v>11088</v>
      </c>
    </row>
    <row r="319" spans="1:10" x14ac:dyDescent="0.25">
      <c r="A319">
        <v>178925</v>
      </c>
      <c r="B319" t="s">
        <v>340</v>
      </c>
      <c r="C319" t="str">
        <f>"9781857431452"</f>
        <v>9781857431452</v>
      </c>
      <c r="D319" t="str">
        <f>"9780203403464"</f>
        <v>9780203403464</v>
      </c>
      <c r="E319" t="s">
        <v>15</v>
      </c>
      <c r="F319" t="s">
        <v>16</v>
      </c>
      <c r="G319" s="1">
        <v>37582</v>
      </c>
      <c r="H319" s="1">
        <v>41030</v>
      </c>
      <c r="I319" t="s">
        <v>12</v>
      </c>
      <c r="J319" t="s">
        <v>11089</v>
      </c>
    </row>
    <row r="320" spans="1:10" x14ac:dyDescent="0.25">
      <c r="A320">
        <v>178970</v>
      </c>
      <c r="B320" t="s">
        <v>341</v>
      </c>
      <c r="C320" t="str">
        <f>"9780415298223"</f>
        <v>9780415298223</v>
      </c>
      <c r="D320" t="str">
        <f>"9780203403297"</f>
        <v>9780203403297</v>
      </c>
      <c r="E320" t="s">
        <v>15</v>
      </c>
      <c r="F320" t="s">
        <v>16</v>
      </c>
      <c r="G320" s="1">
        <v>37796</v>
      </c>
      <c r="H320" s="1">
        <v>38169</v>
      </c>
      <c r="I320" t="s">
        <v>12</v>
      </c>
      <c r="J320" t="s">
        <v>11090</v>
      </c>
    </row>
    <row r="321" spans="1:10" x14ac:dyDescent="0.25">
      <c r="A321">
        <v>179039</v>
      </c>
      <c r="B321" t="s">
        <v>342</v>
      </c>
      <c r="C321" t="str">
        <f>"9780415006781"</f>
        <v>9780415006781</v>
      </c>
      <c r="D321" t="str">
        <f>"9780203358849"</f>
        <v>9780203358849</v>
      </c>
      <c r="E321" t="s">
        <v>15</v>
      </c>
      <c r="F321" t="s">
        <v>16</v>
      </c>
      <c r="G321" s="1">
        <v>32401</v>
      </c>
      <c r="H321" s="1">
        <v>38804</v>
      </c>
      <c r="I321" t="s">
        <v>12</v>
      </c>
      <c r="J321" t="s">
        <v>11091</v>
      </c>
    </row>
    <row r="322" spans="1:10" x14ac:dyDescent="0.25">
      <c r="A322">
        <v>179062</v>
      </c>
      <c r="B322" t="s">
        <v>343</v>
      </c>
      <c r="C322" t="str">
        <f>"9780415012416"</f>
        <v>9780415012416</v>
      </c>
      <c r="D322" t="str">
        <f>"9780203358917"</f>
        <v>9780203358917</v>
      </c>
      <c r="E322" t="s">
        <v>15</v>
      </c>
      <c r="F322" t="s">
        <v>16</v>
      </c>
      <c r="G322" s="1">
        <v>33725</v>
      </c>
      <c r="H322" s="1">
        <v>38486</v>
      </c>
      <c r="I322" t="s">
        <v>12</v>
      </c>
      <c r="J322" t="s">
        <v>11092</v>
      </c>
    </row>
    <row r="323" spans="1:10" x14ac:dyDescent="0.25">
      <c r="A323">
        <v>179137</v>
      </c>
      <c r="B323" t="s">
        <v>344</v>
      </c>
      <c r="C323" t="str">
        <f>"9780415042888"</f>
        <v>9780415042888</v>
      </c>
      <c r="D323" t="str">
        <f>"9780203392768"</f>
        <v>9780203392768</v>
      </c>
      <c r="E323" t="s">
        <v>15</v>
      </c>
      <c r="F323" t="s">
        <v>16</v>
      </c>
      <c r="G323" s="1">
        <v>33238</v>
      </c>
      <c r="H323" s="1">
        <v>41233</v>
      </c>
      <c r="I323" t="s">
        <v>12</v>
      </c>
      <c r="J323" t="s">
        <v>11093</v>
      </c>
    </row>
    <row r="324" spans="1:10" x14ac:dyDescent="0.25">
      <c r="A324">
        <v>179140</v>
      </c>
      <c r="B324" t="s">
        <v>345</v>
      </c>
      <c r="C324" t="str">
        <f>"9780415043632"</f>
        <v>9780415043632</v>
      </c>
      <c r="D324" t="str">
        <f>"9780203359099"</f>
        <v>9780203359099</v>
      </c>
      <c r="E324" t="s">
        <v>15</v>
      </c>
      <c r="F324" t="s">
        <v>16</v>
      </c>
      <c r="G324" s="1">
        <v>34599</v>
      </c>
      <c r="H324" s="1">
        <v>38644</v>
      </c>
      <c r="I324" t="s">
        <v>12</v>
      </c>
      <c r="J324" t="s">
        <v>11094</v>
      </c>
    </row>
    <row r="325" spans="1:10" x14ac:dyDescent="0.25">
      <c r="A325">
        <v>179165</v>
      </c>
      <c r="B325" t="s">
        <v>346</v>
      </c>
      <c r="C325" t="str">
        <f>"9780415048439"</f>
        <v>9780415048439</v>
      </c>
      <c r="D325" t="str">
        <f>"9780203359181"</f>
        <v>9780203359181</v>
      </c>
      <c r="E325" t="s">
        <v>15</v>
      </c>
      <c r="F325" t="s">
        <v>16</v>
      </c>
      <c r="G325" s="1">
        <v>34032</v>
      </c>
      <c r="H325" s="1">
        <v>38637</v>
      </c>
      <c r="I325" t="s">
        <v>12</v>
      </c>
      <c r="J325" t="s">
        <v>11095</v>
      </c>
    </row>
    <row r="326" spans="1:10" x14ac:dyDescent="0.25">
      <c r="A326">
        <v>179171</v>
      </c>
      <c r="B326" t="s">
        <v>347</v>
      </c>
      <c r="C326" t="str">
        <f>"9780415050753"</f>
        <v>9780415050753</v>
      </c>
      <c r="D326" t="str">
        <f>"9780203379929"</f>
        <v>9780203379929</v>
      </c>
      <c r="E326" t="s">
        <v>15</v>
      </c>
      <c r="F326" t="s">
        <v>16</v>
      </c>
      <c r="G326" s="1">
        <v>28516</v>
      </c>
      <c r="H326" s="1">
        <v>38670</v>
      </c>
      <c r="I326" t="s">
        <v>12</v>
      </c>
      <c r="J326" t="s">
        <v>11096</v>
      </c>
    </row>
    <row r="327" spans="1:10" x14ac:dyDescent="0.25">
      <c r="A327">
        <v>179173</v>
      </c>
      <c r="B327" t="s">
        <v>348</v>
      </c>
      <c r="C327" t="str">
        <f>"9780415051170"</f>
        <v>9780415051170</v>
      </c>
      <c r="D327" t="str">
        <f>"9780203359211"</f>
        <v>9780203359211</v>
      </c>
      <c r="E327" t="s">
        <v>15</v>
      </c>
      <c r="F327" t="s">
        <v>16</v>
      </c>
      <c r="G327" s="1">
        <v>33238</v>
      </c>
      <c r="H327" s="1">
        <v>38590</v>
      </c>
      <c r="I327" t="s">
        <v>12</v>
      </c>
      <c r="J327" t="s">
        <v>11097</v>
      </c>
    </row>
    <row r="328" spans="1:10" x14ac:dyDescent="0.25">
      <c r="A328">
        <v>179202</v>
      </c>
      <c r="B328" t="s">
        <v>349</v>
      </c>
      <c r="C328" t="str">
        <f>"9780415056717"</f>
        <v>9780415056717</v>
      </c>
      <c r="D328" t="str">
        <f>"9780203397367"</f>
        <v>9780203397367</v>
      </c>
      <c r="E328" t="s">
        <v>15</v>
      </c>
      <c r="F328" t="s">
        <v>16</v>
      </c>
      <c r="G328" s="1">
        <v>33270</v>
      </c>
      <c r="H328" s="1">
        <v>42219</v>
      </c>
      <c r="I328" t="s">
        <v>12</v>
      </c>
      <c r="J328" t="s">
        <v>11098</v>
      </c>
    </row>
    <row r="329" spans="1:10" x14ac:dyDescent="0.25">
      <c r="A329">
        <v>179205</v>
      </c>
      <c r="B329" t="s">
        <v>350</v>
      </c>
      <c r="C329" t="str">
        <f>"9780415057721"</f>
        <v>9780415057721</v>
      </c>
      <c r="D329" t="str">
        <f>"9780203412336"</f>
        <v>9780203412336</v>
      </c>
      <c r="E329" t="s">
        <v>15</v>
      </c>
      <c r="F329" t="s">
        <v>16</v>
      </c>
      <c r="G329" s="1">
        <v>33164</v>
      </c>
      <c r="H329" s="1">
        <v>38643</v>
      </c>
      <c r="I329" t="s">
        <v>12</v>
      </c>
      <c r="J329" t="s">
        <v>11099</v>
      </c>
    </row>
    <row r="330" spans="1:10" x14ac:dyDescent="0.25">
      <c r="A330">
        <v>179206</v>
      </c>
      <c r="B330" t="s">
        <v>351</v>
      </c>
      <c r="C330" t="str">
        <f>"9780415057806"</f>
        <v>9780415057806</v>
      </c>
      <c r="D330" t="str">
        <f>"9780203168011"</f>
        <v>9780203168011</v>
      </c>
      <c r="E330" t="s">
        <v>15</v>
      </c>
      <c r="F330" t="s">
        <v>16</v>
      </c>
      <c r="G330" s="1">
        <v>35972</v>
      </c>
      <c r="H330" s="1">
        <v>38486</v>
      </c>
      <c r="I330" t="s">
        <v>12</v>
      </c>
      <c r="J330" t="s">
        <v>11100</v>
      </c>
    </row>
    <row r="331" spans="1:10" x14ac:dyDescent="0.25">
      <c r="A331">
        <v>179208</v>
      </c>
      <c r="B331" t="s">
        <v>352</v>
      </c>
      <c r="C331" t="str">
        <f>"9780415058520"</f>
        <v>9780415058520</v>
      </c>
      <c r="D331" t="str">
        <f>"9780203412497"</f>
        <v>9780203412497</v>
      </c>
      <c r="E331" t="s">
        <v>15</v>
      </c>
      <c r="F331" t="s">
        <v>16</v>
      </c>
      <c r="G331" s="1">
        <v>34054</v>
      </c>
      <c r="H331" s="1">
        <v>38644</v>
      </c>
      <c r="I331" t="s">
        <v>12</v>
      </c>
      <c r="J331" t="s">
        <v>11101</v>
      </c>
    </row>
    <row r="332" spans="1:10" x14ac:dyDescent="0.25">
      <c r="A332">
        <v>179215</v>
      </c>
      <c r="B332" t="s">
        <v>353</v>
      </c>
      <c r="C332" t="str">
        <f>"9780415059169"</f>
        <v>9780415059169</v>
      </c>
      <c r="D332" t="str">
        <f>"9780203379950"</f>
        <v>9780203379950</v>
      </c>
      <c r="E332" t="s">
        <v>15</v>
      </c>
      <c r="F332" t="s">
        <v>16</v>
      </c>
      <c r="G332" s="1">
        <v>31750</v>
      </c>
      <c r="H332" s="1">
        <v>38663</v>
      </c>
      <c r="I332" t="s">
        <v>12</v>
      </c>
      <c r="J332" t="s">
        <v>11102</v>
      </c>
    </row>
    <row r="333" spans="1:10" x14ac:dyDescent="0.25">
      <c r="A333">
        <v>179252</v>
      </c>
      <c r="B333" t="s">
        <v>354</v>
      </c>
      <c r="C333" t="str">
        <f>"9780415065559"</f>
        <v>9780415065559</v>
      </c>
      <c r="D333" t="str">
        <f>"9780203379967"</f>
        <v>9780203379967</v>
      </c>
      <c r="E333" t="s">
        <v>15</v>
      </c>
      <c r="F333" t="s">
        <v>16</v>
      </c>
      <c r="G333" s="1">
        <v>28505</v>
      </c>
      <c r="H333" s="1">
        <v>38680</v>
      </c>
      <c r="I333" t="s">
        <v>12</v>
      </c>
      <c r="J333" t="s">
        <v>11103</v>
      </c>
    </row>
    <row r="334" spans="1:10" x14ac:dyDescent="0.25">
      <c r="A334">
        <v>179254</v>
      </c>
      <c r="B334" t="s">
        <v>355</v>
      </c>
      <c r="C334" t="str">
        <f>"9780415065689"</f>
        <v>9780415065689</v>
      </c>
      <c r="D334" t="str">
        <f>"9780203379981"</f>
        <v>9780203379981</v>
      </c>
      <c r="E334" t="s">
        <v>15</v>
      </c>
      <c r="F334" t="s">
        <v>16</v>
      </c>
      <c r="G334" s="1">
        <v>38839</v>
      </c>
      <c r="H334" s="1">
        <v>41289</v>
      </c>
      <c r="I334" t="s">
        <v>12</v>
      </c>
      <c r="J334" t="s">
        <v>11104</v>
      </c>
    </row>
    <row r="335" spans="1:10" x14ac:dyDescent="0.25">
      <c r="A335">
        <v>179257</v>
      </c>
      <c r="B335" t="s">
        <v>356</v>
      </c>
      <c r="C335" t="str">
        <f>"9780415066402"</f>
        <v>9780415066402</v>
      </c>
      <c r="D335" t="str">
        <f>"9780203392744"</f>
        <v>9780203392744</v>
      </c>
      <c r="E335" t="s">
        <v>15</v>
      </c>
      <c r="F335" t="s">
        <v>16</v>
      </c>
      <c r="G335" s="1">
        <v>33580</v>
      </c>
      <c r="H335" s="1">
        <v>38636</v>
      </c>
      <c r="I335" t="s">
        <v>12</v>
      </c>
      <c r="J335" t="s">
        <v>11105</v>
      </c>
    </row>
    <row r="336" spans="1:10" x14ac:dyDescent="0.25">
      <c r="A336">
        <v>179259</v>
      </c>
      <c r="B336" t="s">
        <v>357</v>
      </c>
      <c r="C336" t="str">
        <f>"9780415066600"</f>
        <v>9780415066600</v>
      </c>
      <c r="D336" t="str">
        <f>"9780203392690"</f>
        <v>9780203392690</v>
      </c>
      <c r="E336" t="s">
        <v>15</v>
      </c>
      <c r="F336" t="s">
        <v>16</v>
      </c>
      <c r="G336" s="1">
        <v>34078</v>
      </c>
      <c r="H336" s="1">
        <v>38663</v>
      </c>
      <c r="I336" t="s">
        <v>12</v>
      </c>
      <c r="J336" t="s">
        <v>11106</v>
      </c>
    </row>
    <row r="337" spans="1:10" x14ac:dyDescent="0.25">
      <c r="A337">
        <v>179272</v>
      </c>
      <c r="B337" t="s">
        <v>358</v>
      </c>
      <c r="C337" t="str">
        <f>"9780415068222"</f>
        <v>9780415068222</v>
      </c>
      <c r="D337" t="str">
        <f>"9780203359433"</f>
        <v>9780203359433</v>
      </c>
      <c r="E337" t="s">
        <v>15</v>
      </c>
      <c r="F337" t="s">
        <v>16</v>
      </c>
      <c r="G337" s="1">
        <v>34019</v>
      </c>
      <c r="H337" s="1">
        <v>38428</v>
      </c>
      <c r="I337" t="s">
        <v>12</v>
      </c>
      <c r="J337" t="s">
        <v>11107</v>
      </c>
    </row>
    <row r="338" spans="1:10" x14ac:dyDescent="0.25">
      <c r="A338">
        <v>179289</v>
      </c>
      <c r="B338" t="s">
        <v>359</v>
      </c>
      <c r="C338" t="str">
        <f>"9780415072328"</f>
        <v>9780415072328</v>
      </c>
      <c r="D338" t="str">
        <f>"9780203359495"</f>
        <v>9780203359495</v>
      </c>
      <c r="E338" t="s">
        <v>15</v>
      </c>
      <c r="F338" t="s">
        <v>16</v>
      </c>
      <c r="G338" s="1">
        <v>35097</v>
      </c>
      <c r="H338" s="1">
        <v>38169</v>
      </c>
      <c r="I338" t="s">
        <v>12</v>
      </c>
      <c r="J338" t="s">
        <v>11108</v>
      </c>
    </row>
    <row r="339" spans="1:10" x14ac:dyDescent="0.25">
      <c r="A339">
        <v>179359</v>
      </c>
      <c r="B339" t="s">
        <v>360</v>
      </c>
      <c r="C339" t="str">
        <f>"9780415085656"</f>
        <v>9780415085656</v>
      </c>
      <c r="D339" t="str">
        <f>"9780203381229"</f>
        <v>9780203381229</v>
      </c>
      <c r="E339" t="s">
        <v>15</v>
      </c>
      <c r="F339" t="s">
        <v>16</v>
      </c>
      <c r="G339" s="1">
        <v>34863</v>
      </c>
      <c r="H339" s="1">
        <v>41030</v>
      </c>
      <c r="I339" t="s">
        <v>12</v>
      </c>
      <c r="J339" t="s">
        <v>11109</v>
      </c>
    </row>
    <row r="340" spans="1:10" x14ac:dyDescent="0.25">
      <c r="A340">
        <v>179364</v>
      </c>
      <c r="B340" t="s">
        <v>361</v>
      </c>
      <c r="C340" t="str">
        <f>"9780415086288"</f>
        <v>9780415086288</v>
      </c>
      <c r="D340" t="str">
        <f>"9780203393369"</f>
        <v>9780203393369</v>
      </c>
      <c r="E340" t="s">
        <v>15</v>
      </c>
      <c r="F340" t="s">
        <v>16</v>
      </c>
      <c r="G340" s="1">
        <v>34178</v>
      </c>
      <c r="H340" s="1">
        <v>41347</v>
      </c>
      <c r="I340" t="s">
        <v>12</v>
      </c>
      <c r="J340" t="s">
        <v>11110</v>
      </c>
    </row>
    <row r="341" spans="1:10" x14ac:dyDescent="0.25">
      <c r="A341">
        <v>179436</v>
      </c>
      <c r="B341" t="s">
        <v>362</v>
      </c>
      <c r="C341" t="str">
        <f>"9780415098298"</f>
        <v>9780415098298</v>
      </c>
      <c r="D341" t="str">
        <f>"9780203423660"</f>
        <v>9780203423660</v>
      </c>
      <c r="E341" t="s">
        <v>15</v>
      </c>
      <c r="F341" t="s">
        <v>16</v>
      </c>
      <c r="G341" s="1">
        <v>34625</v>
      </c>
      <c r="H341" s="1">
        <v>38654</v>
      </c>
      <c r="I341" t="s">
        <v>12</v>
      </c>
      <c r="J341" t="s">
        <v>11111</v>
      </c>
    </row>
    <row r="342" spans="1:10" x14ac:dyDescent="0.25">
      <c r="A342">
        <v>179446</v>
      </c>
      <c r="B342" t="s">
        <v>363</v>
      </c>
      <c r="C342" t="str">
        <f>"9780415104678"</f>
        <v>9780415104678</v>
      </c>
      <c r="D342" t="str">
        <f>"9780203205280"</f>
        <v>9780203205280</v>
      </c>
      <c r="E342" t="s">
        <v>15</v>
      </c>
      <c r="F342" t="s">
        <v>16</v>
      </c>
      <c r="G342" s="1">
        <v>34543</v>
      </c>
      <c r="H342" s="1">
        <v>38642</v>
      </c>
      <c r="I342" t="s">
        <v>12</v>
      </c>
      <c r="J342" t="s">
        <v>11112</v>
      </c>
    </row>
    <row r="343" spans="1:10" x14ac:dyDescent="0.25">
      <c r="A343">
        <v>179461</v>
      </c>
      <c r="B343" t="s">
        <v>364</v>
      </c>
      <c r="C343" t="str">
        <f>"9780415100946"</f>
        <v>9780415100946</v>
      </c>
      <c r="D343" t="str">
        <f>"9780203424551"</f>
        <v>9780203424551</v>
      </c>
      <c r="E343" t="s">
        <v>15</v>
      </c>
      <c r="F343" t="s">
        <v>16</v>
      </c>
      <c r="G343" s="1">
        <v>36837</v>
      </c>
      <c r="H343" s="1">
        <v>38169</v>
      </c>
      <c r="I343" t="s">
        <v>12</v>
      </c>
      <c r="J343" t="s">
        <v>11113</v>
      </c>
    </row>
    <row r="344" spans="1:10" x14ac:dyDescent="0.25">
      <c r="A344">
        <v>179474</v>
      </c>
      <c r="B344" t="s">
        <v>365</v>
      </c>
      <c r="C344" t="str">
        <f>"9780415104029"</f>
        <v>9780415104029</v>
      </c>
      <c r="D344" t="str">
        <f>"9780203359877"</f>
        <v>9780203359877</v>
      </c>
      <c r="E344" t="s">
        <v>15</v>
      </c>
      <c r="F344" t="s">
        <v>16</v>
      </c>
      <c r="G344" s="1">
        <v>35293</v>
      </c>
      <c r="H344" s="1">
        <v>38635</v>
      </c>
      <c r="I344" t="s">
        <v>12</v>
      </c>
      <c r="J344" t="s">
        <v>11114</v>
      </c>
    </row>
    <row r="345" spans="1:10" x14ac:dyDescent="0.25">
      <c r="A345">
        <v>179524</v>
      </c>
      <c r="B345" t="s">
        <v>366</v>
      </c>
      <c r="C345" t="str">
        <f>"9780415115353"</f>
        <v>9780415115353</v>
      </c>
      <c r="D345" t="str">
        <f>"9780203202890"</f>
        <v>9780203202890</v>
      </c>
      <c r="E345" t="s">
        <v>15</v>
      </c>
      <c r="F345" t="s">
        <v>16</v>
      </c>
      <c r="G345" s="1">
        <v>35342</v>
      </c>
      <c r="H345" s="1">
        <v>38637</v>
      </c>
      <c r="I345" t="s">
        <v>12</v>
      </c>
      <c r="J345" t="s">
        <v>11115</v>
      </c>
    </row>
    <row r="346" spans="1:10" x14ac:dyDescent="0.25">
      <c r="A346">
        <v>179526</v>
      </c>
      <c r="B346" t="s">
        <v>367</v>
      </c>
      <c r="C346" t="str">
        <f>"9780415115407"</f>
        <v>9780415115407</v>
      </c>
      <c r="D346" t="str">
        <f>"9780203429150"</f>
        <v>9780203429150</v>
      </c>
      <c r="E346" t="s">
        <v>15</v>
      </c>
      <c r="F346" t="s">
        <v>16</v>
      </c>
      <c r="G346" s="1">
        <v>41127</v>
      </c>
      <c r="H346" s="1">
        <v>39997</v>
      </c>
      <c r="I346" t="s">
        <v>12</v>
      </c>
      <c r="J346" t="s">
        <v>11116</v>
      </c>
    </row>
    <row r="347" spans="1:10" x14ac:dyDescent="0.25">
      <c r="A347">
        <v>179546</v>
      </c>
      <c r="B347" t="s">
        <v>368</v>
      </c>
      <c r="C347" t="str">
        <f>"9780415117685"</f>
        <v>9780415117685</v>
      </c>
      <c r="D347" t="str">
        <f>"9780203205822"</f>
        <v>9780203205822</v>
      </c>
      <c r="E347" t="s">
        <v>15</v>
      </c>
      <c r="F347" t="s">
        <v>16</v>
      </c>
      <c r="G347" s="1">
        <v>36389</v>
      </c>
      <c r="H347" s="1">
        <v>38169</v>
      </c>
      <c r="I347" t="s">
        <v>12</v>
      </c>
      <c r="J347" t="s">
        <v>11117</v>
      </c>
    </row>
    <row r="348" spans="1:10" x14ac:dyDescent="0.25">
      <c r="A348">
        <v>179560</v>
      </c>
      <c r="B348" t="s">
        <v>369</v>
      </c>
      <c r="C348" t="str">
        <f>"9780415120869"</f>
        <v>9780415120869</v>
      </c>
      <c r="D348" t="str">
        <f>"9780203431160"</f>
        <v>9780203431160</v>
      </c>
      <c r="E348" t="s">
        <v>15</v>
      </c>
      <c r="F348" t="s">
        <v>16</v>
      </c>
      <c r="G348" s="1">
        <v>35369</v>
      </c>
      <c r="H348" s="1">
        <v>39045</v>
      </c>
      <c r="I348" t="s">
        <v>12</v>
      </c>
      <c r="J348" t="s">
        <v>11118</v>
      </c>
    </row>
    <row r="349" spans="1:10" x14ac:dyDescent="0.25">
      <c r="A349">
        <v>179605</v>
      </c>
      <c r="B349" t="s">
        <v>370</v>
      </c>
      <c r="C349" t="str">
        <f>"9780415275798"</f>
        <v>9780415275798</v>
      </c>
      <c r="D349" t="str">
        <f>"9780203434086"</f>
        <v>9780203434086</v>
      </c>
      <c r="E349" t="s">
        <v>15</v>
      </c>
      <c r="F349" t="s">
        <v>16</v>
      </c>
      <c r="G349" s="1">
        <v>37722</v>
      </c>
      <c r="H349" s="1">
        <v>38169</v>
      </c>
      <c r="I349" t="s">
        <v>12</v>
      </c>
      <c r="J349" t="s">
        <v>11119</v>
      </c>
    </row>
    <row r="350" spans="1:10" x14ac:dyDescent="0.25">
      <c r="A350">
        <v>179679</v>
      </c>
      <c r="B350" t="s">
        <v>371</v>
      </c>
      <c r="C350" t="str">
        <f>"9780415136662"</f>
        <v>9780415136662</v>
      </c>
      <c r="D350" t="str">
        <f>"9780203398371"</f>
        <v>9780203398371</v>
      </c>
      <c r="E350" t="s">
        <v>15</v>
      </c>
      <c r="F350" t="s">
        <v>16</v>
      </c>
      <c r="G350" s="1">
        <v>35388</v>
      </c>
      <c r="H350" s="1">
        <v>38665</v>
      </c>
      <c r="I350" t="s">
        <v>12</v>
      </c>
      <c r="J350" t="s">
        <v>11120</v>
      </c>
    </row>
    <row r="351" spans="1:10" x14ac:dyDescent="0.25">
      <c r="A351">
        <v>179692</v>
      </c>
      <c r="B351" t="s">
        <v>372</v>
      </c>
      <c r="C351" t="str">
        <f>"9780415134569"</f>
        <v>9780415134569</v>
      </c>
      <c r="D351" t="str">
        <f>"9780203196717"</f>
        <v>9780203196717</v>
      </c>
      <c r="E351" t="s">
        <v>15</v>
      </c>
      <c r="F351" t="s">
        <v>16</v>
      </c>
      <c r="G351" s="1">
        <v>35129</v>
      </c>
      <c r="H351" s="1">
        <v>38586</v>
      </c>
      <c r="I351" t="s">
        <v>12</v>
      </c>
      <c r="J351" t="s">
        <v>11121</v>
      </c>
    </row>
    <row r="352" spans="1:10" x14ac:dyDescent="0.25">
      <c r="A352">
        <v>179693</v>
      </c>
      <c r="B352" t="s">
        <v>373</v>
      </c>
      <c r="C352" t="str">
        <f>"9780415134576"</f>
        <v>9780415134576</v>
      </c>
      <c r="D352" t="str">
        <f>"9780203196755"</f>
        <v>9780203196755</v>
      </c>
      <c r="E352" t="s">
        <v>15</v>
      </c>
      <c r="F352" t="s">
        <v>16</v>
      </c>
      <c r="G352" s="1">
        <v>35129</v>
      </c>
      <c r="H352" s="1">
        <v>38486</v>
      </c>
      <c r="I352" t="s">
        <v>12</v>
      </c>
      <c r="J352" t="s">
        <v>11122</v>
      </c>
    </row>
    <row r="353" spans="1:10" x14ac:dyDescent="0.25">
      <c r="A353">
        <v>179707</v>
      </c>
      <c r="B353" t="s">
        <v>374</v>
      </c>
      <c r="C353" t="str">
        <f>"9780415139144"</f>
        <v>9780415139144</v>
      </c>
      <c r="D353" t="str">
        <f>"9780203208335"</f>
        <v>9780203208335</v>
      </c>
      <c r="E353" t="s">
        <v>15</v>
      </c>
      <c r="F353" t="s">
        <v>16</v>
      </c>
      <c r="G353" s="1">
        <v>36266</v>
      </c>
      <c r="H353" s="1">
        <v>38169</v>
      </c>
      <c r="I353" t="s">
        <v>12</v>
      </c>
      <c r="J353" t="s">
        <v>11123</v>
      </c>
    </row>
    <row r="354" spans="1:10" x14ac:dyDescent="0.25">
      <c r="A354">
        <v>179758</v>
      </c>
      <c r="B354" t="s">
        <v>375</v>
      </c>
      <c r="C354" t="str">
        <f>"9780415022484"</f>
        <v>9780415022484</v>
      </c>
      <c r="D354" t="str">
        <f>"9780203191590"</f>
        <v>9780203191590</v>
      </c>
      <c r="E354" t="s">
        <v>15</v>
      </c>
      <c r="F354" t="s">
        <v>16</v>
      </c>
      <c r="G354" s="1">
        <v>32829</v>
      </c>
      <c r="H354" s="1">
        <v>38169</v>
      </c>
      <c r="I354" t="s">
        <v>12</v>
      </c>
      <c r="J354" t="s">
        <v>11124</v>
      </c>
    </row>
    <row r="355" spans="1:10" x14ac:dyDescent="0.25">
      <c r="A355">
        <v>179781</v>
      </c>
      <c r="B355" t="s">
        <v>376</v>
      </c>
      <c r="C355" t="str">
        <f>"9780415145718"</f>
        <v>9780415145718</v>
      </c>
      <c r="D355" t="str">
        <f>"9780203440209"</f>
        <v>9780203440209</v>
      </c>
      <c r="E355" t="s">
        <v>15</v>
      </c>
      <c r="F355" t="s">
        <v>16</v>
      </c>
      <c r="G355" s="1">
        <v>37831</v>
      </c>
      <c r="H355" s="1">
        <v>38386</v>
      </c>
      <c r="I355" t="s">
        <v>12</v>
      </c>
      <c r="J355" t="s">
        <v>11125</v>
      </c>
    </row>
    <row r="356" spans="1:10" x14ac:dyDescent="0.25">
      <c r="A356">
        <v>179809</v>
      </c>
      <c r="B356" t="s">
        <v>377</v>
      </c>
      <c r="C356" t="str">
        <f>"9780415109536"</f>
        <v>9780415109536</v>
      </c>
      <c r="D356" t="str">
        <f>"9780203047996"</f>
        <v>9780203047996</v>
      </c>
      <c r="E356" t="s">
        <v>15</v>
      </c>
      <c r="F356" t="s">
        <v>16</v>
      </c>
      <c r="G356" s="1">
        <v>34543</v>
      </c>
      <c r="H356" s="1">
        <v>38486</v>
      </c>
      <c r="I356" t="s">
        <v>12</v>
      </c>
      <c r="J356" t="s">
        <v>11126</v>
      </c>
    </row>
    <row r="357" spans="1:10" x14ac:dyDescent="0.25">
      <c r="A357">
        <v>179818</v>
      </c>
      <c r="B357" t="s">
        <v>378</v>
      </c>
      <c r="C357" t="str">
        <f>"9780415147439"</f>
        <v>9780415147439</v>
      </c>
      <c r="D357" t="str">
        <f>"9780203360415"</f>
        <v>9780203360415</v>
      </c>
      <c r="E357" t="s">
        <v>15</v>
      </c>
      <c r="F357" t="s">
        <v>16</v>
      </c>
      <c r="G357" s="1">
        <v>35740</v>
      </c>
      <c r="H357" s="1">
        <v>38644</v>
      </c>
      <c r="I357" t="s">
        <v>12</v>
      </c>
      <c r="J357" t="s">
        <v>11127</v>
      </c>
    </row>
    <row r="358" spans="1:10" x14ac:dyDescent="0.25">
      <c r="A358">
        <v>179824</v>
      </c>
      <c r="B358" t="s">
        <v>379</v>
      </c>
      <c r="C358" t="str">
        <f>"9780415192101"</f>
        <v>9780415192101</v>
      </c>
      <c r="D358" t="str">
        <f>"9780203064511"</f>
        <v>9780203064511</v>
      </c>
      <c r="E358" t="s">
        <v>15</v>
      </c>
      <c r="F358" t="s">
        <v>16</v>
      </c>
      <c r="G358" s="1">
        <v>36453</v>
      </c>
      <c r="H358" s="1">
        <v>38486</v>
      </c>
      <c r="I358" t="s">
        <v>12</v>
      </c>
      <c r="J358" t="s">
        <v>11128</v>
      </c>
    </row>
    <row r="359" spans="1:10" x14ac:dyDescent="0.25">
      <c r="A359">
        <v>179830</v>
      </c>
      <c r="B359" t="s">
        <v>380</v>
      </c>
      <c r="C359" t="str">
        <f>"9780415017381"</f>
        <v>9780415017381</v>
      </c>
      <c r="D359" t="str">
        <f>"9780203145661"</f>
        <v>9780203145661</v>
      </c>
      <c r="E359" t="s">
        <v>15</v>
      </c>
      <c r="F359" t="s">
        <v>16</v>
      </c>
      <c r="G359" s="1">
        <v>32948</v>
      </c>
      <c r="H359" s="1">
        <v>38169</v>
      </c>
      <c r="I359" t="s">
        <v>12</v>
      </c>
      <c r="J359" t="s">
        <v>11129</v>
      </c>
    </row>
    <row r="360" spans="1:10" x14ac:dyDescent="0.25">
      <c r="A360">
        <v>179836</v>
      </c>
      <c r="B360" t="s">
        <v>381</v>
      </c>
      <c r="C360" t="str">
        <f>"9780415147545"</f>
        <v>9780415147545</v>
      </c>
      <c r="D360" t="str">
        <f>"9780203194836"</f>
        <v>9780203194836</v>
      </c>
      <c r="E360" t="s">
        <v>15</v>
      </c>
      <c r="F360" t="s">
        <v>16</v>
      </c>
      <c r="G360" s="1">
        <v>36367</v>
      </c>
      <c r="H360" s="1">
        <v>40003</v>
      </c>
      <c r="I360" t="s">
        <v>12</v>
      </c>
      <c r="J360" t="s">
        <v>11130</v>
      </c>
    </row>
    <row r="361" spans="1:10" x14ac:dyDescent="0.25">
      <c r="A361">
        <v>179888</v>
      </c>
      <c r="B361" t="s">
        <v>382</v>
      </c>
      <c r="C361" t="str">
        <f>"9780415119177"</f>
        <v>9780415119177</v>
      </c>
      <c r="D361" t="str">
        <f>"9780203210680"</f>
        <v>9780203210680</v>
      </c>
      <c r="E361" t="s">
        <v>15</v>
      </c>
      <c r="F361" t="s">
        <v>16</v>
      </c>
      <c r="G361" s="1">
        <v>34829</v>
      </c>
      <c r="H361" s="1">
        <v>38169</v>
      </c>
      <c r="I361" t="s">
        <v>12</v>
      </c>
      <c r="J361" t="s">
        <v>11131</v>
      </c>
    </row>
    <row r="362" spans="1:10" x14ac:dyDescent="0.25">
      <c r="A362">
        <v>179920</v>
      </c>
      <c r="B362" t="s">
        <v>383</v>
      </c>
      <c r="C362" t="str">
        <f>"9780415231671"</f>
        <v>9780415231671</v>
      </c>
      <c r="D362" t="str">
        <f>"9780203221525"</f>
        <v>9780203221525</v>
      </c>
      <c r="E362" t="s">
        <v>16</v>
      </c>
      <c r="F362" t="s">
        <v>16</v>
      </c>
      <c r="G362" s="1">
        <v>37049</v>
      </c>
      <c r="H362" s="1">
        <v>38776</v>
      </c>
      <c r="I362" t="s">
        <v>12</v>
      </c>
      <c r="J362" t="s">
        <v>11132</v>
      </c>
    </row>
    <row r="363" spans="1:10" x14ac:dyDescent="0.25">
      <c r="A363">
        <v>179930</v>
      </c>
      <c r="B363" t="s">
        <v>384</v>
      </c>
      <c r="C363" t="str">
        <f>"9780415069717"</f>
        <v>9780415069717</v>
      </c>
      <c r="D363" t="str">
        <f>"9780203162163"</f>
        <v>9780203162163</v>
      </c>
      <c r="E363" t="s">
        <v>15</v>
      </c>
      <c r="F363" t="s">
        <v>16</v>
      </c>
      <c r="G363" s="1">
        <v>33863</v>
      </c>
      <c r="H363" s="1">
        <v>38169</v>
      </c>
      <c r="I363" t="s">
        <v>12</v>
      </c>
      <c r="J363" t="s">
        <v>11133</v>
      </c>
    </row>
    <row r="364" spans="1:10" x14ac:dyDescent="0.25">
      <c r="A364">
        <v>179933</v>
      </c>
      <c r="B364" t="s">
        <v>385</v>
      </c>
      <c r="C364" t="str">
        <f>"9780415077569"</f>
        <v>9780415077569</v>
      </c>
      <c r="D364" t="str">
        <f>"9780203161562"</f>
        <v>9780203161562</v>
      </c>
      <c r="E364" t="s">
        <v>15</v>
      </c>
      <c r="F364" t="s">
        <v>16</v>
      </c>
      <c r="G364" s="1">
        <v>34368</v>
      </c>
      <c r="H364" s="1">
        <v>38169</v>
      </c>
      <c r="I364" t="s">
        <v>12</v>
      </c>
      <c r="J364" t="s">
        <v>11134</v>
      </c>
    </row>
    <row r="365" spans="1:10" x14ac:dyDescent="0.25">
      <c r="A365">
        <v>179937</v>
      </c>
      <c r="B365" t="s">
        <v>386</v>
      </c>
      <c r="C365" t="str">
        <f>"9780415084413"</f>
        <v>9780415084413</v>
      </c>
      <c r="D365" t="str">
        <f>"9780203215951"</f>
        <v>9780203215951</v>
      </c>
      <c r="E365" t="s">
        <v>15</v>
      </c>
      <c r="F365" t="s">
        <v>16</v>
      </c>
      <c r="G365" s="1">
        <v>34345</v>
      </c>
      <c r="H365" s="1">
        <v>38169</v>
      </c>
      <c r="I365" t="s">
        <v>12</v>
      </c>
      <c r="J365" t="s">
        <v>11135</v>
      </c>
    </row>
    <row r="366" spans="1:10" x14ac:dyDescent="0.25">
      <c r="A366">
        <v>179953</v>
      </c>
      <c r="B366" t="s">
        <v>387</v>
      </c>
      <c r="C366" t="str">
        <f>"9780415151085"</f>
        <v>9780415151085</v>
      </c>
      <c r="D366" t="str">
        <f>"9780203398401"</f>
        <v>9780203398401</v>
      </c>
      <c r="E366" t="s">
        <v>15</v>
      </c>
      <c r="F366" t="s">
        <v>16</v>
      </c>
      <c r="G366" s="1">
        <v>35423</v>
      </c>
      <c r="H366" s="1">
        <v>38636</v>
      </c>
      <c r="I366" t="s">
        <v>12</v>
      </c>
      <c r="J366" t="s">
        <v>11136</v>
      </c>
    </row>
    <row r="367" spans="1:10" x14ac:dyDescent="0.25">
      <c r="A367">
        <v>180001</v>
      </c>
      <c r="B367" t="s">
        <v>388</v>
      </c>
      <c r="C367" t="str">
        <f>"9780415066877"</f>
        <v>9780415066877</v>
      </c>
      <c r="D367" t="str">
        <f>"9780203200063"</f>
        <v>9780203200063</v>
      </c>
      <c r="E367" t="s">
        <v>15</v>
      </c>
      <c r="F367" t="s">
        <v>16</v>
      </c>
      <c r="G367" s="1">
        <v>33830</v>
      </c>
      <c r="H367" s="1">
        <v>38169</v>
      </c>
      <c r="I367" t="s">
        <v>12</v>
      </c>
      <c r="J367" t="s">
        <v>11137</v>
      </c>
    </row>
    <row r="368" spans="1:10" x14ac:dyDescent="0.25">
      <c r="A368">
        <v>180017</v>
      </c>
      <c r="B368" t="s">
        <v>389</v>
      </c>
      <c r="C368" t="str">
        <f>"9780415157438"</f>
        <v>9780415157438</v>
      </c>
      <c r="D368" t="str">
        <f>"9780203401484"</f>
        <v>9780203401484</v>
      </c>
      <c r="E368" t="s">
        <v>15</v>
      </c>
      <c r="F368" t="s">
        <v>16</v>
      </c>
      <c r="G368" s="1">
        <v>35564</v>
      </c>
      <c r="H368" s="1">
        <v>38641</v>
      </c>
      <c r="I368" t="s">
        <v>12</v>
      </c>
      <c r="J368" t="s">
        <v>11138</v>
      </c>
    </row>
    <row r="369" spans="1:10" x14ac:dyDescent="0.25">
      <c r="A369">
        <v>180020</v>
      </c>
      <c r="B369" t="s">
        <v>390</v>
      </c>
      <c r="C369" t="str">
        <f>"9780415094658"</f>
        <v>9780415094658</v>
      </c>
      <c r="D369" t="str">
        <f>"9780203038741"</f>
        <v>9780203038741</v>
      </c>
      <c r="E369" t="s">
        <v>15</v>
      </c>
      <c r="F369" t="s">
        <v>16</v>
      </c>
      <c r="G369" s="1">
        <v>34178</v>
      </c>
      <c r="H369" s="1">
        <v>38169</v>
      </c>
      <c r="I369" t="s">
        <v>12</v>
      </c>
      <c r="J369" t="s">
        <v>11139</v>
      </c>
    </row>
    <row r="370" spans="1:10" x14ac:dyDescent="0.25">
      <c r="A370">
        <v>180060</v>
      </c>
      <c r="B370" t="s">
        <v>391</v>
      </c>
      <c r="C370" t="str">
        <f>"9780415217859"</f>
        <v>9780415217859</v>
      </c>
      <c r="D370" t="str">
        <f>"9780203206645"</f>
        <v>9780203206645</v>
      </c>
      <c r="E370" t="s">
        <v>15</v>
      </c>
      <c r="F370" t="s">
        <v>16</v>
      </c>
      <c r="G370" s="1">
        <v>41787</v>
      </c>
      <c r="H370" s="1">
        <v>38486</v>
      </c>
      <c r="I370" t="s">
        <v>12</v>
      </c>
      <c r="J370" t="s">
        <v>11140</v>
      </c>
    </row>
    <row r="371" spans="1:10" x14ac:dyDescent="0.25">
      <c r="A371">
        <v>180084</v>
      </c>
      <c r="B371" t="s">
        <v>392</v>
      </c>
      <c r="C371" t="str">
        <f>"9780415161527"</f>
        <v>9780415161527</v>
      </c>
      <c r="D371" t="str">
        <f>"9780203360514"</f>
        <v>9780203360514</v>
      </c>
      <c r="E371" t="s">
        <v>15</v>
      </c>
      <c r="F371" t="s">
        <v>16</v>
      </c>
      <c r="G371" s="1">
        <v>35578</v>
      </c>
      <c r="H371" s="1">
        <v>38635</v>
      </c>
      <c r="I371" t="s">
        <v>12</v>
      </c>
      <c r="J371" t="s">
        <v>11141</v>
      </c>
    </row>
    <row r="372" spans="1:10" x14ac:dyDescent="0.25">
      <c r="A372">
        <v>180109</v>
      </c>
      <c r="B372" t="s">
        <v>393</v>
      </c>
      <c r="C372" t="str">
        <f>"9780415167741"</f>
        <v>9780415167741</v>
      </c>
      <c r="D372" t="str">
        <f>"9780203447659"</f>
        <v>9780203447659</v>
      </c>
      <c r="E372" t="s">
        <v>15</v>
      </c>
      <c r="F372" t="s">
        <v>16</v>
      </c>
      <c r="G372" s="1">
        <v>37938</v>
      </c>
      <c r="H372" s="1">
        <v>38657</v>
      </c>
      <c r="I372" t="s">
        <v>12</v>
      </c>
      <c r="J372" t="s">
        <v>11142</v>
      </c>
    </row>
    <row r="373" spans="1:10" x14ac:dyDescent="0.25">
      <c r="A373">
        <v>180112</v>
      </c>
      <c r="B373" t="s">
        <v>394</v>
      </c>
      <c r="C373" t="str">
        <f>"9780415168816"</f>
        <v>9780415168816</v>
      </c>
      <c r="D373" t="str">
        <f>"9780203447956"</f>
        <v>9780203447956</v>
      </c>
      <c r="E373" t="s">
        <v>395</v>
      </c>
      <c r="F373" t="s">
        <v>16</v>
      </c>
      <c r="G373" s="1">
        <v>36594</v>
      </c>
      <c r="H373" s="1">
        <v>39170</v>
      </c>
      <c r="I373" t="s">
        <v>12</v>
      </c>
      <c r="J373" t="s">
        <v>11143</v>
      </c>
    </row>
    <row r="374" spans="1:10" x14ac:dyDescent="0.25">
      <c r="A374">
        <v>180169</v>
      </c>
      <c r="B374" t="s">
        <v>396</v>
      </c>
      <c r="C374" t="str">
        <f>"9780415158183"</f>
        <v>9780415158183</v>
      </c>
      <c r="D374" t="str">
        <f>"9780203444399"</f>
        <v>9780203444399</v>
      </c>
      <c r="E374" t="s">
        <v>15</v>
      </c>
      <c r="F374" t="s">
        <v>16</v>
      </c>
      <c r="G374" s="1">
        <v>35741</v>
      </c>
      <c r="H374" s="1">
        <v>38169</v>
      </c>
      <c r="I374" t="s">
        <v>12</v>
      </c>
      <c r="J374" t="s">
        <v>11144</v>
      </c>
    </row>
    <row r="375" spans="1:10" x14ac:dyDescent="0.25">
      <c r="A375">
        <v>180170</v>
      </c>
      <c r="B375" t="s">
        <v>397</v>
      </c>
      <c r="C375" t="str">
        <f>"9780415158695"</f>
        <v>9780415158695</v>
      </c>
      <c r="D375" t="str">
        <f>"9780203444573"</f>
        <v>9780203444573</v>
      </c>
      <c r="E375" t="s">
        <v>15</v>
      </c>
      <c r="F375" t="s">
        <v>16</v>
      </c>
      <c r="G375" s="1">
        <v>35705</v>
      </c>
      <c r="H375" s="1">
        <v>38776</v>
      </c>
      <c r="I375" t="s">
        <v>12</v>
      </c>
      <c r="J375" t="s">
        <v>11145</v>
      </c>
    </row>
    <row r="376" spans="1:10" x14ac:dyDescent="0.25">
      <c r="A376">
        <v>180187</v>
      </c>
      <c r="B376" t="s">
        <v>398</v>
      </c>
      <c r="C376" t="str">
        <f>"9780415220231"</f>
        <v>9780415220231</v>
      </c>
      <c r="D376" t="str">
        <f>"9780203463116"</f>
        <v>9780203463116</v>
      </c>
      <c r="E376" t="s">
        <v>15</v>
      </c>
      <c r="F376" t="s">
        <v>16</v>
      </c>
      <c r="G376" s="1">
        <v>36654</v>
      </c>
      <c r="H376" s="1">
        <v>38169</v>
      </c>
      <c r="I376" t="s">
        <v>12</v>
      </c>
      <c r="J376" t="s">
        <v>11146</v>
      </c>
    </row>
    <row r="377" spans="1:10" x14ac:dyDescent="0.25">
      <c r="A377">
        <v>180192</v>
      </c>
      <c r="B377" t="s">
        <v>399</v>
      </c>
      <c r="C377" t="str">
        <f>"9780415182997"</f>
        <v>9780415182997</v>
      </c>
      <c r="D377" t="str">
        <f>"9780203360699"</f>
        <v>9780203360699</v>
      </c>
      <c r="E377" t="s">
        <v>15</v>
      </c>
      <c r="F377" t="s">
        <v>16</v>
      </c>
      <c r="G377" s="1">
        <v>37526</v>
      </c>
      <c r="H377" s="1">
        <v>38637</v>
      </c>
      <c r="I377" t="s">
        <v>12</v>
      </c>
      <c r="J377" t="s">
        <v>11147</v>
      </c>
    </row>
    <row r="378" spans="1:10" x14ac:dyDescent="0.25">
      <c r="A378">
        <v>180226</v>
      </c>
      <c r="B378" t="s">
        <v>400</v>
      </c>
      <c r="C378" t="str">
        <f>"9780422799102"</f>
        <v>9780422799102</v>
      </c>
      <c r="D378" t="str">
        <f>"9780203479377"</f>
        <v>9780203479377</v>
      </c>
      <c r="E378" t="s">
        <v>15</v>
      </c>
      <c r="F378" t="s">
        <v>16</v>
      </c>
      <c r="G378" s="1">
        <v>31655</v>
      </c>
      <c r="H378" s="1">
        <v>38169</v>
      </c>
      <c r="I378" t="s">
        <v>12</v>
      </c>
      <c r="J378" t="s">
        <v>11148</v>
      </c>
    </row>
    <row r="379" spans="1:10" x14ac:dyDescent="0.25">
      <c r="A379">
        <v>180231</v>
      </c>
      <c r="B379" t="s">
        <v>401</v>
      </c>
      <c r="C379" t="str">
        <f>"9780415198677"</f>
        <v>9780415198677</v>
      </c>
      <c r="D379" t="str">
        <f>"9780203360859"</f>
        <v>9780203360859</v>
      </c>
      <c r="E379" t="s">
        <v>15</v>
      </c>
      <c r="F379" t="s">
        <v>16</v>
      </c>
      <c r="G379" s="1">
        <v>37722</v>
      </c>
      <c r="H379" s="1">
        <v>38654</v>
      </c>
      <c r="I379" t="s">
        <v>12</v>
      </c>
      <c r="J379" t="s">
        <v>11149</v>
      </c>
    </row>
    <row r="380" spans="1:10" x14ac:dyDescent="0.25">
      <c r="A380">
        <v>180238</v>
      </c>
      <c r="B380" t="s">
        <v>402</v>
      </c>
      <c r="C380" t="str">
        <f>"9780415188517"</f>
        <v>9780415188517</v>
      </c>
      <c r="D380" t="str">
        <f>"9780203451816"</f>
        <v>9780203451816</v>
      </c>
      <c r="E380" t="s">
        <v>15</v>
      </c>
      <c r="F380" t="s">
        <v>16</v>
      </c>
      <c r="G380" s="1">
        <v>37512</v>
      </c>
      <c r="H380" s="1">
        <v>38169</v>
      </c>
      <c r="I380" t="s">
        <v>12</v>
      </c>
      <c r="J380" t="s">
        <v>11150</v>
      </c>
    </row>
    <row r="381" spans="1:10" x14ac:dyDescent="0.25">
      <c r="A381">
        <v>180265</v>
      </c>
      <c r="B381" t="s">
        <v>403</v>
      </c>
      <c r="C381" t="str">
        <f>"9780415193863"</f>
        <v>9780415193863</v>
      </c>
      <c r="D381" t="str">
        <f>"9780203455180"</f>
        <v>9780203455180</v>
      </c>
      <c r="E381" t="s">
        <v>15</v>
      </c>
      <c r="F381" t="s">
        <v>16</v>
      </c>
      <c r="G381" s="1">
        <v>36818</v>
      </c>
      <c r="H381" s="1">
        <v>40875</v>
      </c>
      <c r="I381" t="s">
        <v>12</v>
      </c>
      <c r="J381" t="s">
        <v>11151</v>
      </c>
    </row>
    <row r="382" spans="1:10" x14ac:dyDescent="0.25">
      <c r="A382">
        <v>180276</v>
      </c>
      <c r="B382" t="s">
        <v>404</v>
      </c>
      <c r="C382" t="str">
        <f>"9780415224086"</f>
        <v>9780415224086</v>
      </c>
      <c r="D382" t="str">
        <f>"9780203464694"</f>
        <v>9780203464694</v>
      </c>
      <c r="E382" t="s">
        <v>15</v>
      </c>
      <c r="F382" t="s">
        <v>16</v>
      </c>
      <c r="G382" s="1">
        <v>37204</v>
      </c>
      <c r="H382" s="1">
        <v>40577</v>
      </c>
      <c r="I382" t="s">
        <v>12</v>
      </c>
      <c r="J382" t="s">
        <v>11152</v>
      </c>
    </row>
    <row r="383" spans="1:10" x14ac:dyDescent="0.25">
      <c r="A383">
        <v>180291</v>
      </c>
      <c r="B383" t="s">
        <v>405</v>
      </c>
      <c r="C383" t="str">
        <f>"9780415926645"</f>
        <v>9780415926645</v>
      </c>
      <c r="D383" t="str">
        <f>"9780203903407"</f>
        <v>9780203903407</v>
      </c>
      <c r="E383" t="s">
        <v>15</v>
      </c>
      <c r="F383" t="s">
        <v>16</v>
      </c>
      <c r="G383" s="1">
        <v>36654</v>
      </c>
      <c r="H383" s="1">
        <v>38169</v>
      </c>
      <c r="I383" t="s">
        <v>12</v>
      </c>
      <c r="J383" t="s">
        <v>11153</v>
      </c>
    </row>
    <row r="384" spans="1:10" x14ac:dyDescent="0.25">
      <c r="A384">
        <v>180329</v>
      </c>
      <c r="B384" t="s">
        <v>406</v>
      </c>
      <c r="C384" t="str">
        <f>"9780415205238"</f>
        <v>9780415205238</v>
      </c>
      <c r="D384" t="str">
        <f>"9780203064344"</f>
        <v>9780203064344</v>
      </c>
      <c r="E384" t="s">
        <v>15</v>
      </c>
      <c r="F384" t="s">
        <v>16</v>
      </c>
      <c r="G384" s="1">
        <v>36405</v>
      </c>
      <c r="H384" s="1">
        <v>40037</v>
      </c>
      <c r="I384" t="s">
        <v>12</v>
      </c>
      <c r="J384" t="s">
        <v>11154</v>
      </c>
    </row>
    <row r="385" spans="1:10" x14ac:dyDescent="0.25">
      <c r="A385">
        <v>180337</v>
      </c>
      <c r="B385" t="s">
        <v>407</v>
      </c>
      <c r="C385" t="str">
        <f>"9780415207119"</f>
        <v>9780415207119</v>
      </c>
      <c r="D385" t="str">
        <f>"9780203459683"</f>
        <v>9780203459683</v>
      </c>
      <c r="E385" t="s">
        <v>15</v>
      </c>
      <c r="F385" t="s">
        <v>16</v>
      </c>
      <c r="G385" s="1">
        <v>36593</v>
      </c>
      <c r="H385" s="1">
        <v>39095</v>
      </c>
      <c r="I385" t="s">
        <v>12</v>
      </c>
      <c r="J385" t="s">
        <v>11155</v>
      </c>
    </row>
    <row r="386" spans="1:10" x14ac:dyDescent="0.25">
      <c r="A386">
        <v>180341</v>
      </c>
      <c r="B386" t="s">
        <v>408</v>
      </c>
      <c r="C386" t="str">
        <f>"9780415207683"</f>
        <v>9780415207683</v>
      </c>
      <c r="D386" t="str">
        <f>"9780203360972"</f>
        <v>9780203360972</v>
      </c>
      <c r="E386" t="s">
        <v>15</v>
      </c>
      <c r="F386" t="s">
        <v>16</v>
      </c>
      <c r="G386" s="1">
        <v>37160</v>
      </c>
      <c r="H386" s="1">
        <v>38169</v>
      </c>
      <c r="I386" t="s">
        <v>12</v>
      </c>
      <c r="J386" t="s">
        <v>11156</v>
      </c>
    </row>
    <row r="387" spans="1:10" x14ac:dyDescent="0.25">
      <c r="A387">
        <v>180350</v>
      </c>
      <c r="B387" t="s">
        <v>409</v>
      </c>
      <c r="C387" t="str">
        <f>"9780415215497"</f>
        <v>9780415215497</v>
      </c>
      <c r="D387" t="str">
        <f>"9780203461785"</f>
        <v>9780203461785</v>
      </c>
      <c r="E387" t="s">
        <v>15</v>
      </c>
      <c r="F387" t="s">
        <v>16</v>
      </c>
      <c r="G387" s="1">
        <v>36769</v>
      </c>
      <c r="H387" s="1">
        <v>38654</v>
      </c>
      <c r="I387" t="s">
        <v>12</v>
      </c>
      <c r="J387" t="s">
        <v>11157</v>
      </c>
    </row>
    <row r="388" spans="1:10" x14ac:dyDescent="0.25">
      <c r="A388">
        <v>180354</v>
      </c>
      <c r="B388" t="s">
        <v>410</v>
      </c>
      <c r="C388" t="str">
        <f>"9780415213196"</f>
        <v>9780415213196</v>
      </c>
      <c r="D388" t="str">
        <f>"9780203165300"</f>
        <v>9780203165300</v>
      </c>
      <c r="E388" t="s">
        <v>15</v>
      </c>
      <c r="F388" t="s">
        <v>16</v>
      </c>
      <c r="G388" s="1">
        <v>37815</v>
      </c>
      <c r="H388" s="1">
        <v>38648</v>
      </c>
      <c r="I388" t="s">
        <v>12</v>
      </c>
      <c r="J388" t="s">
        <v>11158</v>
      </c>
    </row>
    <row r="389" spans="1:10" x14ac:dyDescent="0.25">
      <c r="A389">
        <v>180356</v>
      </c>
      <c r="B389" t="s">
        <v>411</v>
      </c>
      <c r="C389" t="str">
        <f>"9780415213691"</f>
        <v>9780415213691</v>
      </c>
      <c r="D389" t="str">
        <f>"9780203461433"</f>
        <v>9780203461433</v>
      </c>
      <c r="E389" t="s">
        <v>15</v>
      </c>
      <c r="F389" t="s">
        <v>16</v>
      </c>
      <c r="G389" s="1">
        <v>36742</v>
      </c>
      <c r="H389" s="1">
        <v>38169</v>
      </c>
      <c r="I389" t="s">
        <v>12</v>
      </c>
      <c r="J389" t="s">
        <v>11159</v>
      </c>
    </row>
    <row r="390" spans="1:10" x14ac:dyDescent="0.25">
      <c r="A390">
        <v>180363</v>
      </c>
      <c r="B390" t="s">
        <v>412</v>
      </c>
      <c r="C390" t="str">
        <f>"9780415216852"</f>
        <v>9780415216852</v>
      </c>
      <c r="D390" t="str">
        <f>"9780203165089"</f>
        <v>9780203165089</v>
      </c>
      <c r="E390" t="s">
        <v>15</v>
      </c>
      <c r="F390" t="s">
        <v>16</v>
      </c>
      <c r="G390" s="1">
        <v>37386</v>
      </c>
      <c r="H390" s="1">
        <v>38411</v>
      </c>
      <c r="I390" t="s">
        <v>12</v>
      </c>
      <c r="J390" t="s">
        <v>11160</v>
      </c>
    </row>
    <row r="391" spans="1:10" x14ac:dyDescent="0.25">
      <c r="A391">
        <v>180365</v>
      </c>
      <c r="B391" t="s">
        <v>413</v>
      </c>
      <c r="C391" t="str">
        <f>"9780415217033"</f>
        <v>9780415217033</v>
      </c>
      <c r="D391" t="str">
        <f>"9780203361047"</f>
        <v>9780203361047</v>
      </c>
      <c r="E391" t="s">
        <v>15</v>
      </c>
      <c r="F391" t="s">
        <v>16</v>
      </c>
      <c r="G391" s="1">
        <v>36833</v>
      </c>
      <c r="H391" s="1">
        <v>38486</v>
      </c>
      <c r="I391" t="s">
        <v>12</v>
      </c>
      <c r="J391" t="s">
        <v>11161</v>
      </c>
    </row>
    <row r="392" spans="1:10" x14ac:dyDescent="0.25">
      <c r="A392">
        <v>180367</v>
      </c>
      <c r="B392" t="s">
        <v>414</v>
      </c>
      <c r="C392" t="str">
        <f>"9780415181693"</f>
        <v>9780415181693</v>
      </c>
      <c r="D392" t="str">
        <f>"9780203464397"</f>
        <v>9780203464397</v>
      </c>
      <c r="E392" t="s">
        <v>15</v>
      </c>
      <c r="F392" t="s">
        <v>16</v>
      </c>
      <c r="G392" s="1">
        <v>36860</v>
      </c>
      <c r="H392" s="1">
        <v>39913</v>
      </c>
      <c r="I392" t="s">
        <v>12</v>
      </c>
      <c r="J392" t="s">
        <v>11162</v>
      </c>
    </row>
    <row r="393" spans="1:10" x14ac:dyDescent="0.25">
      <c r="A393">
        <v>180409</v>
      </c>
      <c r="B393" t="s">
        <v>415</v>
      </c>
      <c r="C393" t="str">
        <f>"9780415170024"</f>
        <v>9780415170024</v>
      </c>
      <c r="D393" t="str">
        <f>"9781134587278"</f>
        <v>9781134587278</v>
      </c>
      <c r="E393" t="s">
        <v>15</v>
      </c>
      <c r="F393" t="s">
        <v>16</v>
      </c>
      <c r="G393" s="1">
        <v>35951</v>
      </c>
      <c r="H393" s="1">
        <v>38646</v>
      </c>
      <c r="I393" t="s">
        <v>12</v>
      </c>
      <c r="J393" t="s">
        <v>11163</v>
      </c>
    </row>
    <row r="394" spans="1:10" x14ac:dyDescent="0.25">
      <c r="A394">
        <v>180417</v>
      </c>
      <c r="B394" t="s">
        <v>416</v>
      </c>
      <c r="C394" t="str">
        <f>"9780415229340"</f>
        <v>9780415229340</v>
      </c>
      <c r="D394" t="str">
        <f>"9780203108512"</f>
        <v>9780203108512</v>
      </c>
      <c r="E394" t="s">
        <v>15</v>
      </c>
      <c r="F394" t="s">
        <v>16</v>
      </c>
      <c r="G394" s="1">
        <v>37596</v>
      </c>
      <c r="H394" s="1">
        <v>38472</v>
      </c>
      <c r="I394" t="s">
        <v>12</v>
      </c>
      <c r="J394" t="s">
        <v>11164</v>
      </c>
    </row>
    <row r="395" spans="1:10" x14ac:dyDescent="0.25">
      <c r="A395">
        <v>180427</v>
      </c>
      <c r="B395" t="s">
        <v>417</v>
      </c>
      <c r="C395" t="str">
        <f>"9780415231725"</f>
        <v>9780415231725</v>
      </c>
      <c r="D395" t="str">
        <f>"9780203467282"</f>
        <v>9780203467282</v>
      </c>
      <c r="E395" t="s">
        <v>15</v>
      </c>
      <c r="F395" t="s">
        <v>16</v>
      </c>
      <c r="G395" s="1">
        <v>37442</v>
      </c>
      <c r="H395" s="1">
        <v>38169</v>
      </c>
      <c r="I395" t="s">
        <v>12</v>
      </c>
      <c r="J395" t="s">
        <v>11165</v>
      </c>
    </row>
    <row r="396" spans="1:10" x14ac:dyDescent="0.25">
      <c r="A396">
        <v>180441</v>
      </c>
      <c r="B396" t="s">
        <v>418</v>
      </c>
      <c r="C396" t="str">
        <f>"9780415234115"</f>
        <v>9780415234115</v>
      </c>
      <c r="D396" t="str">
        <f>"9781482289060"</f>
        <v>9781482289060</v>
      </c>
      <c r="E396" t="s">
        <v>15</v>
      </c>
      <c r="F396" t="s">
        <v>139</v>
      </c>
      <c r="G396" s="1">
        <v>37267</v>
      </c>
      <c r="H396" s="1">
        <v>39093</v>
      </c>
      <c r="I396" t="s">
        <v>12</v>
      </c>
      <c r="J396" t="s">
        <v>11166</v>
      </c>
    </row>
    <row r="397" spans="1:10" x14ac:dyDescent="0.25">
      <c r="A397">
        <v>180444</v>
      </c>
      <c r="B397" t="s">
        <v>419</v>
      </c>
      <c r="C397" t="str">
        <f>"9780415234481"</f>
        <v>9780415234481</v>
      </c>
      <c r="D397" t="str">
        <f>"9780203468401"</f>
        <v>9780203468401</v>
      </c>
      <c r="E397" t="s">
        <v>16</v>
      </c>
      <c r="F397" t="s">
        <v>16</v>
      </c>
      <c r="G397" s="1">
        <v>38015</v>
      </c>
      <c r="H397" s="1">
        <v>38411</v>
      </c>
      <c r="I397" t="s">
        <v>12</v>
      </c>
      <c r="J397" t="s">
        <v>11167</v>
      </c>
    </row>
    <row r="398" spans="1:10" x14ac:dyDescent="0.25">
      <c r="A398">
        <v>180446</v>
      </c>
      <c r="B398" t="s">
        <v>420</v>
      </c>
      <c r="C398" t="str">
        <f>"9780415234641"</f>
        <v>9780415234641</v>
      </c>
      <c r="D398" t="str">
        <f>"9780203468470"</f>
        <v>9780203468470</v>
      </c>
      <c r="E398" t="s">
        <v>16</v>
      </c>
      <c r="F398" t="s">
        <v>16</v>
      </c>
      <c r="G398" s="1">
        <v>37035</v>
      </c>
      <c r="H398" s="1">
        <v>38654</v>
      </c>
      <c r="I398" t="s">
        <v>12</v>
      </c>
      <c r="J398" t="s">
        <v>11168</v>
      </c>
    </row>
    <row r="399" spans="1:10" x14ac:dyDescent="0.25">
      <c r="A399">
        <v>180460</v>
      </c>
      <c r="B399" t="s">
        <v>421</v>
      </c>
      <c r="C399" t="str">
        <f>"9780415237208"</f>
        <v>9780415237208</v>
      </c>
      <c r="D399" t="str">
        <f>"9780203469323"</f>
        <v>9780203469323</v>
      </c>
      <c r="E399" t="s">
        <v>15</v>
      </c>
      <c r="F399" t="s">
        <v>16</v>
      </c>
      <c r="G399" s="1">
        <v>36832</v>
      </c>
      <c r="H399" s="1">
        <v>38645</v>
      </c>
      <c r="I399" t="s">
        <v>12</v>
      </c>
      <c r="J399" t="s">
        <v>11169</v>
      </c>
    </row>
    <row r="400" spans="1:10" x14ac:dyDescent="0.25">
      <c r="A400">
        <v>180494</v>
      </c>
      <c r="B400" t="s">
        <v>422</v>
      </c>
      <c r="C400" t="str">
        <f>"9780415241700"</f>
        <v>9780415241700</v>
      </c>
      <c r="D400" t="str">
        <f>"9780203302217"</f>
        <v>9780203302217</v>
      </c>
      <c r="E400" t="s">
        <v>15</v>
      </c>
      <c r="F400" t="s">
        <v>139</v>
      </c>
      <c r="G400" s="1">
        <v>37301</v>
      </c>
      <c r="H400" s="1">
        <v>38642</v>
      </c>
      <c r="I400" t="s">
        <v>12</v>
      </c>
      <c r="J400" t="s">
        <v>11170</v>
      </c>
    </row>
    <row r="401" spans="1:10" x14ac:dyDescent="0.25">
      <c r="A401">
        <v>180495</v>
      </c>
      <c r="B401" t="s">
        <v>423</v>
      </c>
      <c r="C401" t="str">
        <f>"9780415241717"</f>
        <v>9780415241717</v>
      </c>
      <c r="D401" t="str">
        <f>"9780203470732"</f>
        <v>9780203470732</v>
      </c>
      <c r="E401" t="s">
        <v>15</v>
      </c>
      <c r="F401" t="s">
        <v>16</v>
      </c>
      <c r="G401" s="1">
        <v>36920</v>
      </c>
      <c r="H401" s="1">
        <v>38169</v>
      </c>
      <c r="I401" t="s">
        <v>12</v>
      </c>
      <c r="J401" t="s">
        <v>11171</v>
      </c>
    </row>
    <row r="402" spans="1:10" x14ac:dyDescent="0.25">
      <c r="A402">
        <v>180496</v>
      </c>
      <c r="B402" t="s">
        <v>424</v>
      </c>
      <c r="C402" t="str">
        <f>"9780415241816"</f>
        <v>9780415241816</v>
      </c>
      <c r="D402" t="str">
        <f>"9780203164396"</f>
        <v>9780203164396</v>
      </c>
      <c r="E402" t="s">
        <v>15</v>
      </c>
      <c r="F402" t="s">
        <v>16</v>
      </c>
      <c r="G402" s="1">
        <v>37040</v>
      </c>
      <c r="H402" s="1">
        <v>38771</v>
      </c>
      <c r="I402" t="s">
        <v>12</v>
      </c>
      <c r="J402" t="s">
        <v>11172</v>
      </c>
    </row>
    <row r="403" spans="1:10" x14ac:dyDescent="0.25">
      <c r="A403">
        <v>180505</v>
      </c>
      <c r="B403" t="s">
        <v>425</v>
      </c>
      <c r="C403" t="str">
        <f>"9780415243285"</f>
        <v>9780415243285</v>
      </c>
      <c r="D403" t="str">
        <f>"9781482267679"</f>
        <v>9781482267679</v>
      </c>
      <c r="E403" t="s">
        <v>15</v>
      </c>
      <c r="F403" t="s">
        <v>139</v>
      </c>
      <c r="G403" s="1">
        <v>37771</v>
      </c>
      <c r="H403" s="1">
        <v>38643</v>
      </c>
      <c r="I403" t="s">
        <v>12</v>
      </c>
      <c r="J403" t="s">
        <v>11173</v>
      </c>
    </row>
    <row r="404" spans="1:10" x14ac:dyDescent="0.25">
      <c r="A404">
        <v>180517</v>
      </c>
      <c r="B404" t="s">
        <v>137</v>
      </c>
      <c r="C404" t="str">
        <f>"9780415245685"</f>
        <v>9780415245685</v>
      </c>
      <c r="D404" t="str">
        <f>"9780203380437"</f>
        <v>9780203380437</v>
      </c>
      <c r="E404" t="s">
        <v>15</v>
      </c>
      <c r="F404" t="s">
        <v>16</v>
      </c>
      <c r="G404" s="1">
        <v>37796</v>
      </c>
      <c r="H404" s="1">
        <v>38796</v>
      </c>
      <c r="I404" t="s">
        <v>12</v>
      </c>
      <c r="J404" t="s">
        <v>11174</v>
      </c>
    </row>
    <row r="405" spans="1:10" x14ac:dyDescent="0.25">
      <c r="A405">
        <v>180524</v>
      </c>
      <c r="B405" t="s">
        <v>426</v>
      </c>
      <c r="C405" t="str">
        <f>"9780415247993"</f>
        <v>9780415247993</v>
      </c>
      <c r="D405" t="str">
        <f>"9780203164242"</f>
        <v>9780203164242</v>
      </c>
      <c r="E405" t="s">
        <v>15</v>
      </c>
      <c r="F405" t="s">
        <v>16</v>
      </c>
      <c r="G405" s="1">
        <v>37610</v>
      </c>
      <c r="H405" s="1">
        <v>38778</v>
      </c>
      <c r="I405" t="s">
        <v>12</v>
      </c>
      <c r="J405" t="s">
        <v>11175</v>
      </c>
    </row>
    <row r="406" spans="1:10" x14ac:dyDescent="0.25">
      <c r="A406">
        <v>180561</v>
      </c>
      <c r="B406" t="s">
        <v>427</v>
      </c>
      <c r="C406" t="str">
        <f>"9780415250597"</f>
        <v>9780415250597</v>
      </c>
      <c r="D406" t="str">
        <f>"9780203164808"</f>
        <v>9780203164808</v>
      </c>
      <c r="E406" t="s">
        <v>15</v>
      </c>
      <c r="F406" t="s">
        <v>16</v>
      </c>
      <c r="G406" s="1">
        <v>37015</v>
      </c>
      <c r="H406" s="1">
        <v>38643</v>
      </c>
      <c r="I406" t="s">
        <v>12</v>
      </c>
      <c r="J406" t="s">
        <v>11176</v>
      </c>
    </row>
    <row r="407" spans="1:10" x14ac:dyDescent="0.25">
      <c r="A407">
        <v>180570</v>
      </c>
      <c r="B407" t="s">
        <v>428</v>
      </c>
      <c r="C407" t="str">
        <f>"9780415251372"</f>
        <v>9780415251372</v>
      </c>
      <c r="D407" t="str">
        <f>"9780203164839"</f>
        <v>9780203164839</v>
      </c>
      <c r="E407" t="s">
        <v>15</v>
      </c>
      <c r="F407" t="s">
        <v>16</v>
      </c>
      <c r="G407" s="1">
        <v>37099</v>
      </c>
      <c r="H407" s="1">
        <v>38771</v>
      </c>
      <c r="I407" t="s">
        <v>12</v>
      </c>
      <c r="J407" t="s">
        <v>11177</v>
      </c>
    </row>
    <row r="408" spans="1:10" x14ac:dyDescent="0.25">
      <c r="A408">
        <v>180583</v>
      </c>
      <c r="B408" t="s">
        <v>429</v>
      </c>
      <c r="C408" t="str">
        <f>"9780415253482"</f>
        <v>9780415253482</v>
      </c>
      <c r="D408" t="str">
        <f>"9780203164624"</f>
        <v>9780203164624</v>
      </c>
      <c r="E408" t="s">
        <v>15</v>
      </c>
      <c r="F408" t="s">
        <v>16</v>
      </c>
      <c r="G408" s="1">
        <v>37386</v>
      </c>
      <c r="H408" s="1">
        <v>38169</v>
      </c>
      <c r="I408" t="s">
        <v>12</v>
      </c>
      <c r="J408" t="s">
        <v>11178</v>
      </c>
    </row>
    <row r="409" spans="1:10" x14ac:dyDescent="0.25">
      <c r="A409">
        <v>180586</v>
      </c>
      <c r="B409" t="s">
        <v>430</v>
      </c>
      <c r="C409" t="str">
        <f>"9780415253598"</f>
        <v>9780415253598</v>
      </c>
      <c r="D409" t="str">
        <f>"9780203164662"</f>
        <v>9780203164662</v>
      </c>
      <c r="E409" t="s">
        <v>144</v>
      </c>
      <c r="F409" t="s">
        <v>144</v>
      </c>
      <c r="G409" s="1">
        <v>37532</v>
      </c>
      <c r="H409" s="1">
        <v>38169</v>
      </c>
      <c r="I409" t="s">
        <v>12</v>
      </c>
      <c r="J409" t="s">
        <v>11179</v>
      </c>
    </row>
    <row r="410" spans="1:10" x14ac:dyDescent="0.25">
      <c r="A410">
        <v>180589</v>
      </c>
      <c r="B410" t="s">
        <v>431</v>
      </c>
      <c r="C410" t="str">
        <f>"9780415254182"</f>
        <v>9780415254182</v>
      </c>
      <c r="D410" t="str">
        <f>"9780203166994"</f>
        <v>9780203166994</v>
      </c>
      <c r="E410" t="s">
        <v>15</v>
      </c>
      <c r="F410" t="s">
        <v>16</v>
      </c>
      <c r="G410" s="1">
        <v>37407</v>
      </c>
      <c r="H410" s="1">
        <v>38654</v>
      </c>
      <c r="I410" t="s">
        <v>12</v>
      </c>
      <c r="J410" t="s">
        <v>11180</v>
      </c>
    </row>
    <row r="411" spans="1:10" x14ac:dyDescent="0.25">
      <c r="A411">
        <v>180600</v>
      </c>
      <c r="B411" t="s">
        <v>432</v>
      </c>
      <c r="C411" t="str">
        <f>"9780415255516"</f>
        <v>9780415255516</v>
      </c>
      <c r="D411" t="str">
        <f>"9780203380451"</f>
        <v>9780203380451</v>
      </c>
      <c r="E411" t="s">
        <v>15</v>
      </c>
      <c r="F411" t="s">
        <v>16</v>
      </c>
      <c r="G411" s="1">
        <v>37071</v>
      </c>
      <c r="H411" s="1">
        <v>38169</v>
      </c>
      <c r="I411" t="s">
        <v>12</v>
      </c>
      <c r="J411" t="s">
        <v>11181</v>
      </c>
    </row>
    <row r="412" spans="1:10" x14ac:dyDescent="0.25">
      <c r="A412">
        <v>180604</v>
      </c>
      <c r="B412" t="s">
        <v>433</v>
      </c>
      <c r="C412" t="str">
        <f>"9780415255936"</f>
        <v>9780415255936</v>
      </c>
      <c r="D412" t="str">
        <f>"9780203166956"</f>
        <v>9780203166956</v>
      </c>
      <c r="E412" t="s">
        <v>15</v>
      </c>
      <c r="F412" t="s">
        <v>16</v>
      </c>
      <c r="G412" s="1">
        <v>37435</v>
      </c>
      <c r="H412" s="1">
        <v>41334</v>
      </c>
      <c r="I412" t="s">
        <v>12</v>
      </c>
      <c r="J412" t="s">
        <v>11182</v>
      </c>
    </row>
    <row r="413" spans="1:10" x14ac:dyDescent="0.25">
      <c r="A413">
        <v>180607</v>
      </c>
      <c r="B413" t="s">
        <v>434</v>
      </c>
      <c r="C413" t="str">
        <f>"9780415256469"</f>
        <v>9780415256469</v>
      </c>
      <c r="D413" t="str">
        <f>"9780203427798"</f>
        <v>9780203427798</v>
      </c>
      <c r="E413" t="s">
        <v>15</v>
      </c>
      <c r="F413" t="s">
        <v>16</v>
      </c>
      <c r="G413" s="1">
        <v>37176</v>
      </c>
      <c r="H413" s="1">
        <v>38472</v>
      </c>
      <c r="I413" t="s">
        <v>12</v>
      </c>
      <c r="J413" t="s">
        <v>11183</v>
      </c>
    </row>
    <row r="414" spans="1:10" x14ac:dyDescent="0.25">
      <c r="A414">
        <v>180646</v>
      </c>
      <c r="B414" t="s">
        <v>435</v>
      </c>
      <c r="C414" t="str">
        <f>"9780415192521"</f>
        <v>9780415192521</v>
      </c>
      <c r="D414" t="str">
        <f>"9780203454763"</f>
        <v>9780203454763</v>
      </c>
      <c r="E414" t="s">
        <v>15</v>
      </c>
      <c r="F414" t="s">
        <v>16</v>
      </c>
      <c r="G414" s="1">
        <v>37637</v>
      </c>
      <c r="H414" s="1">
        <v>38641</v>
      </c>
      <c r="I414" t="s">
        <v>12</v>
      </c>
      <c r="J414" t="s">
        <v>11184</v>
      </c>
    </row>
    <row r="415" spans="1:10" x14ac:dyDescent="0.25">
      <c r="A415">
        <v>180650</v>
      </c>
      <c r="B415" t="s">
        <v>436</v>
      </c>
      <c r="C415" t="str">
        <f>"9780415260862"</f>
        <v>9780415260862</v>
      </c>
      <c r="D415" t="str">
        <f>"9780203166116"</f>
        <v>9780203166116</v>
      </c>
      <c r="E415" t="s">
        <v>15</v>
      </c>
      <c r="F415" t="s">
        <v>16</v>
      </c>
      <c r="G415" s="1">
        <v>37568</v>
      </c>
      <c r="H415" s="1">
        <v>38336</v>
      </c>
      <c r="I415" t="s">
        <v>12</v>
      </c>
      <c r="J415" t="s">
        <v>11185</v>
      </c>
    </row>
    <row r="416" spans="1:10" x14ac:dyDescent="0.25">
      <c r="A416">
        <v>180680</v>
      </c>
      <c r="B416" t="s">
        <v>437</v>
      </c>
      <c r="C416" t="str">
        <f>"9780415265867"</f>
        <v>9780415265867</v>
      </c>
      <c r="D416" t="str">
        <f>"9780203361627"</f>
        <v>9780203361627</v>
      </c>
      <c r="E416" t="s">
        <v>15</v>
      </c>
      <c r="F416" t="s">
        <v>16</v>
      </c>
      <c r="G416" s="1">
        <v>37610</v>
      </c>
      <c r="H416" s="1">
        <v>38169</v>
      </c>
      <c r="I416" t="s">
        <v>12</v>
      </c>
      <c r="J416" t="s">
        <v>11186</v>
      </c>
    </row>
    <row r="417" spans="1:10" x14ac:dyDescent="0.25">
      <c r="A417">
        <v>180713</v>
      </c>
      <c r="B417" t="s">
        <v>438</v>
      </c>
      <c r="C417" t="str">
        <f>"9780415271332"</f>
        <v>9780415271332</v>
      </c>
      <c r="D417" t="str">
        <f>"9780203166611"</f>
        <v>9780203166611</v>
      </c>
      <c r="E417" t="s">
        <v>15</v>
      </c>
      <c r="F417" t="s">
        <v>16</v>
      </c>
      <c r="G417" s="1">
        <v>37519</v>
      </c>
      <c r="H417" s="1">
        <v>38666</v>
      </c>
      <c r="I417" t="s">
        <v>12</v>
      </c>
      <c r="J417" t="s">
        <v>11187</v>
      </c>
    </row>
    <row r="418" spans="1:10" x14ac:dyDescent="0.25">
      <c r="A418">
        <v>180736</v>
      </c>
      <c r="B418" t="s">
        <v>439</v>
      </c>
      <c r="C418" t="str">
        <f>"9780415272308"</f>
        <v>9780415272308</v>
      </c>
      <c r="D418" t="str">
        <f>"9780203361634"</f>
        <v>9780203361634</v>
      </c>
      <c r="E418" t="s">
        <v>15</v>
      </c>
      <c r="F418" t="s">
        <v>16</v>
      </c>
      <c r="G418" s="1">
        <v>37582</v>
      </c>
      <c r="H418" s="1">
        <v>38635</v>
      </c>
      <c r="I418" t="s">
        <v>12</v>
      </c>
      <c r="J418" t="s">
        <v>11188</v>
      </c>
    </row>
    <row r="419" spans="1:10" x14ac:dyDescent="0.25">
      <c r="A419">
        <v>180748</v>
      </c>
      <c r="B419" t="s">
        <v>440</v>
      </c>
      <c r="C419" t="str">
        <f>"9780415273763"</f>
        <v>9780415273763</v>
      </c>
      <c r="D419" t="str">
        <f>"9780203301302"</f>
        <v>9780203301302</v>
      </c>
      <c r="E419" t="s">
        <v>144</v>
      </c>
      <c r="F419" t="s">
        <v>144</v>
      </c>
      <c r="G419" s="1">
        <v>37371</v>
      </c>
      <c r="H419" s="1">
        <v>38588</v>
      </c>
      <c r="I419" t="s">
        <v>12</v>
      </c>
      <c r="J419" t="s">
        <v>11189</v>
      </c>
    </row>
    <row r="420" spans="1:10" x14ac:dyDescent="0.25">
      <c r="A420">
        <v>180768</v>
      </c>
      <c r="B420" t="s">
        <v>441</v>
      </c>
      <c r="C420" t="str">
        <f>"9780415284639"</f>
        <v>9780415284639</v>
      </c>
      <c r="D420" t="str">
        <f>"9780203303184"</f>
        <v>9780203303184</v>
      </c>
      <c r="E420" t="s">
        <v>15</v>
      </c>
      <c r="F420" t="s">
        <v>139</v>
      </c>
      <c r="G420" s="1">
        <v>37399</v>
      </c>
      <c r="H420" s="1">
        <v>38642</v>
      </c>
      <c r="I420" t="s">
        <v>12</v>
      </c>
      <c r="J420" t="s">
        <v>11190</v>
      </c>
    </row>
    <row r="421" spans="1:10" x14ac:dyDescent="0.25">
      <c r="A421">
        <v>180775</v>
      </c>
      <c r="B421" t="s">
        <v>442</v>
      </c>
      <c r="C421" t="str">
        <f>"9780415276382"</f>
        <v>9780415276382</v>
      </c>
      <c r="D421" t="str">
        <f>"9780203219553"</f>
        <v>9780203219553</v>
      </c>
      <c r="E421" t="s">
        <v>15</v>
      </c>
      <c r="F421" t="s">
        <v>16</v>
      </c>
      <c r="G421" s="1">
        <v>37866</v>
      </c>
      <c r="H421" s="1">
        <v>38643</v>
      </c>
      <c r="I421" t="s">
        <v>12</v>
      </c>
      <c r="J421" t="s">
        <v>11191</v>
      </c>
    </row>
    <row r="422" spans="1:10" x14ac:dyDescent="0.25">
      <c r="A422">
        <v>180776</v>
      </c>
      <c r="B422" t="s">
        <v>443</v>
      </c>
      <c r="C422" t="str">
        <f>"9780415276856"</f>
        <v>9780415276856</v>
      </c>
      <c r="D422" t="str">
        <f>"9780203219850"</f>
        <v>9780203219850</v>
      </c>
      <c r="E422" t="s">
        <v>15</v>
      </c>
      <c r="F422" t="s">
        <v>16</v>
      </c>
      <c r="G422" s="1">
        <v>37470</v>
      </c>
      <c r="H422" s="1">
        <v>38834</v>
      </c>
      <c r="I422" t="s">
        <v>12</v>
      </c>
      <c r="J422" t="s">
        <v>11192</v>
      </c>
    </row>
    <row r="423" spans="1:10" x14ac:dyDescent="0.25">
      <c r="A423">
        <v>180825</v>
      </c>
      <c r="B423" t="s">
        <v>444</v>
      </c>
      <c r="C423" t="str">
        <f>"9780415282819"</f>
        <v>9780415282819</v>
      </c>
      <c r="D423" t="str">
        <f>"9780203217177"</f>
        <v>9780203217177</v>
      </c>
      <c r="E423" t="s">
        <v>15</v>
      </c>
      <c r="F423" t="s">
        <v>16</v>
      </c>
      <c r="G423" s="1">
        <v>37547</v>
      </c>
      <c r="H423" s="1">
        <v>38315</v>
      </c>
      <c r="I423" t="s">
        <v>12</v>
      </c>
      <c r="J423" t="s">
        <v>11193</v>
      </c>
    </row>
    <row r="424" spans="1:10" x14ac:dyDescent="0.25">
      <c r="A424">
        <v>180837</v>
      </c>
      <c r="B424" t="s">
        <v>445</v>
      </c>
      <c r="C424" t="str">
        <f>"9780415285834"</f>
        <v>9780415285834</v>
      </c>
      <c r="D424" t="str">
        <f>"9780203361771"</f>
        <v>9780203361771</v>
      </c>
      <c r="E424" t="s">
        <v>15</v>
      </c>
      <c r="F424" t="s">
        <v>16</v>
      </c>
      <c r="G424" s="1">
        <v>37469</v>
      </c>
      <c r="H424" s="1">
        <v>38486</v>
      </c>
      <c r="I424" t="s">
        <v>12</v>
      </c>
      <c r="J424" t="s">
        <v>11194</v>
      </c>
    </row>
    <row r="425" spans="1:10" x14ac:dyDescent="0.25">
      <c r="A425">
        <v>180841</v>
      </c>
      <c r="B425" t="s">
        <v>446</v>
      </c>
      <c r="C425" t="str">
        <f>"9780415286145"</f>
        <v>9780415286145</v>
      </c>
      <c r="D425" t="str">
        <f>"9780203217979"</f>
        <v>9780203217979</v>
      </c>
      <c r="E425" t="s">
        <v>15</v>
      </c>
      <c r="F425" t="s">
        <v>16</v>
      </c>
      <c r="G425" s="1">
        <v>37596</v>
      </c>
      <c r="H425" s="1">
        <v>38411</v>
      </c>
      <c r="I425" t="s">
        <v>12</v>
      </c>
      <c r="J425" t="s">
        <v>11195</v>
      </c>
    </row>
    <row r="426" spans="1:10" x14ac:dyDescent="0.25">
      <c r="A426">
        <v>180845</v>
      </c>
      <c r="B426" t="s">
        <v>447</v>
      </c>
      <c r="C426" t="str">
        <f>"9780415288163"</f>
        <v>9780415288163</v>
      </c>
      <c r="D426" t="str">
        <f>"9780203361825"</f>
        <v>9780203361825</v>
      </c>
      <c r="E426" t="s">
        <v>15</v>
      </c>
      <c r="F426" t="s">
        <v>16</v>
      </c>
      <c r="G426" s="1">
        <v>37620</v>
      </c>
      <c r="H426" s="1">
        <v>38654</v>
      </c>
      <c r="I426" t="s">
        <v>12</v>
      </c>
      <c r="J426" t="s">
        <v>11196</v>
      </c>
    </row>
    <row r="427" spans="1:10" x14ac:dyDescent="0.25">
      <c r="A427">
        <v>180870</v>
      </c>
      <c r="B427" t="s">
        <v>448</v>
      </c>
      <c r="C427" t="str">
        <f>"9780415299794"</f>
        <v>9780415299794</v>
      </c>
      <c r="D427" t="str">
        <f>"9780203391426"</f>
        <v>9780203391426</v>
      </c>
      <c r="E427" t="s">
        <v>15</v>
      </c>
      <c r="F427" t="s">
        <v>16</v>
      </c>
      <c r="G427" s="1">
        <v>37764</v>
      </c>
      <c r="H427" s="1">
        <v>38169</v>
      </c>
      <c r="I427" t="s">
        <v>12</v>
      </c>
      <c r="J427" t="s">
        <v>11197</v>
      </c>
    </row>
    <row r="428" spans="1:10" x14ac:dyDescent="0.25">
      <c r="A428">
        <v>180875</v>
      </c>
      <c r="B428" t="s">
        <v>449</v>
      </c>
      <c r="C428" t="str">
        <f>"9780415306485"</f>
        <v>9780415306485</v>
      </c>
      <c r="D428" t="str">
        <f>"9780203477168"</f>
        <v>9780203477168</v>
      </c>
      <c r="E428" t="s">
        <v>15</v>
      </c>
      <c r="F428" t="s">
        <v>16</v>
      </c>
      <c r="G428" s="1">
        <v>37799</v>
      </c>
      <c r="H428" s="1">
        <v>38663</v>
      </c>
      <c r="I428" t="s">
        <v>12</v>
      </c>
      <c r="J428" t="s">
        <v>11198</v>
      </c>
    </row>
    <row r="429" spans="1:10" x14ac:dyDescent="0.25">
      <c r="A429">
        <v>180901</v>
      </c>
      <c r="B429" t="s">
        <v>450</v>
      </c>
      <c r="C429" t="str">
        <f>"9780415304092"</f>
        <v>9780415304092</v>
      </c>
      <c r="D429" t="str">
        <f>"9780203506271"</f>
        <v>9780203506271</v>
      </c>
      <c r="E429" t="s">
        <v>15</v>
      </c>
      <c r="F429" t="s">
        <v>16</v>
      </c>
      <c r="G429" s="1">
        <v>37799</v>
      </c>
      <c r="H429" s="1">
        <v>38169</v>
      </c>
      <c r="I429" t="s">
        <v>12</v>
      </c>
      <c r="J429" t="s">
        <v>11199</v>
      </c>
    </row>
    <row r="430" spans="1:10" x14ac:dyDescent="0.25">
      <c r="A430">
        <v>180906</v>
      </c>
      <c r="B430" t="s">
        <v>451</v>
      </c>
      <c r="C430" t="str">
        <f>"9780415304191"</f>
        <v>9780415304191</v>
      </c>
      <c r="D430" t="str">
        <f>"9780203403563"</f>
        <v>9780203403563</v>
      </c>
      <c r="E430" t="s">
        <v>15</v>
      </c>
      <c r="F430" t="s">
        <v>16</v>
      </c>
      <c r="G430" s="1">
        <v>38170</v>
      </c>
      <c r="H430" s="1">
        <v>38418</v>
      </c>
      <c r="I430" t="s">
        <v>12</v>
      </c>
      <c r="J430" t="s">
        <v>11200</v>
      </c>
    </row>
    <row r="431" spans="1:10" x14ac:dyDescent="0.25">
      <c r="A431">
        <v>180913</v>
      </c>
      <c r="B431" t="s">
        <v>452</v>
      </c>
      <c r="C431" t="str">
        <f>"9780415305167"</f>
        <v>9780415305167</v>
      </c>
      <c r="D431" t="str">
        <f>"9780203498644"</f>
        <v>9780203498644</v>
      </c>
      <c r="E431" t="s">
        <v>15</v>
      </c>
      <c r="F431" t="s">
        <v>16</v>
      </c>
      <c r="G431" s="1">
        <v>37805</v>
      </c>
      <c r="H431" s="1">
        <v>38588</v>
      </c>
      <c r="I431" t="s">
        <v>12</v>
      </c>
      <c r="J431" t="s">
        <v>11201</v>
      </c>
    </row>
    <row r="432" spans="1:10" x14ac:dyDescent="0.25">
      <c r="A432">
        <v>180926</v>
      </c>
      <c r="B432" t="s">
        <v>453</v>
      </c>
      <c r="C432" t="str">
        <f>"9780415228220"</f>
        <v>9780415228220</v>
      </c>
      <c r="D432" t="str">
        <f>"9780203418796"</f>
        <v>9780203418796</v>
      </c>
      <c r="E432" t="s">
        <v>15</v>
      </c>
      <c r="F432" t="s">
        <v>16</v>
      </c>
      <c r="G432" s="1">
        <v>36994</v>
      </c>
      <c r="H432" s="1">
        <v>38663</v>
      </c>
      <c r="I432" t="s">
        <v>12</v>
      </c>
      <c r="J432" t="s">
        <v>11202</v>
      </c>
    </row>
    <row r="433" spans="1:10" x14ac:dyDescent="0.25">
      <c r="A433">
        <v>180929</v>
      </c>
      <c r="B433" t="s">
        <v>454</v>
      </c>
      <c r="C433" t="str">
        <f>"9780415306355"</f>
        <v>9780415306355</v>
      </c>
      <c r="D433" t="str">
        <f>"9780203461129"</f>
        <v>9780203461129</v>
      </c>
      <c r="E433" t="s">
        <v>15</v>
      </c>
      <c r="F433" t="s">
        <v>16</v>
      </c>
      <c r="G433" s="1">
        <v>37757</v>
      </c>
      <c r="H433" s="1">
        <v>38680</v>
      </c>
      <c r="I433" t="s">
        <v>12</v>
      </c>
      <c r="J433" t="s">
        <v>11203</v>
      </c>
    </row>
    <row r="434" spans="1:10" x14ac:dyDescent="0.25">
      <c r="A434">
        <v>180946</v>
      </c>
      <c r="B434" t="s">
        <v>455</v>
      </c>
      <c r="C434" t="str">
        <f>"9780415310369"</f>
        <v>9780415310369</v>
      </c>
      <c r="D434" t="str">
        <f>"9780203416389"</f>
        <v>9780203416389</v>
      </c>
      <c r="E434" t="s">
        <v>15</v>
      </c>
      <c r="F434" t="s">
        <v>16</v>
      </c>
      <c r="G434" s="1">
        <v>37831</v>
      </c>
      <c r="H434" s="1">
        <v>38169</v>
      </c>
      <c r="I434" t="s">
        <v>12</v>
      </c>
      <c r="J434" t="s">
        <v>11204</v>
      </c>
    </row>
    <row r="435" spans="1:10" x14ac:dyDescent="0.25">
      <c r="A435">
        <v>180953</v>
      </c>
      <c r="B435" t="s">
        <v>456</v>
      </c>
      <c r="C435" t="str">
        <f>"9780415318037"</f>
        <v>9780415318037</v>
      </c>
      <c r="D435" t="str">
        <f>"9780203595015"</f>
        <v>9780203595015</v>
      </c>
      <c r="E435" t="s">
        <v>16</v>
      </c>
      <c r="F435" t="s">
        <v>16</v>
      </c>
      <c r="G435" s="1">
        <v>37866</v>
      </c>
      <c r="H435" s="1">
        <v>38411</v>
      </c>
      <c r="I435" t="s">
        <v>12</v>
      </c>
      <c r="J435" t="s">
        <v>11205</v>
      </c>
    </row>
    <row r="436" spans="1:10" x14ac:dyDescent="0.25">
      <c r="A436">
        <v>180979</v>
      </c>
      <c r="B436" t="s">
        <v>457</v>
      </c>
      <c r="C436" t="str">
        <f>"9780419176602"</f>
        <v>9780419176602</v>
      </c>
      <c r="D436" t="str">
        <f>"9780203362181"</f>
        <v>9780203362181</v>
      </c>
      <c r="E436" t="s">
        <v>144</v>
      </c>
      <c r="F436" t="s">
        <v>153</v>
      </c>
      <c r="G436" s="1">
        <v>34305</v>
      </c>
      <c r="H436" s="1">
        <v>41347</v>
      </c>
      <c r="I436" t="s">
        <v>12</v>
      </c>
      <c r="J436" t="s">
        <v>11206</v>
      </c>
    </row>
    <row r="437" spans="1:10" x14ac:dyDescent="0.25">
      <c r="A437">
        <v>181007</v>
      </c>
      <c r="B437" t="s">
        <v>458</v>
      </c>
      <c r="C437" t="str">
        <f>"9780419146407"</f>
        <v>9780419146407</v>
      </c>
      <c r="D437" t="str">
        <f>"9780203473092"</f>
        <v>9780203473092</v>
      </c>
      <c r="E437" t="s">
        <v>15</v>
      </c>
      <c r="F437" t="s">
        <v>16</v>
      </c>
      <c r="G437" s="1">
        <v>37866</v>
      </c>
      <c r="H437" s="1">
        <v>38589</v>
      </c>
      <c r="I437" t="s">
        <v>12</v>
      </c>
      <c r="J437" t="s">
        <v>11207</v>
      </c>
    </row>
    <row r="438" spans="1:10" x14ac:dyDescent="0.25">
      <c r="A438">
        <v>181048</v>
      </c>
      <c r="B438" t="s">
        <v>459</v>
      </c>
      <c r="C438" t="str">
        <f>"9780419195504"</f>
        <v>9780419195504</v>
      </c>
      <c r="D438" t="str">
        <f>"9780203362273"</f>
        <v>9780203362273</v>
      </c>
      <c r="E438" t="s">
        <v>144</v>
      </c>
      <c r="F438" t="s">
        <v>153</v>
      </c>
      <c r="G438" s="1">
        <v>34885</v>
      </c>
      <c r="H438" s="1">
        <v>38654</v>
      </c>
      <c r="I438" t="s">
        <v>12</v>
      </c>
      <c r="J438" t="s">
        <v>11208</v>
      </c>
    </row>
    <row r="439" spans="1:10" x14ac:dyDescent="0.25">
      <c r="A439">
        <v>181061</v>
      </c>
      <c r="B439" t="s">
        <v>460</v>
      </c>
      <c r="C439" t="str">
        <f>"9780419201205"</f>
        <v>9780419201205</v>
      </c>
      <c r="D439" t="str">
        <f>"9780203362112"</f>
        <v>9780203362112</v>
      </c>
      <c r="E439" t="s">
        <v>15</v>
      </c>
      <c r="F439" t="s">
        <v>153</v>
      </c>
      <c r="G439" s="1">
        <v>35278</v>
      </c>
      <c r="H439" s="1">
        <v>38663</v>
      </c>
      <c r="I439" t="s">
        <v>12</v>
      </c>
      <c r="J439" t="s">
        <v>11209</v>
      </c>
    </row>
    <row r="440" spans="1:10" x14ac:dyDescent="0.25">
      <c r="A440">
        <v>181081</v>
      </c>
      <c r="B440" t="s">
        <v>461</v>
      </c>
      <c r="C440" t="str">
        <f>"9780415273404"</f>
        <v>9780415273404</v>
      </c>
      <c r="D440" t="str">
        <f>"9781482288148"</f>
        <v>9781482288148</v>
      </c>
      <c r="E440" t="s">
        <v>15</v>
      </c>
      <c r="F440" t="s">
        <v>139</v>
      </c>
      <c r="G440" s="1">
        <v>37547</v>
      </c>
      <c r="H440" s="1">
        <v>38588</v>
      </c>
      <c r="I440" t="s">
        <v>12</v>
      </c>
      <c r="J440" t="s">
        <v>11210</v>
      </c>
    </row>
    <row r="441" spans="1:10" x14ac:dyDescent="0.25">
      <c r="A441">
        <v>181100</v>
      </c>
      <c r="B441" t="s">
        <v>462</v>
      </c>
      <c r="C441" t="str">
        <f>"9780419224709"</f>
        <v>9780419224709</v>
      </c>
      <c r="D441" t="str">
        <f>"9781482271850"</f>
        <v>9781482271850</v>
      </c>
      <c r="E441" t="s">
        <v>15</v>
      </c>
      <c r="F441" t="s">
        <v>139</v>
      </c>
      <c r="G441" s="1">
        <v>36285</v>
      </c>
      <c r="H441" s="1">
        <v>38663</v>
      </c>
      <c r="I441" t="s">
        <v>12</v>
      </c>
      <c r="J441" t="s">
        <v>11211</v>
      </c>
    </row>
    <row r="442" spans="1:10" x14ac:dyDescent="0.25">
      <c r="A442">
        <v>181105</v>
      </c>
      <c r="B442" t="s">
        <v>463</v>
      </c>
      <c r="C442" t="str">
        <f>"9780419226505"</f>
        <v>9780419226505</v>
      </c>
      <c r="D442" t="str">
        <f>"9780203477380"</f>
        <v>9780203477380</v>
      </c>
      <c r="E442" t="s">
        <v>144</v>
      </c>
      <c r="F442" t="s">
        <v>16</v>
      </c>
      <c r="G442" s="1">
        <v>35923</v>
      </c>
      <c r="H442" s="1">
        <v>41134</v>
      </c>
      <c r="I442" t="s">
        <v>12</v>
      </c>
      <c r="J442" t="s">
        <v>11212</v>
      </c>
    </row>
    <row r="443" spans="1:10" x14ac:dyDescent="0.25">
      <c r="A443">
        <v>181106</v>
      </c>
      <c r="B443" t="s">
        <v>464</v>
      </c>
      <c r="C443" t="str">
        <f>"9780419226901"</f>
        <v>9780419226901</v>
      </c>
      <c r="D443" t="str">
        <f>"9780203477403"</f>
        <v>9780203477403</v>
      </c>
      <c r="E443" t="s">
        <v>144</v>
      </c>
      <c r="F443" t="s">
        <v>16</v>
      </c>
      <c r="G443" s="1">
        <v>35908</v>
      </c>
      <c r="H443" s="1">
        <v>38642</v>
      </c>
      <c r="I443" t="s">
        <v>12</v>
      </c>
      <c r="J443" t="s">
        <v>11213</v>
      </c>
    </row>
    <row r="444" spans="1:10" x14ac:dyDescent="0.25">
      <c r="A444">
        <v>181118</v>
      </c>
      <c r="B444" t="s">
        <v>465</v>
      </c>
      <c r="C444" t="str">
        <f>"9780419232506"</f>
        <v>9780419232506</v>
      </c>
      <c r="D444" t="str">
        <f>"9780203223253"</f>
        <v>9780203223253</v>
      </c>
      <c r="E444" t="s">
        <v>144</v>
      </c>
      <c r="F444" t="s">
        <v>153</v>
      </c>
      <c r="G444" s="1">
        <v>36332</v>
      </c>
      <c r="H444" s="1">
        <v>38642</v>
      </c>
      <c r="I444" t="s">
        <v>12</v>
      </c>
      <c r="J444" t="s">
        <v>11214</v>
      </c>
    </row>
    <row r="445" spans="1:10" x14ac:dyDescent="0.25">
      <c r="A445">
        <v>181143</v>
      </c>
      <c r="B445" t="s">
        <v>466</v>
      </c>
      <c r="C445" t="str">
        <f>"9780419253204"</f>
        <v>9780419253204</v>
      </c>
      <c r="D445" t="str">
        <f>"9780203478721"</f>
        <v>9780203478721</v>
      </c>
      <c r="E445" t="s">
        <v>15</v>
      </c>
      <c r="F445" t="s">
        <v>16</v>
      </c>
      <c r="G445" s="1">
        <v>41773</v>
      </c>
      <c r="H445" s="1">
        <v>38837</v>
      </c>
      <c r="I445" t="s">
        <v>12</v>
      </c>
      <c r="J445" t="s">
        <v>11215</v>
      </c>
    </row>
    <row r="446" spans="1:10" x14ac:dyDescent="0.25">
      <c r="A446">
        <v>181144</v>
      </c>
      <c r="B446" t="s">
        <v>467</v>
      </c>
      <c r="C446" t="str">
        <f>"9780419253808"</f>
        <v>9780419253808</v>
      </c>
      <c r="D446" t="str">
        <f>"9780203301715"</f>
        <v>9780203301715</v>
      </c>
      <c r="E446" t="s">
        <v>144</v>
      </c>
      <c r="F446" t="s">
        <v>16</v>
      </c>
      <c r="G446" s="1">
        <v>36691</v>
      </c>
      <c r="H446" s="1">
        <v>38679</v>
      </c>
      <c r="I446" t="s">
        <v>12</v>
      </c>
      <c r="J446" t="s">
        <v>11216</v>
      </c>
    </row>
    <row r="447" spans="1:10" x14ac:dyDescent="0.25">
      <c r="A447">
        <v>181167</v>
      </c>
      <c r="B447" t="s">
        <v>468</v>
      </c>
      <c r="C447" t="str">
        <f>"9780700714216"</f>
        <v>9780700714216</v>
      </c>
      <c r="D447" t="str">
        <f>"9780203392850"</f>
        <v>9780203392850</v>
      </c>
      <c r="E447" t="s">
        <v>15</v>
      </c>
      <c r="F447" t="s">
        <v>16</v>
      </c>
      <c r="G447" s="1">
        <v>36959</v>
      </c>
      <c r="H447" s="1">
        <v>38491</v>
      </c>
      <c r="I447" t="s">
        <v>12</v>
      </c>
      <c r="J447" t="s">
        <v>11217</v>
      </c>
    </row>
    <row r="448" spans="1:10" x14ac:dyDescent="0.25">
      <c r="A448">
        <v>181181</v>
      </c>
      <c r="B448" t="s">
        <v>469</v>
      </c>
      <c r="C448" t="str">
        <f>"9780700716463"</f>
        <v>9780700716463</v>
      </c>
      <c r="D448" t="str">
        <f>"9780203220498"</f>
        <v>9780203220498</v>
      </c>
      <c r="E448" t="s">
        <v>15</v>
      </c>
      <c r="F448" t="s">
        <v>16</v>
      </c>
      <c r="G448" s="1">
        <v>37556</v>
      </c>
      <c r="H448" s="1">
        <v>38169</v>
      </c>
      <c r="I448" t="s">
        <v>12</v>
      </c>
      <c r="J448" t="s">
        <v>11218</v>
      </c>
    </row>
    <row r="449" spans="1:10" x14ac:dyDescent="0.25">
      <c r="A449">
        <v>181306</v>
      </c>
      <c r="B449" t="s">
        <v>470</v>
      </c>
      <c r="C449" t="str">
        <f>"9780750700160"</f>
        <v>9780750700160</v>
      </c>
      <c r="D449" t="str">
        <f>"9780203209615"</f>
        <v>9780203209615</v>
      </c>
      <c r="E449" t="s">
        <v>15</v>
      </c>
      <c r="F449" t="s">
        <v>16</v>
      </c>
      <c r="G449" s="1">
        <v>33786</v>
      </c>
      <c r="H449" s="1">
        <v>38486</v>
      </c>
      <c r="I449" t="s">
        <v>12</v>
      </c>
      <c r="J449" t="s">
        <v>11219</v>
      </c>
    </row>
    <row r="450" spans="1:10" x14ac:dyDescent="0.25">
      <c r="A450">
        <v>181309</v>
      </c>
      <c r="B450" t="s">
        <v>471</v>
      </c>
      <c r="C450" t="str">
        <f>"9780750700450"</f>
        <v>9780750700450</v>
      </c>
      <c r="D450" t="str">
        <f>"9780203209936"</f>
        <v>9780203209936</v>
      </c>
      <c r="E450" t="s">
        <v>15</v>
      </c>
      <c r="F450" t="s">
        <v>16</v>
      </c>
      <c r="G450" s="1">
        <v>34121</v>
      </c>
      <c r="H450" s="1">
        <v>38835</v>
      </c>
      <c r="I450" t="s">
        <v>12</v>
      </c>
      <c r="J450" t="s">
        <v>11220</v>
      </c>
    </row>
    <row r="451" spans="1:10" x14ac:dyDescent="0.25">
      <c r="A451">
        <v>181331</v>
      </c>
      <c r="B451" t="s">
        <v>472</v>
      </c>
      <c r="C451" t="str">
        <f>"9780750705776"</f>
        <v>9780750705776</v>
      </c>
      <c r="D451" t="str">
        <f>"9780203209202"</f>
        <v>9780203209202</v>
      </c>
      <c r="E451" t="s">
        <v>15</v>
      </c>
      <c r="F451" t="s">
        <v>16</v>
      </c>
      <c r="G451" s="1">
        <v>35278</v>
      </c>
      <c r="H451" s="1">
        <v>41187</v>
      </c>
      <c r="I451" t="s">
        <v>12</v>
      </c>
      <c r="J451" t="s">
        <v>11221</v>
      </c>
    </row>
    <row r="452" spans="1:10" x14ac:dyDescent="0.25">
      <c r="A452">
        <v>181340</v>
      </c>
      <c r="B452" t="s">
        <v>473</v>
      </c>
      <c r="C452" t="str">
        <f>"9780750707831"</f>
        <v>9780750707831</v>
      </c>
      <c r="D452" t="str">
        <f>"9780203209356"</f>
        <v>9780203209356</v>
      </c>
      <c r="E452" t="s">
        <v>15</v>
      </c>
      <c r="F452" t="s">
        <v>16</v>
      </c>
      <c r="G452" s="1">
        <v>35947</v>
      </c>
      <c r="H452" s="1">
        <v>38308</v>
      </c>
      <c r="I452" t="s">
        <v>12</v>
      </c>
      <c r="J452" t="s">
        <v>11222</v>
      </c>
    </row>
    <row r="453" spans="1:10" x14ac:dyDescent="0.25">
      <c r="A453">
        <v>181344</v>
      </c>
      <c r="B453" t="s">
        <v>474</v>
      </c>
      <c r="C453" t="str">
        <f>"9780750709095"</f>
        <v>9780750709095</v>
      </c>
      <c r="D453" t="str">
        <f>"9780203209493"</f>
        <v>9780203209493</v>
      </c>
      <c r="E453" t="s">
        <v>15</v>
      </c>
      <c r="F453" t="s">
        <v>16</v>
      </c>
      <c r="G453" s="1">
        <v>36899</v>
      </c>
      <c r="H453" s="1">
        <v>38309</v>
      </c>
      <c r="I453" t="s">
        <v>12</v>
      </c>
      <c r="J453" t="s">
        <v>11223</v>
      </c>
    </row>
    <row r="454" spans="1:10" x14ac:dyDescent="0.25">
      <c r="A454">
        <v>181347</v>
      </c>
      <c r="B454" t="s">
        <v>475</v>
      </c>
      <c r="C454" t="str">
        <f>"9780750709538"</f>
        <v>9780750709538</v>
      </c>
      <c r="D454" t="str">
        <f>"9780203209752"</f>
        <v>9780203209752</v>
      </c>
      <c r="E454" t="s">
        <v>15</v>
      </c>
      <c r="F454" t="s">
        <v>16</v>
      </c>
      <c r="G454" s="1">
        <v>36404</v>
      </c>
      <c r="H454" s="1">
        <v>38793</v>
      </c>
      <c r="I454" t="s">
        <v>12</v>
      </c>
      <c r="J454" t="s">
        <v>11224</v>
      </c>
    </row>
    <row r="455" spans="1:10" x14ac:dyDescent="0.25">
      <c r="A455">
        <v>181380</v>
      </c>
      <c r="B455" t="s">
        <v>476</v>
      </c>
      <c r="C455" t="str">
        <f>"9780415515696"</f>
        <v>9780415515696</v>
      </c>
      <c r="D455" t="str">
        <f>"9781466558113"</f>
        <v>9781466558113</v>
      </c>
      <c r="E455" t="s">
        <v>15</v>
      </c>
      <c r="F455" t="s">
        <v>139</v>
      </c>
      <c r="G455" s="1">
        <v>33238</v>
      </c>
      <c r="H455" s="1">
        <v>38638</v>
      </c>
      <c r="I455" t="s">
        <v>12</v>
      </c>
      <c r="J455" t="s">
        <v>11225</v>
      </c>
    </row>
    <row r="456" spans="1:10" x14ac:dyDescent="0.25">
      <c r="A456">
        <v>181395</v>
      </c>
      <c r="B456" t="s">
        <v>477</v>
      </c>
      <c r="C456" t="str">
        <f>"9780946392148"</f>
        <v>9780946392148</v>
      </c>
      <c r="D456" t="str">
        <f>"9780203210291"</f>
        <v>9780203210291</v>
      </c>
      <c r="E456" t="s">
        <v>144</v>
      </c>
      <c r="F456" t="s">
        <v>144</v>
      </c>
      <c r="G456" s="1">
        <v>33238</v>
      </c>
      <c r="H456" s="1">
        <v>38654</v>
      </c>
      <c r="I456" t="s">
        <v>12</v>
      </c>
      <c r="J456" t="s">
        <v>11226</v>
      </c>
    </row>
    <row r="457" spans="1:10" x14ac:dyDescent="0.25">
      <c r="A457">
        <v>181415</v>
      </c>
      <c r="B457" t="s">
        <v>478</v>
      </c>
      <c r="C457" t="str">
        <f>"9781850000280"</f>
        <v>9781850000280</v>
      </c>
      <c r="D457" t="str">
        <f>"9780203214817"</f>
        <v>9780203214817</v>
      </c>
      <c r="E457" t="s">
        <v>15</v>
      </c>
      <c r="F457" t="s">
        <v>16</v>
      </c>
      <c r="G457" s="1">
        <v>31138</v>
      </c>
      <c r="H457" s="1">
        <v>38316</v>
      </c>
      <c r="I457" t="s">
        <v>12</v>
      </c>
      <c r="J457" t="s">
        <v>11227</v>
      </c>
    </row>
    <row r="458" spans="1:10" x14ac:dyDescent="0.25">
      <c r="A458">
        <v>181416</v>
      </c>
      <c r="B458" t="s">
        <v>479</v>
      </c>
      <c r="C458" t="str">
        <f>"9781850000891"</f>
        <v>9781850000891</v>
      </c>
      <c r="D458" t="str">
        <f>"9780203496626"</f>
        <v>9780203496626</v>
      </c>
      <c r="E458" t="s">
        <v>15</v>
      </c>
      <c r="F458" t="s">
        <v>16</v>
      </c>
      <c r="G458" s="1">
        <v>31533</v>
      </c>
      <c r="H458" s="1">
        <v>38169</v>
      </c>
      <c r="I458" t="s">
        <v>12</v>
      </c>
      <c r="J458" t="s">
        <v>11228</v>
      </c>
    </row>
    <row r="459" spans="1:10" x14ac:dyDescent="0.25">
      <c r="A459">
        <v>181418</v>
      </c>
      <c r="B459" t="s">
        <v>480</v>
      </c>
      <c r="C459" t="str">
        <f>"9781850005988"</f>
        <v>9781850005988</v>
      </c>
      <c r="D459" t="str">
        <f>"9780203393109"</f>
        <v>9780203393109</v>
      </c>
      <c r="E459" t="s">
        <v>15</v>
      </c>
      <c r="F459" t="s">
        <v>16</v>
      </c>
      <c r="G459" s="1">
        <v>32752</v>
      </c>
      <c r="H459" s="1">
        <v>38486</v>
      </c>
      <c r="I459" t="s">
        <v>12</v>
      </c>
      <c r="J459" t="s">
        <v>11229</v>
      </c>
    </row>
    <row r="460" spans="1:10" x14ac:dyDescent="0.25">
      <c r="A460">
        <v>181441</v>
      </c>
      <c r="B460" t="s">
        <v>481</v>
      </c>
      <c r="C460" t="str">
        <f>"9781851661527"</f>
        <v>9781851661527</v>
      </c>
      <c r="D460" t="str">
        <f>"9780203216194"</f>
        <v>9780203216194</v>
      </c>
      <c r="E460" t="s">
        <v>144</v>
      </c>
      <c r="F460" t="s">
        <v>16</v>
      </c>
      <c r="G460" s="1">
        <v>33238</v>
      </c>
      <c r="H460" s="1">
        <v>38643</v>
      </c>
      <c r="I460" t="s">
        <v>12</v>
      </c>
      <c r="J460" t="s">
        <v>11230</v>
      </c>
    </row>
    <row r="461" spans="1:10" x14ac:dyDescent="0.25">
      <c r="A461">
        <v>181465</v>
      </c>
      <c r="B461" t="s">
        <v>482</v>
      </c>
      <c r="C461" t="str">
        <f>"9781851667307"</f>
        <v>9781851667307</v>
      </c>
      <c r="D461" t="str">
        <f>"9780203216019"</f>
        <v>9780203216019</v>
      </c>
      <c r="E461" t="s">
        <v>144</v>
      </c>
      <c r="F461" t="s">
        <v>144</v>
      </c>
      <c r="G461" s="1">
        <v>33238</v>
      </c>
      <c r="H461" s="1">
        <v>38810</v>
      </c>
      <c r="I461" t="s">
        <v>12</v>
      </c>
      <c r="J461" t="s">
        <v>11231</v>
      </c>
    </row>
    <row r="462" spans="1:10" x14ac:dyDescent="0.25">
      <c r="A462">
        <v>181499</v>
      </c>
      <c r="B462" t="s">
        <v>483</v>
      </c>
      <c r="C462" t="str">
        <f>"9781857287622"</f>
        <v>9781857287622</v>
      </c>
      <c r="D462" t="str">
        <f>"9780203501177"</f>
        <v>9780203501177</v>
      </c>
      <c r="E462" t="s">
        <v>15</v>
      </c>
      <c r="F462" t="s">
        <v>16</v>
      </c>
      <c r="G462" s="1">
        <v>37903</v>
      </c>
      <c r="H462" s="1">
        <v>38411</v>
      </c>
      <c r="I462" t="s">
        <v>12</v>
      </c>
      <c r="J462" t="s">
        <v>11232</v>
      </c>
    </row>
    <row r="463" spans="1:10" x14ac:dyDescent="0.25">
      <c r="A463">
        <v>181567</v>
      </c>
      <c r="B463" t="s">
        <v>484</v>
      </c>
      <c r="C463" t="str">
        <f>"9789057026133"</f>
        <v>9789057026133</v>
      </c>
      <c r="D463" t="str">
        <f>"9780203305041"</f>
        <v>9780203305041</v>
      </c>
      <c r="E463" t="s">
        <v>144</v>
      </c>
      <c r="F463" t="s">
        <v>139</v>
      </c>
      <c r="G463" s="1">
        <v>41015</v>
      </c>
      <c r="H463" s="1">
        <v>38641</v>
      </c>
      <c r="I463" t="s">
        <v>12</v>
      </c>
      <c r="J463" t="s">
        <v>11233</v>
      </c>
    </row>
    <row r="464" spans="1:10" x14ac:dyDescent="0.25">
      <c r="A464">
        <v>181671</v>
      </c>
      <c r="B464" t="s">
        <v>485</v>
      </c>
      <c r="C464" t="str">
        <f>"9780749435332"</f>
        <v>9780749435332</v>
      </c>
      <c r="D464" t="str">
        <f>"9780203417041"</f>
        <v>9780203417041</v>
      </c>
      <c r="E464" t="s">
        <v>15</v>
      </c>
      <c r="F464" t="s">
        <v>16</v>
      </c>
      <c r="G464" s="1">
        <v>37347</v>
      </c>
      <c r="H464" s="1">
        <v>38169</v>
      </c>
      <c r="I464" t="s">
        <v>12</v>
      </c>
      <c r="J464" t="s">
        <v>11234</v>
      </c>
    </row>
    <row r="465" spans="1:10" x14ac:dyDescent="0.25">
      <c r="A465">
        <v>181680</v>
      </c>
      <c r="B465" t="s">
        <v>486</v>
      </c>
      <c r="C465" t="str">
        <f>"9781857130119"</f>
        <v>9781857130119</v>
      </c>
      <c r="D465" t="str">
        <f>"9780203427866"</f>
        <v>9780203427866</v>
      </c>
      <c r="E465" t="s">
        <v>15</v>
      </c>
      <c r="F465" t="s">
        <v>16</v>
      </c>
      <c r="G465" s="1">
        <v>35088</v>
      </c>
      <c r="H465" s="1">
        <v>38638</v>
      </c>
      <c r="I465" t="s">
        <v>12</v>
      </c>
      <c r="J465" t="s">
        <v>11235</v>
      </c>
    </row>
    <row r="466" spans="1:10" x14ac:dyDescent="0.25">
      <c r="A466">
        <v>181704</v>
      </c>
      <c r="B466" t="s">
        <v>487</v>
      </c>
      <c r="C466" t="str">
        <f>"9780415304016"</f>
        <v>9780415304016</v>
      </c>
      <c r="D466" t="str">
        <f>"9781482265255"</f>
        <v>9781482265255</v>
      </c>
      <c r="E466" t="s">
        <v>15</v>
      </c>
      <c r="F466" t="s">
        <v>139</v>
      </c>
      <c r="G466" s="1">
        <v>38905</v>
      </c>
      <c r="H466" s="1">
        <v>38947</v>
      </c>
      <c r="I466" t="s">
        <v>12</v>
      </c>
      <c r="J466" t="s">
        <v>11236</v>
      </c>
    </row>
    <row r="467" spans="1:10" x14ac:dyDescent="0.25">
      <c r="A467">
        <v>181715</v>
      </c>
      <c r="B467" t="s">
        <v>488</v>
      </c>
      <c r="C467" t="str">
        <f>"9780415052214"</f>
        <v>9780415052214</v>
      </c>
      <c r="D467" t="str">
        <f>"9780203479605"</f>
        <v>9780203479605</v>
      </c>
      <c r="E467" t="s">
        <v>16</v>
      </c>
      <c r="F467" t="s">
        <v>16</v>
      </c>
      <c r="G467" s="1">
        <v>32968</v>
      </c>
      <c r="H467" s="1">
        <v>38930</v>
      </c>
      <c r="I467" t="s">
        <v>12</v>
      </c>
      <c r="J467" t="s">
        <v>11237</v>
      </c>
    </row>
    <row r="468" spans="1:10" x14ac:dyDescent="0.25">
      <c r="A468">
        <v>181717</v>
      </c>
      <c r="B468" t="s">
        <v>489</v>
      </c>
      <c r="C468" t="str">
        <f>"9780415092265"</f>
        <v>9780415092265</v>
      </c>
      <c r="D468" t="str">
        <f>"9780203451007"</f>
        <v>9780203451007</v>
      </c>
      <c r="E468" t="s">
        <v>15</v>
      </c>
      <c r="F468" t="s">
        <v>16</v>
      </c>
      <c r="G468" s="1">
        <v>34164</v>
      </c>
      <c r="H468" s="1">
        <v>38635</v>
      </c>
      <c r="I468" t="s">
        <v>12</v>
      </c>
      <c r="J468" t="s">
        <v>11238</v>
      </c>
    </row>
    <row r="469" spans="1:10" x14ac:dyDescent="0.25">
      <c r="A469">
        <v>181720</v>
      </c>
      <c r="B469" t="s">
        <v>490</v>
      </c>
      <c r="C469" t="str">
        <f>"9780415076937"</f>
        <v>9780415076937</v>
      </c>
      <c r="D469" t="str">
        <f>"9780203479636"</f>
        <v>9780203479636</v>
      </c>
      <c r="E469" t="s">
        <v>15</v>
      </c>
      <c r="F469" t="s">
        <v>16</v>
      </c>
      <c r="G469" s="1">
        <v>34579</v>
      </c>
      <c r="H469" s="1">
        <v>41459</v>
      </c>
      <c r="I469" t="s">
        <v>12</v>
      </c>
      <c r="J469" t="s">
        <v>11239</v>
      </c>
    </row>
    <row r="470" spans="1:10" x14ac:dyDescent="0.25">
      <c r="A470">
        <v>181729</v>
      </c>
      <c r="B470" t="s">
        <v>491</v>
      </c>
      <c r="C470" t="str">
        <f>"9780415107860"</f>
        <v>9780415107860</v>
      </c>
      <c r="D470" t="str">
        <f>"9780203450949"</f>
        <v>9780203450949</v>
      </c>
      <c r="E470" t="s">
        <v>15</v>
      </c>
      <c r="F470" t="s">
        <v>16</v>
      </c>
      <c r="G470" s="1">
        <v>35160</v>
      </c>
      <c r="H470" s="1">
        <v>38169</v>
      </c>
      <c r="I470" t="s">
        <v>12</v>
      </c>
      <c r="J470" t="s">
        <v>11240</v>
      </c>
    </row>
    <row r="471" spans="1:10" x14ac:dyDescent="0.25">
      <c r="A471">
        <v>181747</v>
      </c>
      <c r="B471" t="s">
        <v>492</v>
      </c>
      <c r="C471" t="str">
        <f>"9780415150057"</f>
        <v>9780415150057</v>
      </c>
      <c r="D471" t="str">
        <f>"9780203450987"</f>
        <v>9780203450987</v>
      </c>
      <c r="E471" t="s">
        <v>15</v>
      </c>
      <c r="F471" t="s">
        <v>16</v>
      </c>
      <c r="G471" s="1">
        <v>35555</v>
      </c>
      <c r="H471" s="1">
        <v>38307</v>
      </c>
      <c r="I471" t="s">
        <v>12</v>
      </c>
      <c r="J471" t="s">
        <v>11241</v>
      </c>
    </row>
    <row r="472" spans="1:10" x14ac:dyDescent="0.25">
      <c r="A472">
        <v>181758</v>
      </c>
      <c r="B472" t="s">
        <v>493</v>
      </c>
      <c r="C472" t="str">
        <f>"9780415182775"</f>
        <v>9780415182775</v>
      </c>
      <c r="D472" t="str">
        <f>"9780203451021"</f>
        <v>9780203451021</v>
      </c>
      <c r="E472" t="s">
        <v>15</v>
      </c>
      <c r="F472" t="s">
        <v>16</v>
      </c>
      <c r="G472" s="1">
        <v>36069</v>
      </c>
      <c r="H472" s="1">
        <v>38307</v>
      </c>
      <c r="I472" t="s">
        <v>12</v>
      </c>
      <c r="J472" t="s">
        <v>11242</v>
      </c>
    </row>
    <row r="473" spans="1:10" x14ac:dyDescent="0.25">
      <c r="A473">
        <v>181765</v>
      </c>
      <c r="B473" t="s">
        <v>494</v>
      </c>
      <c r="C473" t="str">
        <f>"9780415189279"</f>
        <v>9780415189279</v>
      </c>
      <c r="D473" t="str">
        <f>"9780203450864"</f>
        <v>9780203450864</v>
      </c>
      <c r="E473" t="s">
        <v>15</v>
      </c>
      <c r="F473" t="s">
        <v>16</v>
      </c>
      <c r="G473" s="1">
        <v>36376</v>
      </c>
      <c r="H473" s="1">
        <v>38486</v>
      </c>
      <c r="I473" t="s">
        <v>12</v>
      </c>
      <c r="J473" t="s">
        <v>11243</v>
      </c>
    </row>
    <row r="474" spans="1:10" x14ac:dyDescent="0.25">
      <c r="A474">
        <v>181766</v>
      </c>
      <c r="B474" t="s">
        <v>495</v>
      </c>
      <c r="C474" t="str">
        <f>"9780415198295"</f>
        <v>9780415198295</v>
      </c>
      <c r="D474" t="str">
        <f>"9780203450789"</f>
        <v>9780203450789</v>
      </c>
      <c r="E474" t="s">
        <v>15</v>
      </c>
      <c r="F474" t="s">
        <v>16</v>
      </c>
      <c r="G474" s="1">
        <v>36475</v>
      </c>
      <c r="H474" s="1">
        <v>38169</v>
      </c>
      <c r="I474" t="s">
        <v>12</v>
      </c>
      <c r="J474" t="s">
        <v>11244</v>
      </c>
    </row>
    <row r="475" spans="1:10" x14ac:dyDescent="0.25">
      <c r="A475">
        <v>181785</v>
      </c>
      <c r="B475" t="s">
        <v>496</v>
      </c>
      <c r="C475" t="str">
        <f>"9780415234566"</f>
        <v>9780415234566</v>
      </c>
      <c r="D475" t="str">
        <f>"9780203464274"</f>
        <v>9780203464274</v>
      </c>
      <c r="E475" t="s">
        <v>15</v>
      </c>
      <c r="F475" t="s">
        <v>16</v>
      </c>
      <c r="G475" s="1">
        <v>39430</v>
      </c>
      <c r="H475" s="1">
        <v>39471</v>
      </c>
      <c r="I475" t="s">
        <v>12</v>
      </c>
      <c r="J475" t="s">
        <v>11245</v>
      </c>
    </row>
    <row r="476" spans="1:10" x14ac:dyDescent="0.25">
      <c r="A476">
        <v>181791</v>
      </c>
      <c r="B476" t="s">
        <v>497</v>
      </c>
      <c r="C476" t="str">
        <f>"9780415241694"</f>
        <v>9780415241694</v>
      </c>
      <c r="D476" t="str">
        <f>"9780203449745"</f>
        <v>9780203449745</v>
      </c>
      <c r="E476" t="s">
        <v>144</v>
      </c>
      <c r="F476" t="s">
        <v>16</v>
      </c>
      <c r="G476" s="1">
        <v>37805</v>
      </c>
      <c r="H476" s="1">
        <v>41134</v>
      </c>
      <c r="I476" t="s">
        <v>12</v>
      </c>
      <c r="J476" t="s">
        <v>11246</v>
      </c>
    </row>
    <row r="477" spans="1:10" x14ac:dyDescent="0.25">
      <c r="A477">
        <v>181792</v>
      </c>
      <c r="B477" t="s">
        <v>498</v>
      </c>
      <c r="C477" t="str">
        <f>"9780415243070"</f>
        <v>9780415243070</v>
      </c>
      <c r="D477" t="str">
        <f>"9780203451649"</f>
        <v>9780203451649</v>
      </c>
      <c r="E477" t="s">
        <v>15</v>
      </c>
      <c r="F477" t="s">
        <v>16</v>
      </c>
      <c r="G477" s="1">
        <v>38323</v>
      </c>
      <c r="H477" s="1">
        <v>38666</v>
      </c>
      <c r="I477" t="s">
        <v>12</v>
      </c>
      <c r="J477" t="s">
        <v>11247</v>
      </c>
    </row>
    <row r="478" spans="1:10" x14ac:dyDescent="0.25">
      <c r="A478">
        <v>181800</v>
      </c>
      <c r="B478" t="s">
        <v>499</v>
      </c>
      <c r="C478" t="str">
        <f>"9780415154505"</f>
        <v>9780415154505</v>
      </c>
      <c r="D478" t="str">
        <f>"9780203450727"</f>
        <v>9780203450727</v>
      </c>
      <c r="E478" t="s">
        <v>15</v>
      </c>
      <c r="F478" t="s">
        <v>16</v>
      </c>
      <c r="G478" s="1">
        <v>35923</v>
      </c>
      <c r="H478" s="1">
        <v>38795</v>
      </c>
      <c r="I478" t="s">
        <v>12</v>
      </c>
      <c r="J478" t="s">
        <v>11248</v>
      </c>
    </row>
    <row r="479" spans="1:10" x14ac:dyDescent="0.25">
      <c r="A479">
        <v>181805</v>
      </c>
      <c r="B479" t="s">
        <v>500</v>
      </c>
      <c r="C479" t="str">
        <f>"9780415252430"</f>
        <v>9780415252430</v>
      </c>
      <c r="D479" t="str">
        <f>"9780203451878"</f>
        <v>9780203451878</v>
      </c>
      <c r="E479" t="s">
        <v>15</v>
      </c>
      <c r="F479" t="s">
        <v>16</v>
      </c>
      <c r="G479" s="1">
        <v>37309</v>
      </c>
      <c r="H479" s="1">
        <v>38410</v>
      </c>
      <c r="I479" t="s">
        <v>12</v>
      </c>
      <c r="J479" t="s">
        <v>11249</v>
      </c>
    </row>
    <row r="480" spans="1:10" x14ac:dyDescent="0.25">
      <c r="A480">
        <v>181813</v>
      </c>
      <c r="B480" t="s">
        <v>501</v>
      </c>
      <c r="C480" t="str">
        <f>"9780415260008"</f>
        <v>9780415260008</v>
      </c>
      <c r="D480" t="str">
        <f>"9780203422847"</f>
        <v>9780203422847</v>
      </c>
      <c r="E480" t="s">
        <v>15</v>
      </c>
      <c r="F480" t="s">
        <v>16</v>
      </c>
      <c r="G480" s="1">
        <v>37750</v>
      </c>
      <c r="H480" s="1">
        <v>38169</v>
      </c>
      <c r="I480" t="s">
        <v>12</v>
      </c>
      <c r="J480" t="s">
        <v>11250</v>
      </c>
    </row>
    <row r="481" spans="1:10" x14ac:dyDescent="0.25">
      <c r="A481">
        <v>181819</v>
      </c>
      <c r="B481" t="s">
        <v>502</v>
      </c>
      <c r="C481" t="str">
        <f>"9780415263474"</f>
        <v>9780415263474</v>
      </c>
      <c r="D481" t="str">
        <f>"9780203464410"</f>
        <v>9780203464410</v>
      </c>
      <c r="E481" t="s">
        <v>15</v>
      </c>
      <c r="F481" t="s">
        <v>16</v>
      </c>
      <c r="G481" s="1">
        <v>37944</v>
      </c>
      <c r="H481" s="1">
        <v>38412</v>
      </c>
      <c r="I481" t="s">
        <v>12</v>
      </c>
      <c r="J481" t="s">
        <v>11251</v>
      </c>
    </row>
    <row r="482" spans="1:10" x14ac:dyDescent="0.25">
      <c r="A482">
        <v>181829</v>
      </c>
      <c r="B482" t="s">
        <v>503</v>
      </c>
      <c r="C482" t="str">
        <f>"9780415267724"</f>
        <v>9780415267724</v>
      </c>
      <c r="D482" t="str">
        <f>"9780203422793"</f>
        <v>9780203422793</v>
      </c>
      <c r="E482" t="s">
        <v>15</v>
      </c>
      <c r="F482" t="s">
        <v>16</v>
      </c>
      <c r="G482" s="1">
        <v>37757</v>
      </c>
      <c r="H482" s="1">
        <v>38169</v>
      </c>
      <c r="I482" t="s">
        <v>12</v>
      </c>
      <c r="J482" t="s">
        <v>11252</v>
      </c>
    </row>
    <row r="483" spans="1:10" x14ac:dyDescent="0.25">
      <c r="A483">
        <v>181853</v>
      </c>
      <c r="B483" t="s">
        <v>504</v>
      </c>
      <c r="C483" t="str">
        <f>"9780415279338"</f>
        <v>9780415279338</v>
      </c>
      <c r="D483" t="str">
        <f>"9780203464700"</f>
        <v>9780203464700</v>
      </c>
      <c r="E483" t="s">
        <v>15</v>
      </c>
      <c r="F483" t="s">
        <v>16</v>
      </c>
      <c r="G483" s="1">
        <v>38341</v>
      </c>
      <c r="H483" s="1">
        <v>38635</v>
      </c>
      <c r="I483" t="s">
        <v>12</v>
      </c>
      <c r="J483" t="s">
        <v>11253</v>
      </c>
    </row>
    <row r="484" spans="1:10" x14ac:dyDescent="0.25">
      <c r="A484">
        <v>181856</v>
      </c>
      <c r="B484" t="s">
        <v>505</v>
      </c>
      <c r="C484" t="str">
        <f>"9780415280433"</f>
        <v>9780415280433</v>
      </c>
      <c r="D484" t="str">
        <f>"9780203464717"</f>
        <v>9780203464717</v>
      </c>
      <c r="E484" t="s">
        <v>15</v>
      </c>
      <c r="F484" t="s">
        <v>16</v>
      </c>
      <c r="G484" s="1">
        <v>37831</v>
      </c>
      <c r="H484" s="1">
        <v>38491</v>
      </c>
      <c r="I484" t="s">
        <v>12</v>
      </c>
      <c r="J484" t="s">
        <v>11254</v>
      </c>
    </row>
    <row r="485" spans="1:10" x14ac:dyDescent="0.25">
      <c r="A485">
        <v>181875</v>
      </c>
      <c r="B485" t="s">
        <v>506</v>
      </c>
      <c r="C485" t="str">
        <f>"9780415286978"</f>
        <v>9780415286978</v>
      </c>
      <c r="D485" t="str">
        <f>"9780203464656"</f>
        <v>9780203464656</v>
      </c>
      <c r="E485" t="s">
        <v>15</v>
      </c>
      <c r="F485" t="s">
        <v>16</v>
      </c>
      <c r="G485" s="1">
        <v>38519</v>
      </c>
      <c r="H485" s="1">
        <v>38793</v>
      </c>
      <c r="I485" t="s">
        <v>12</v>
      </c>
      <c r="J485" t="s">
        <v>11255</v>
      </c>
    </row>
    <row r="486" spans="1:10" x14ac:dyDescent="0.25">
      <c r="A486">
        <v>181880</v>
      </c>
      <c r="B486" t="s">
        <v>507</v>
      </c>
      <c r="C486" t="str">
        <f>"9780415298704"</f>
        <v>9780415298704</v>
      </c>
      <c r="D486" t="str">
        <f>"9780203463499"</f>
        <v>9780203463499</v>
      </c>
      <c r="E486" t="s">
        <v>15</v>
      </c>
      <c r="F486" t="s">
        <v>16</v>
      </c>
      <c r="G486" s="1">
        <v>37964</v>
      </c>
      <c r="H486" s="1">
        <v>41335</v>
      </c>
      <c r="I486" t="s">
        <v>12</v>
      </c>
      <c r="J486" t="s">
        <v>11256</v>
      </c>
    </row>
    <row r="487" spans="1:10" x14ac:dyDescent="0.25">
      <c r="A487">
        <v>181886</v>
      </c>
      <c r="B487" t="s">
        <v>508</v>
      </c>
      <c r="C487" t="str">
        <f>"9780415287814"</f>
        <v>9780415287814</v>
      </c>
      <c r="D487" t="str">
        <f>"9780203464175"</f>
        <v>9780203464175</v>
      </c>
      <c r="E487" t="s">
        <v>15</v>
      </c>
      <c r="F487" t="s">
        <v>16</v>
      </c>
      <c r="G487" s="1">
        <v>39077</v>
      </c>
      <c r="H487" s="1">
        <v>41030</v>
      </c>
      <c r="I487" t="s">
        <v>12</v>
      </c>
      <c r="J487" t="s">
        <v>11257</v>
      </c>
    </row>
    <row r="488" spans="1:10" x14ac:dyDescent="0.25">
      <c r="A488">
        <v>181900</v>
      </c>
      <c r="B488" t="s">
        <v>509</v>
      </c>
      <c r="C488" t="str">
        <f>"9780415298124"</f>
        <v>9780415298124</v>
      </c>
      <c r="D488" t="str">
        <f>"9780203380758"</f>
        <v>9780203380758</v>
      </c>
      <c r="E488" t="s">
        <v>15</v>
      </c>
      <c r="F488" t="s">
        <v>16</v>
      </c>
      <c r="G488" s="1">
        <v>37964</v>
      </c>
      <c r="H488" s="1">
        <v>38169</v>
      </c>
      <c r="I488" t="s">
        <v>12</v>
      </c>
      <c r="J488" t="s">
        <v>11258</v>
      </c>
    </row>
    <row r="489" spans="1:10" x14ac:dyDescent="0.25">
      <c r="A489">
        <v>181912</v>
      </c>
      <c r="B489" t="s">
        <v>510</v>
      </c>
      <c r="C489" t="str">
        <f>"9780415302715"</f>
        <v>9780415302715</v>
      </c>
      <c r="D489" t="str">
        <f>"9780203465165"</f>
        <v>9780203465165</v>
      </c>
      <c r="E489" t="s">
        <v>15</v>
      </c>
      <c r="F489" t="s">
        <v>16</v>
      </c>
      <c r="G489" s="1">
        <v>38117</v>
      </c>
      <c r="H489" s="1">
        <v>38411</v>
      </c>
      <c r="I489" t="s">
        <v>12</v>
      </c>
      <c r="J489" t="s">
        <v>11259</v>
      </c>
    </row>
    <row r="490" spans="1:10" x14ac:dyDescent="0.25">
      <c r="A490">
        <v>181927</v>
      </c>
      <c r="B490" t="s">
        <v>511</v>
      </c>
      <c r="C490" t="str">
        <f>"9780415304788"</f>
        <v>9780415304788</v>
      </c>
      <c r="D490" t="str">
        <f>"9780203403709"</f>
        <v>9780203403709</v>
      </c>
      <c r="E490" t="s">
        <v>15</v>
      </c>
      <c r="F490" t="s">
        <v>16</v>
      </c>
      <c r="G490" s="1">
        <v>38056</v>
      </c>
      <c r="H490" s="1">
        <v>39087</v>
      </c>
      <c r="I490" t="s">
        <v>12</v>
      </c>
      <c r="J490" t="s">
        <v>11260</v>
      </c>
    </row>
    <row r="491" spans="1:10" x14ac:dyDescent="0.25">
      <c r="A491">
        <v>181939</v>
      </c>
      <c r="B491" t="s">
        <v>512</v>
      </c>
      <c r="C491" t="str">
        <f>"9780415308205"</f>
        <v>9780415308205</v>
      </c>
      <c r="D491" t="str">
        <f>"9780203220993"</f>
        <v>9780203220993</v>
      </c>
      <c r="E491" t="s">
        <v>15</v>
      </c>
      <c r="F491" t="s">
        <v>16</v>
      </c>
      <c r="G491" s="1">
        <v>38363</v>
      </c>
      <c r="H491" s="1">
        <v>38419</v>
      </c>
      <c r="I491" t="s">
        <v>12</v>
      </c>
      <c r="J491" t="s">
        <v>11261</v>
      </c>
    </row>
    <row r="492" spans="1:10" x14ac:dyDescent="0.25">
      <c r="A492">
        <v>181947</v>
      </c>
      <c r="B492" t="s">
        <v>513</v>
      </c>
      <c r="C492" t="str">
        <f>"9780415322218"</f>
        <v>9780415322218</v>
      </c>
      <c r="D492" t="str">
        <f>"9780203299975"</f>
        <v>9780203299975</v>
      </c>
      <c r="E492" t="s">
        <v>15</v>
      </c>
      <c r="F492" t="s">
        <v>16</v>
      </c>
      <c r="G492" s="1">
        <v>38119</v>
      </c>
      <c r="H492" s="1">
        <v>38420</v>
      </c>
      <c r="I492" t="s">
        <v>12</v>
      </c>
      <c r="J492" t="s">
        <v>11262</v>
      </c>
    </row>
    <row r="493" spans="1:10" x14ac:dyDescent="0.25">
      <c r="A493">
        <v>181968</v>
      </c>
      <c r="B493" t="s">
        <v>514</v>
      </c>
      <c r="C493" t="str">
        <f>"9780415335072"</f>
        <v>9780415335072</v>
      </c>
      <c r="D493" t="str">
        <f>"9780203463758"</f>
        <v>9780203463758</v>
      </c>
      <c r="E493" t="s">
        <v>395</v>
      </c>
      <c r="F493" t="s">
        <v>16</v>
      </c>
      <c r="G493" s="1">
        <v>38108</v>
      </c>
      <c r="H493" s="1">
        <v>39977</v>
      </c>
      <c r="I493" t="s">
        <v>12</v>
      </c>
      <c r="J493" t="s">
        <v>11263</v>
      </c>
    </row>
    <row r="494" spans="1:10" x14ac:dyDescent="0.25">
      <c r="A494">
        <v>181969</v>
      </c>
      <c r="B494" t="s">
        <v>515</v>
      </c>
      <c r="C494" t="str">
        <f>"9780415335119"</f>
        <v>9780415335119</v>
      </c>
      <c r="D494" t="str">
        <f>"9780203416334"</f>
        <v>9780203416334</v>
      </c>
      <c r="E494" t="s">
        <v>15</v>
      </c>
      <c r="F494" t="s">
        <v>16</v>
      </c>
      <c r="G494" s="1">
        <v>37742</v>
      </c>
      <c r="H494" s="1">
        <v>38486</v>
      </c>
      <c r="I494" t="s">
        <v>12</v>
      </c>
      <c r="J494" t="s">
        <v>11264</v>
      </c>
    </row>
    <row r="495" spans="1:10" x14ac:dyDescent="0.25">
      <c r="A495">
        <v>181970</v>
      </c>
      <c r="B495" t="s">
        <v>516</v>
      </c>
      <c r="C495" t="str">
        <f>"9780415335126"</f>
        <v>9780415335126</v>
      </c>
      <c r="D495" t="str">
        <f>"9780203416082"</f>
        <v>9780203416082</v>
      </c>
      <c r="E495" t="s">
        <v>15</v>
      </c>
      <c r="F495" t="s">
        <v>16</v>
      </c>
      <c r="G495" s="1">
        <v>38114</v>
      </c>
      <c r="H495" s="1">
        <v>38771</v>
      </c>
      <c r="I495" t="s">
        <v>12</v>
      </c>
      <c r="J495" t="s">
        <v>11265</v>
      </c>
    </row>
    <row r="496" spans="1:10" x14ac:dyDescent="0.25">
      <c r="A496">
        <v>181971</v>
      </c>
      <c r="B496" t="s">
        <v>517</v>
      </c>
      <c r="C496" t="str">
        <f>"9780415335140"</f>
        <v>9780415335140</v>
      </c>
      <c r="D496" t="str">
        <f>"9780203426715"</f>
        <v>9780203426715</v>
      </c>
      <c r="E496" t="s">
        <v>15</v>
      </c>
      <c r="F496" t="s">
        <v>16</v>
      </c>
      <c r="G496" s="1">
        <v>38170</v>
      </c>
      <c r="H496" s="1">
        <v>38411</v>
      </c>
      <c r="I496" t="s">
        <v>12</v>
      </c>
      <c r="J496" t="s">
        <v>11266</v>
      </c>
    </row>
    <row r="497" spans="1:10" x14ac:dyDescent="0.25">
      <c r="A497">
        <v>181975</v>
      </c>
      <c r="B497" t="s">
        <v>518</v>
      </c>
      <c r="C497" t="str">
        <f>"9780415335201"</f>
        <v>9780415335201</v>
      </c>
      <c r="D497" t="str">
        <f>"9780203416198"</f>
        <v>9780203416198</v>
      </c>
      <c r="E497" t="s">
        <v>15</v>
      </c>
      <c r="F497" t="s">
        <v>16</v>
      </c>
      <c r="G497" s="1">
        <v>38461</v>
      </c>
      <c r="H497" s="1">
        <v>38588</v>
      </c>
      <c r="I497" t="s">
        <v>12</v>
      </c>
      <c r="J497" t="s">
        <v>11267</v>
      </c>
    </row>
    <row r="498" spans="1:10" x14ac:dyDescent="0.25">
      <c r="A498">
        <v>181977</v>
      </c>
      <c r="B498" t="s">
        <v>519</v>
      </c>
      <c r="C498" t="str">
        <f>"9780415335270"</f>
        <v>9780415335270</v>
      </c>
      <c r="D498" t="str">
        <f>"9780203416167"</f>
        <v>9780203416167</v>
      </c>
      <c r="E498" t="s">
        <v>15</v>
      </c>
      <c r="F498" t="s">
        <v>16</v>
      </c>
      <c r="G498" s="1">
        <v>38386</v>
      </c>
      <c r="H498" s="1">
        <v>38803</v>
      </c>
      <c r="I498" t="s">
        <v>12</v>
      </c>
      <c r="J498" t="s">
        <v>11268</v>
      </c>
    </row>
    <row r="499" spans="1:10" x14ac:dyDescent="0.25">
      <c r="A499">
        <v>181978</v>
      </c>
      <c r="B499" t="s">
        <v>520</v>
      </c>
      <c r="C499" t="str">
        <f>"9780415335287"</f>
        <v>9780415335287</v>
      </c>
      <c r="D499" t="str">
        <f>"9780203416242"</f>
        <v>9780203416242</v>
      </c>
      <c r="E499" t="s">
        <v>15</v>
      </c>
      <c r="F499" t="s">
        <v>16</v>
      </c>
      <c r="G499" s="1">
        <v>38254</v>
      </c>
      <c r="H499" s="1">
        <v>38412</v>
      </c>
      <c r="I499" t="s">
        <v>12</v>
      </c>
      <c r="J499" t="s">
        <v>11269</v>
      </c>
    </row>
    <row r="500" spans="1:10" x14ac:dyDescent="0.25">
      <c r="A500">
        <v>181979</v>
      </c>
      <c r="B500" t="s">
        <v>521</v>
      </c>
      <c r="C500" t="str">
        <f>"9780415335317"</f>
        <v>9780415335317</v>
      </c>
      <c r="D500" t="str">
        <f>"9780203416372"</f>
        <v>9780203416372</v>
      </c>
      <c r="E500" t="s">
        <v>15</v>
      </c>
      <c r="F500" t="s">
        <v>16</v>
      </c>
      <c r="G500" s="1">
        <v>38204</v>
      </c>
      <c r="H500" s="1">
        <v>38776</v>
      </c>
      <c r="I500" t="s">
        <v>12</v>
      </c>
      <c r="J500" t="s">
        <v>11270</v>
      </c>
    </row>
    <row r="501" spans="1:10" x14ac:dyDescent="0.25">
      <c r="A501">
        <v>181987</v>
      </c>
      <c r="B501" t="s">
        <v>522</v>
      </c>
      <c r="C501" t="str">
        <f>"9780415369831"</f>
        <v>9780415369831</v>
      </c>
      <c r="D501" t="str">
        <f>"9780203451243"</f>
        <v>9780203451243</v>
      </c>
      <c r="E501" t="s">
        <v>15</v>
      </c>
      <c r="F501" t="s">
        <v>16</v>
      </c>
      <c r="G501" s="1">
        <v>37556</v>
      </c>
      <c r="H501" s="1">
        <v>41199</v>
      </c>
      <c r="I501" t="s">
        <v>12</v>
      </c>
      <c r="J501" t="s">
        <v>11271</v>
      </c>
    </row>
    <row r="502" spans="1:10" x14ac:dyDescent="0.25">
      <c r="A502">
        <v>182016</v>
      </c>
      <c r="B502" t="s">
        <v>523</v>
      </c>
      <c r="C502" t="str">
        <f>"9780415945059"</f>
        <v>9780415945059</v>
      </c>
      <c r="D502" t="str">
        <f>"9780203465615"</f>
        <v>9780203465615</v>
      </c>
      <c r="E502" t="s">
        <v>15</v>
      </c>
      <c r="F502" t="s">
        <v>16</v>
      </c>
      <c r="G502" s="1">
        <v>37922</v>
      </c>
      <c r="H502" s="1">
        <v>38564</v>
      </c>
      <c r="I502" t="s">
        <v>12</v>
      </c>
      <c r="J502" t="s">
        <v>11272</v>
      </c>
    </row>
    <row r="503" spans="1:10" x14ac:dyDescent="0.25">
      <c r="A503">
        <v>182019</v>
      </c>
      <c r="B503" t="s">
        <v>524</v>
      </c>
      <c r="C503" t="str">
        <f>"9780415945653"</f>
        <v>9780415945653</v>
      </c>
      <c r="D503" t="str">
        <f>"9780203463956"</f>
        <v>9780203463956</v>
      </c>
      <c r="E503" t="s">
        <v>15</v>
      </c>
      <c r="F503" t="s">
        <v>16</v>
      </c>
      <c r="G503" s="1">
        <v>37917</v>
      </c>
      <c r="H503" s="1">
        <v>38525</v>
      </c>
      <c r="I503" t="s">
        <v>12</v>
      </c>
      <c r="J503" t="s">
        <v>11273</v>
      </c>
    </row>
    <row r="504" spans="1:10" x14ac:dyDescent="0.25">
      <c r="A504">
        <v>182082</v>
      </c>
      <c r="B504" t="s">
        <v>525</v>
      </c>
      <c r="C504" t="str">
        <f>"9781841695068"</f>
        <v>9781841695068</v>
      </c>
      <c r="D504" t="str">
        <f>"9780203463444"</f>
        <v>9780203463444</v>
      </c>
      <c r="E504" t="s">
        <v>15</v>
      </c>
      <c r="F504" t="s">
        <v>55</v>
      </c>
      <c r="G504" s="1">
        <v>38324</v>
      </c>
      <c r="H504" s="1">
        <v>38775</v>
      </c>
      <c r="I504" t="s">
        <v>12</v>
      </c>
      <c r="J504" t="s">
        <v>11274</v>
      </c>
    </row>
    <row r="505" spans="1:10" x14ac:dyDescent="0.25">
      <c r="A505">
        <v>182123</v>
      </c>
      <c r="B505" t="s">
        <v>526</v>
      </c>
      <c r="C505" t="str">
        <f>"9780415341356"</f>
        <v>9780415341356</v>
      </c>
      <c r="D505" t="str">
        <f>"9780203479353"</f>
        <v>9780203479353</v>
      </c>
      <c r="E505" t="s">
        <v>15</v>
      </c>
      <c r="F505" t="s">
        <v>16</v>
      </c>
      <c r="G505" s="1">
        <v>39323</v>
      </c>
      <c r="H505" s="1">
        <v>39474</v>
      </c>
      <c r="I505" t="s">
        <v>12</v>
      </c>
      <c r="J505" t="s">
        <v>11275</v>
      </c>
    </row>
    <row r="506" spans="1:10" x14ac:dyDescent="0.25">
      <c r="A506">
        <v>182125</v>
      </c>
      <c r="B506" t="s">
        <v>527</v>
      </c>
      <c r="C506" t="str">
        <f>"9780415341585"</f>
        <v>9780415341585</v>
      </c>
      <c r="D506" t="str">
        <f>"9780203332467"</f>
        <v>9780203332467</v>
      </c>
      <c r="E506" t="s">
        <v>16</v>
      </c>
      <c r="F506" t="s">
        <v>16</v>
      </c>
      <c r="G506" s="1">
        <v>38947</v>
      </c>
      <c r="H506" s="1">
        <v>38942</v>
      </c>
      <c r="I506" t="s">
        <v>12</v>
      </c>
      <c r="J506" t="s">
        <v>11276</v>
      </c>
    </row>
    <row r="507" spans="1:10" x14ac:dyDescent="0.25">
      <c r="A507">
        <v>182173</v>
      </c>
      <c r="B507" t="s">
        <v>528</v>
      </c>
      <c r="C507" t="str">
        <f>"9780415182652"</f>
        <v>9780415182652</v>
      </c>
      <c r="D507" t="str">
        <f>"9780203482001"</f>
        <v>9780203482001</v>
      </c>
      <c r="E507" t="s">
        <v>15</v>
      </c>
      <c r="F507" t="s">
        <v>16</v>
      </c>
      <c r="G507" s="1">
        <v>38825</v>
      </c>
      <c r="H507" s="1">
        <v>38830</v>
      </c>
      <c r="I507" t="s">
        <v>12</v>
      </c>
      <c r="J507" t="s">
        <v>11277</v>
      </c>
    </row>
    <row r="508" spans="1:10" x14ac:dyDescent="0.25">
      <c r="A508">
        <v>182189</v>
      </c>
      <c r="B508" t="s">
        <v>529</v>
      </c>
      <c r="C508" t="str">
        <f>"9780415228251"</f>
        <v>9780415228251</v>
      </c>
      <c r="D508" t="str">
        <f>"9780203499009"</f>
        <v>9780203499009</v>
      </c>
      <c r="E508" t="s">
        <v>15</v>
      </c>
      <c r="F508" t="s">
        <v>16</v>
      </c>
      <c r="G508" s="1">
        <v>38189</v>
      </c>
      <c r="H508" s="1">
        <v>38413</v>
      </c>
      <c r="I508" t="s">
        <v>12</v>
      </c>
      <c r="J508" t="s">
        <v>11278</v>
      </c>
    </row>
    <row r="509" spans="1:10" x14ac:dyDescent="0.25">
      <c r="A509">
        <v>182197</v>
      </c>
      <c r="B509" t="s">
        <v>530</v>
      </c>
      <c r="C509" t="str">
        <f>"9780415235983"</f>
        <v>9780415235983</v>
      </c>
      <c r="D509" t="str">
        <f>"9781482267600"</f>
        <v>9781482267600</v>
      </c>
      <c r="E509" t="s">
        <v>15</v>
      </c>
      <c r="F509" t="s">
        <v>139</v>
      </c>
      <c r="G509" s="1">
        <v>38373</v>
      </c>
      <c r="H509" s="1">
        <v>38770</v>
      </c>
      <c r="I509" t="s">
        <v>12</v>
      </c>
      <c r="J509" t="s">
        <v>11279</v>
      </c>
    </row>
    <row r="510" spans="1:10" x14ac:dyDescent="0.25">
      <c r="A510">
        <v>182206</v>
      </c>
      <c r="B510" t="s">
        <v>531</v>
      </c>
      <c r="C510" t="str">
        <f>"9780415246378"</f>
        <v>9780415246378</v>
      </c>
      <c r="D510" t="str">
        <f>"9780203639078"</f>
        <v>9780203639078</v>
      </c>
      <c r="E510" t="s">
        <v>15</v>
      </c>
      <c r="F510" t="s">
        <v>153</v>
      </c>
      <c r="G510" s="1">
        <v>38047</v>
      </c>
      <c r="H510" s="1">
        <v>38491</v>
      </c>
      <c r="I510" t="s">
        <v>12</v>
      </c>
      <c r="J510" t="s">
        <v>11280</v>
      </c>
    </row>
    <row r="511" spans="1:10" x14ac:dyDescent="0.25">
      <c r="A511">
        <v>182219</v>
      </c>
      <c r="B511" t="s">
        <v>532</v>
      </c>
      <c r="C511" t="str">
        <f>"9780415251822"</f>
        <v>9780415251822</v>
      </c>
      <c r="D511" t="str">
        <f>"9780203495025"</f>
        <v>9780203495025</v>
      </c>
      <c r="E511" t="s">
        <v>15</v>
      </c>
      <c r="F511" t="s">
        <v>16</v>
      </c>
      <c r="G511" s="1">
        <v>38258</v>
      </c>
      <c r="H511" s="1">
        <v>38771</v>
      </c>
      <c r="I511" t="s">
        <v>12</v>
      </c>
      <c r="J511" t="s">
        <v>11281</v>
      </c>
    </row>
    <row r="512" spans="1:10" x14ac:dyDescent="0.25">
      <c r="A512">
        <v>182222</v>
      </c>
      <c r="B512" t="s">
        <v>533</v>
      </c>
      <c r="C512" t="str">
        <f>"9780415252256"</f>
        <v>9780415252256</v>
      </c>
      <c r="D512" t="str">
        <f>"9780203484234"</f>
        <v>9780203484234</v>
      </c>
      <c r="E512" t="s">
        <v>15</v>
      </c>
      <c r="F512" t="s">
        <v>16</v>
      </c>
      <c r="G512" s="1">
        <v>38545</v>
      </c>
      <c r="H512" s="1">
        <v>38771</v>
      </c>
      <c r="I512" t="s">
        <v>12</v>
      </c>
      <c r="J512" t="s">
        <v>11282</v>
      </c>
    </row>
    <row r="513" spans="1:10" x14ac:dyDescent="0.25">
      <c r="A513">
        <v>182224</v>
      </c>
      <c r="B513" t="s">
        <v>534</v>
      </c>
      <c r="C513" t="str">
        <f>"9780415253123"</f>
        <v>9780415253123</v>
      </c>
      <c r="D513" t="str">
        <f>"9780203491102"</f>
        <v>9780203491102</v>
      </c>
      <c r="E513" t="s">
        <v>15</v>
      </c>
      <c r="F513" t="s">
        <v>16</v>
      </c>
      <c r="G513" s="1">
        <v>38124</v>
      </c>
      <c r="H513" s="1">
        <v>38635</v>
      </c>
      <c r="I513" t="s">
        <v>12</v>
      </c>
      <c r="J513" t="s">
        <v>11283</v>
      </c>
    </row>
    <row r="514" spans="1:10" x14ac:dyDescent="0.25">
      <c r="A514">
        <v>182231</v>
      </c>
      <c r="B514" t="s">
        <v>535</v>
      </c>
      <c r="C514" t="str">
        <f>"9780415256438"</f>
        <v>9780415256438</v>
      </c>
      <c r="D514" t="str">
        <f>"9780203507377"</f>
        <v>9780203507377</v>
      </c>
      <c r="E514" t="s">
        <v>15</v>
      </c>
      <c r="F514" t="s">
        <v>16</v>
      </c>
      <c r="G514" s="1">
        <v>38925</v>
      </c>
      <c r="H514" s="1">
        <v>38990</v>
      </c>
      <c r="I514" t="s">
        <v>12</v>
      </c>
      <c r="J514" t="s">
        <v>11284</v>
      </c>
    </row>
    <row r="515" spans="1:10" x14ac:dyDescent="0.25">
      <c r="A515">
        <v>182253</v>
      </c>
      <c r="B515" t="s">
        <v>536</v>
      </c>
      <c r="C515" t="str">
        <f>"9780415259507"</f>
        <v>9780415259507</v>
      </c>
      <c r="D515" t="str">
        <f>"9780203634387"</f>
        <v>9780203634387</v>
      </c>
      <c r="E515" t="s">
        <v>15</v>
      </c>
      <c r="F515" t="s">
        <v>16</v>
      </c>
      <c r="G515" s="1">
        <v>37915</v>
      </c>
      <c r="H515" s="1">
        <v>38419</v>
      </c>
      <c r="I515" t="s">
        <v>12</v>
      </c>
      <c r="J515" t="s">
        <v>11285</v>
      </c>
    </row>
    <row r="516" spans="1:10" x14ac:dyDescent="0.25">
      <c r="A516">
        <v>182263</v>
      </c>
      <c r="B516" t="s">
        <v>537</v>
      </c>
      <c r="C516" t="str">
        <f>"9780415262132"</f>
        <v>9780415262132</v>
      </c>
      <c r="D516" t="str">
        <f>"9780203422823"</f>
        <v>9780203422823</v>
      </c>
      <c r="E516" t="s">
        <v>15</v>
      </c>
      <c r="F516" t="s">
        <v>16</v>
      </c>
      <c r="G516" s="1">
        <v>37757</v>
      </c>
      <c r="H516" s="1">
        <v>38647</v>
      </c>
      <c r="I516" t="s">
        <v>12</v>
      </c>
      <c r="J516" t="s">
        <v>11286</v>
      </c>
    </row>
    <row r="517" spans="1:10" x14ac:dyDescent="0.25">
      <c r="A517">
        <v>182271</v>
      </c>
      <c r="B517" t="s">
        <v>538</v>
      </c>
      <c r="C517" t="str">
        <f>"9780415263788"</f>
        <v>9780415263788</v>
      </c>
      <c r="D517" t="str">
        <f>"9780203380536"</f>
        <v>9780203380536</v>
      </c>
      <c r="E517" t="s">
        <v>15</v>
      </c>
      <c r="F517" t="s">
        <v>16</v>
      </c>
      <c r="G517" s="1">
        <v>41773</v>
      </c>
      <c r="H517" s="1">
        <v>38666</v>
      </c>
      <c r="I517" t="s">
        <v>12</v>
      </c>
      <c r="J517" t="s">
        <v>11287</v>
      </c>
    </row>
    <row r="518" spans="1:10" x14ac:dyDescent="0.25">
      <c r="A518">
        <v>182277</v>
      </c>
      <c r="B518" t="s">
        <v>539</v>
      </c>
      <c r="C518" t="str">
        <f>"9780415267076"</f>
        <v>9780415267076</v>
      </c>
      <c r="D518" t="str">
        <f>"9780203484333"</f>
        <v>9780203484333</v>
      </c>
      <c r="E518" t="s">
        <v>15</v>
      </c>
      <c r="F518" t="s">
        <v>16</v>
      </c>
      <c r="G518" s="1">
        <v>38706</v>
      </c>
      <c r="H518" s="1">
        <v>38771</v>
      </c>
      <c r="I518" t="s">
        <v>12</v>
      </c>
      <c r="J518" t="s">
        <v>11288</v>
      </c>
    </row>
    <row r="519" spans="1:10" x14ac:dyDescent="0.25">
      <c r="A519">
        <v>182286</v>
      </c>
      <c r="B519" t="s">
        <v>540</v>
      </c>
      <c r="C519" t="str">
        <f>"9780415270557"</f>
        <v>9780415270557</v>
      </c>
      <c r="D519" t="str">
        <f>"9780203634479"</f>
        <v>9780203634479</v>
      </c>
      <c r="E519" t="s">
        <v>144</v>
      </c>
      <c r="F519" t="s">
        <v>16</v>
      </c>
      <c r="G519" s="1">
        <v>37831</v>
      </c>
      <c r="H519" s="1">
        <v>38806</v>
      </c>
      <c r="I519" t="s">
        <v>12</v>
      </c>
      <c r="J519" t="s">
        <v>11289</v>
      </c>
    </row>
    <row r="520" spans="1:10" x14ac:dyDescent="0.25">
      <c r="A520">
        <v>182287</v>
      </c>
      <c r="B520" t="s">
        <v>541</v>
      </c>
      <c r="C520" t="str">
        <f>"9780415270618"</f>
        <v>9780415270618</v>
      </c>
      <c r="D520" t="str">
        <f>"9780203488447"</f>
        <v>9780203488447</v>
      </c>
      <c r="E520" t="s">
        <v>16</v>
      </c>
      <c r="F520" t="s">
        <v>16</v>
      </c>
      <c r="G520" s="1">
        <v>38162</v>
      </c>
      <c r="H520" s="1">
        <v>38411</v>
      </c>
      <c r="I520" t="s">
        <v>12</v>
      </c>
      <c r="J520" t="s">
        <v>11290</v>
      </c>
    </row>
    <row r="521" spans="1:10" x14ac:dyDescent="0.25">
      <c r="A521">
        <v>182291</v>
      </c>
      <c r="B521" t="s">
        <v>542</v>
      </c>
      <c r="C521" t="str">
        <f>"9780415271646"</f>
        <v>9780415271646</v>
      </c>
      <c r="D521" t="str">
        <f>"9780203496060"</f>
        <v>9780203496060</v>
      </c>
      <c r="E521" t="s">
        <v>15</v>
      </c>
      <c r="F521" t="s">
        <v>16</v>
      </c>
      <c r="G521" s="1">
        <v>38254</v>
      </c>
      <c r="H521" s="1">
        <v>38646</v>
      </c>
      <c r="I521" t="s">
        <v>12</v>
      </c>
      <c r="J521" t="s">
        <v>11291</v>
      </c>
    </row>
    <row r="522" spans="1:10" x14ac:dyDescent="0.25">
      <c r="A522">
        <v>182292</v>
      </c>
      <c r="B522" t="s">
        <v>543</v>
      </c>
      <c r="C522" t="str">
        <f>"9780415271707"</f>
        <v>9780415271707</v>
      </c>
      <c r="D522" t="str">
        <f>"9780203428238"</f>
        <v>9780203428238</v>
      </c>
      <c r="E522" t="s">
        <v>15</v>
      </c>
      <c r="F522" t="s">
        <v>16</v>
      </c>
      <c r="G522" s="1">
        <v>37932</v>
      </c>
      <c r="H522" s="1">
        <v>38169</v>
      </c>
      <c r="I522" t="s">
        <v>12</v>
      </c>
      <c r="J522" t="s">
        <v>11292</v>
      </c>
    </row>
    <row r="523" spans="1:10" x14ac:dyDescent="0.25">
      <c r="A523">
        <v>182293</v>
      </c>
      <c r="B523" t="s">
        <v>544</v>
      </c>
      <c r="C523" t="str">
        <f>"9780415272711"</f>
        <v>9780415272711</v>
      </c>
      <c r="D523" t="str">
        <f>"9780203495100"</f>
        <v>9780203495100</v>
      </c>
      <c r="E523" t="s">
        <v>15</v>
      </c>
      <c r="F523" t="s">
        <v>16</v>
      </c>
      <c r="G523" s="1">
        <v>38588</v>
      </c>
      <c r="H523" s="1">
        <v>38655</v>
      </c>
      <c r="I523" t="s">
        <v>12</v>
      </c>
      <c r="J523" t="s">
        <v>11293</v>
      </c>
    </row>
    <row r="524" spans="1:10" x14ac:dyDescent="0.25">
      <c r="A524">
        <v>182298</v>
      </c>
      <c r="B524" t="s">
        <v>545</v>
      </c>
      <c r="C524" t="str">
        <f>"9780415273152"</f>
        <v>9780415273152</v>
      </c>
      <c r="D524" t="str">
        <f>"9780203428351"</f>
        <v>9780203428351</v>
      </c>
      <c r="E524" t="s">
        <v>15</v>
      </c>
      <c r="F524" t="s">
        <v>16</v>
      </c>
      <c r="G524" s="1">
        <v>38139</v>
      </c>
      <c r="H524" s="1">
        <v>38600</v>
      </c>
      <c r="I524" t="s">
        <v>12</v>
      </c>
      <c r="J524" t="s">
        <v>11294</v>
      </c>
    </row>
    <row r="525" spans="1:10" x14ac:dyDescent="0.25">
      <c r="A525">
        <v>182301</v>
      </c>
      <c r="B525" t="s">
        <v>546</v>
      </c>
      <c r="C525" t="str">
        <f>"9780415273893"</f>
        <v>9780415273893</v>
      </c>
      <c r="D525" t="str">
        <f>"9780203501924"</f>
        <v>9780203501924</v>
      </c>
      <c r="E525" t="s">
        <v>15</v>
      </c>
      <c r="F525" t="s">
        <v>16</v>
      </c>
      <c r="G525" s="1">
        <v>38259</v>
      </c>
      <c r="H525" s="1">
        <v>38428</v>
      </c>
      <c r="I525" t="s">
        <v>12</v>
      </c>
      <c r="J525" t="s">
        <v>11295</v>
      </c>
    </row>
    <row r="526" spans="1:10" x14ac:dyDescent="0.25">
      <c r="A526">
        <v>182321</v>
      </c>
      <c r="B526" t="s">
        <v>547</v>
      </c>
      <c r="C526" t="str">
        <f>"9780415278140"</f>
        <v>9780415278140</v>
      </c>
      <c r="D526" t="str">
        <f>"9780203491393"</f>
        <v>9780203491393</v>
      </c>
      <c r="E526" t="s">
        <v>15</v>
      </c>
      <c r="F526" t="s">
        <v>16</v>
      </c>
      <c r="G526" s="1">
        <v>38852</v>
      </c>
      <c r="H526" s="1">
        <v>39218</v>
      </c>
      <c r="I526" t="s">
        <v>12</v>
      </c>
      <c r="J526" t="s">
        <v>11296</v>
      </c>
    </row>
    <row r="527" spans="1:10" x14ac:dyDescent="0.25">
      <c r="A527">
        <v>182322</v>
      </c>
      <c r="B527" t="s">
        <v>548</v>
      </c>
      <c r="C527" t="str">
        <f>"9780415278201"</f>
        <v>9780415278201</v>
      </c>
      <c r="D527" t="str">
        <f>"9780203634561"</f>
        <v>9780203634561</v>
      </c>
      <c r="E527" t="s">
        <v>15</v>
      </c>
      <c r="F527" t="s">
        <v>153</v>
      </c>
      <c r="G527" s="1">
        <v>37973</v>
      </c>
      <c r="H527" s="1">
        <v>40037</v>
      </c>
      <c r="I527" t="s">
        <v>12</v>
      </c>
      <c r="J527" t="s">
        <v>11297</v>
      </c>
    </row>
    <row r="528" spans="1:10" x14ac:dyDescent="0.25">
      <c r="A528">
        <v>182329</v>
      </c>
      <c r="B528" t="s">
        <v>549</v>
      </c>
      <c r="C528" t="str">
        <f>"9780415279420"</f>
        <v>9780415279420</v>
      </c>
      <c r="D528" t="str">
        <f>"9780203507407"</f>
        <v>9780203507407</v>
      </c>
      <c r="E528" t="s">
        <v>15</v>
      </c>
      <c r="F528" t="s">
        <v>16</v>
      </c>
      <c r="G528" s="1">
        <v>39385</v>
      </c>
      <c r="H528" s="1">
        <v>39470</v>
      </c>
      <c r="I528" t="s">
        <v>12</v>
      </c>
      <c r="J528" t="s">
        <v>11298</v>
      </c>
    </row>
    <row r="529" spans="1:10" x14ac:dyDescent="0.25">
      <c r="A529">
        <v>182351</v>
      </c>
      <c r="B529" t="s">
        <v>550</v>
      </c>
      <c r="C529" t="str">
        <f>"9780415281034"</f>
        <v>9780415281034</v>
      </c>
      <c r="D529" t="str">
        <f>"9780203493632"</f>
        <v>9780203493632</v>
      </c>
      <c r="E529" t="s">
        <v>16</v>
      </c>
      <c r="F529" t="s">
        <v>16</v>
      </c>
      <c r="G529" s="1">
        <v>38502</v>
      </c>
      <c r="H529" s="1">
        <v>38811</v>
      </c>
      <c r="I529" t="s">
        <v>12</v>
      </c>
      <c r="J529" t="s">
        <v>11299</v>
      </c>
    </row>
    <row r="530" spans="1:10" x14ac:dyDescent="0.25">
      <c r="A530">
        <v>182354</v>
      </c>
      <c r="B530" t="s">
        <v>551</v>
      </c>
      <c r="C530" t="str">
        <f>"9780415281546"</f>
        <v>9780415281546</v>
      </c>
      <c r="D530" t="str">
        <f>"9780203380659"</f>
        <v>9780203380659</v>
      </c>
      <c r="E530" t="s">
        <v>15</v>
      </c>
      <c r="F530" t="s">
        <v>16</v>
      </c>
      <c r="G530" s="1">
        <v>42264</v>
      </c>
      <c r="H530" s="1">
        <v>39176</v>
      </c>
      <c r="I530" t="s">
        <v>12</v>
      </c>
      <c r="J530" t="s">
        <v>11300</v>
      </c>
    </row>
    <row r="531" spans="1:10" x14ac:dyDescent="0.25">
      <c r="A531">
        <v>182357</v>
      </c>
      <c r="B531" t="s">
        <v>552</v>
      </c>
      <c r="C531" t="str">
        <f>"9780415282109"</f>
        <v>9780415282109</v>
      </c>
      <c r="D531" t="str">
        <f>"9780203495933"</f>
        <v>9780203495933</v>
      </c>
      <c r="E531" t="s">
        <v>16</v>
      </c>
      <c r="F531" t="s">
        <v>16</v>
      </c>
      <c r="G531" s="1">
        <v>38814</v>
      </c>
      <c r="H531" s="1">
        <v>38836</v>
      </c>
      <c r="I531" t="s">
        <v>12</v>
      </c>
      <c r="J531" t="s">
        <v>11301</v>
      </c>
    </row>
    <row r="532" spans="1:10" x14ac:dyDescent="0.25">
      <c r="A532">
        <v>182373</v>
      </c>
      <c r="B532" t="s">
        <v>553</v>
      </c>
      <c r="C532" t="str">
        <f>"9780415283564"</f>
        <v>9780415283564</v>
      </c>
      <c r="D532" t="str">
        <f>"9780203506455"</f>
        <v>9780203506455</v>
      </c>
      <c r="E532" t="s">
        <v>16</v>
      </c>
      <c r="F532" t="s">
        <v>16</v>
      </c>
      <c r="G532" s="1">
        <v>38127</v>
      </c>
      <c r="H532" s="1">
        <v>40374</v>
      </c>
      <c r="I532" t="s">
        <v>12</v>
      </c>
      <c r="J532" t="s">
        <v>11302</v>
      </c>
    </row>
    <row r="533" spans="1:10" x14ac:dyDescent="0.25">
      <c r="A533">
        <v>182375</v>
      </c>
      <c r="B533" t="s">
        <v>554</v>
      </c>
      <c r="C533" t="str">
        <f>"9780415284080"</f>
        <v>9780415284080</v>
      </c>
      <c r="D533" t="str">
        <f>"9780203495964"</f>
        <v>9780203495964</v>
      </c>
      <c r="E533" t="s">
        <v>15</v>
      </c>
      <c r="F533" t="s">
        <v>16</v>
      </c>
      <c r="G533" s="1">
        <v>38254</v>
      </c>
      <c r="H533" s="1">
        <v>38411</v>
      </c>
      <c r="I533" t="s">
        <v>12</v>
      </c>
      <c r="J533" t="s">
        <v>11303</v>
      </c>
    </row>
    <row r="534" spans="1:10" x14ac:dyDescent="0.25">
      <c r="A534">
        <v>182376</v>
      </c>
      <c r="B534" t="s">
        <v>555</v>
      </c>
      <c r="C534" t="str">
        <f>"9780415284455"</f>
        <v>9780415284455</v>
      </c>
      <c r="D534" t="str">
        <f>"9780203503829"</f>
        <v>9780203503829</v>
      </c>
      <c r="E534" t="s">
        <v>15</v>
      </c>
      <c r="F534" t="s">
        <v>16</v>
      </c>
      <c r="G534" s="1">
        <v>39350</v>
      </c>
      <c r="H534" s="1">
        <v>39369</v>
      </c>
      <c r="I534" t="s">
        <v>12</v>
      </c>
      <c r="J534" t="s">
        <v>11304</v>
      </c>
    </row>
    <row r="535" spans="1:10" x14ac:dyDescent="0.25">
      <c r="A535">
        <v>182383</v>
      </c>
      <c r="B535" t="s">
        <v>556</v>
      </c>
      <c r="C535" t="str">
        <f>"9780415286114"</f>
        <v>9780415286114</v>
      </c>
      <c r="D535" t="str">
        <f>"9781420023862"</f>
        <v>9781420023862</v>
      </c>
      <c r="E535" t="s">
        <v>144</v>
      </c>
      <c r="F535" t="s">
        <v>139</v>
      </c>
      <c r="G535" s="1">
        <v>38000</v>
      </c>
      <c r="H535" s="1">
        <v>38638</v>
      </c>
      <c r="I535" t="s">
        <v>12</v>
      </c>
      <c r="J535" t="s">
        <v>11305</v>
      </c>
    </row>
    <row r="536" spans="1:10" x14ac:dyDescent="0.25">
      <c r="A536">
        <v>182386</v>
      </c>
      <c r="B536" t="s">
        <v>557</v>
      </c>
      <c r="C536" t="str">
        <f>"9780415286459"</f>
        <v>9780415286459</v>
      </c>
      <c r="D536" t="str">
        <f>"9781482265187"</f>
        <v>9781482265187</v>
      </c>
      <c r="E536" t="s">
        <v>15</v>
      </c>
      <c r="F536" t="s">
        <v>139</v>
      </c>
      <c r="G536" s="1">
        <v>38496</v>
      </c>
      <c r="H536" s="1">
        <v>38774</v>
      </c>
      <c r="I536" t="s">
        <v>12</v>
      </c>
      <c r="J536" t="s">
        <v>11306</v>
      </c>
    </row>
    <row r="537" spans="1:10" x14ac:dyDescent="0.25">
      <c r="A537">
        <v>182397</v>
      </c>
      <c r="B537" t="s">
        <v>558</v>
      </c>
      <c r="C537" t="str">
        <f>"9780415287241"</f>
        <v>9780415287241</v>
      </c>
      <c r="D537" t="str">
        <f>"9780203495780"</f>
        <v>9780203495780</v>
      </c>
      <c r="E537" t="s">
        <v>15</v>
      </c>
      <c r="F537" t="s">
        <v>16</v>
      </c>
      <c r="G537" s="1">
        <v>38174</v>
      </c>
      <c r="H537" s="1">
        <v>38315</v>
      </c>
      <c r="I537" t="s">
        <v>12</v>
      </c>
      <c r="J537" t="s">
        <v>11307</v>
      </c>
    </row>
    <row r="538" spans="1:10" x14ac:dyDescent="0.25">
      <c r="A538">
        <v>182438</v>
      </c>
      <c r="B538" t="s">
        <v>559</v>
      </c>
      <c r="C538" t="str">
        <f>"9780415296526"</f>
        <v>9780415296526</v>
      </c>
      <c r="D538" t="str">
        <f>"9780203508381"</f>
        <v>9780203508381</v>
      </c>
      <c r="E538" t="s">
        <v>15</v>
      </c>
      <c r="F538" t="s">
        <v>16</v>
      </c>
      <c r="G538" s="1">
        <v>38730</v>
      </c>
      <c r="H538" s="1">
        <v>38775</v>
      </c>
      <c r="I538" t="s">
        <v>12</v>
      </c>
      <c r="J538" t="s">
        <v>11308</v>
      </c>
    </row>
    <row r="539" spans="1:10" x14ac:dyDescent="0.25">
      <c r="A539">
        <v>182458</v>
      </c>
      <c r="B539" t="s">
        <v>560</v>
      </c>
      <c r="C539" t="str">
        <f>"9780415298773"</f>
        <v>9780415298773</v>
      </c>
      <c r="D539" t="str">
        <f>"9780203483480"</f>
        <v>9780203483480</v>
      </c>
      <c r="E539" t="s">
        <v>15</v>
      </c>
      <c r="F539" t="s">
        <v>16</v>
      </c>
      <c r="G539" s="1">
        <v>38036</v>
      </c>
      <c r="H539" s="1">
        <v>38169</v>
      </c>
      <c r="I539" t="s">
        <v>12</v>
      </c>
      <c r="J539" t="s">
        <v>11309</v>
      </c>
    </row>
    <row r="540" spans="1:10" x14ac:dyDescent="0.25">
      <c r="A540">
        <v>182469</v>
      </c>
      <c r="B540" t="s">
        <v>561</v>
      </c>
      <c r="C540" t="str">
        <f>"9780415299787"</f>
        <v>9780415299787</v>
      </c>
      <c r="D540" t="str">
        <f>"9780203633984"</f>
        <v>9780203633984</v>
      </c>
      <c r="E540" t="s">
        <v>15</v>
      </c>
      <c r="F540" t="s">
        <v>16</v>
      </c>
      <c r="G540" s="1">
        <v>37973</v>
      </c>
      <c r="H540" s="1">
        <v>38411</v>
      </c>
      <c r="I540" t="s">
        <v>12</v>
      </c>
      <c r="J540" t="s">
        <v>11310</v>
      </c>
    </row>
    <row r="541" spans="1:10" x14ac:dyDescent="0.25">
      <c r="A541">
        <v>182476</v>
      </c>
      <c r="B541" t="s">
        <v>562</v>
      </c>
      <c r="C541" t="str">
        <f>"9780415300162"</f>
        <v>9780415300162</v>
      </c>
      <c r="D541" t="str">
        <f>"9780203506004"</f>
        <v>9780203506004</v>
      </c>
      <c r="E541" t="s">
        <v>15</v>
      </c>
      <c r="F541" t="s">
        <v>16</v>
      </c>
      <c r="G541" s="1">
        <v>38394</v>
      </c>
      <c r="H541" s="1">
        <v>38782</v>
      </c>
      <c r="I541" t="s">
        <v>12</v>
      </c>
      <c r="J541" t="s">
        <v>11311</v>
      </c>
    </row>
    <row r="542" spans="1:10" x14ac:dyDescent="0.25">
      <c r="A542">
        <v>182480</v>
      </c>
      <c r="B542" t="s">
        <v>563</v>
      </c>
      <c r="C542" t="str">
        <f>"9780415300537"</f>
        <v>9780415300537</v>
      </c>
      <c r="D542" t="str">
        <f>"9780203501566"</f>
        <v>9780203501566</v>
      </c>
      <c r="E542" t="s">
        <v>16</v>
      </c>
      <c r="F542" t="s">
        <v>16</v>
      </c>
      <c r="G542" s="1">
        <v>38183</v>
      </c>
      <c r="H542" s="1">
        <v>38931</v>
      </c>
      <c r="I542" t="s">
        <v>12</v>
      </c>
      <c r="J542" t="s">
        <v>11312</v>
      </c>
    </row>
    <row r="543" spans="1:10" x14ac:dyDescent="0.25">
      <c r="A543">
        <v>182491</v>
      </c>
      <c r="B543" t="s">
        <v>564</v>
      </c>
      <c r="C543" t="str">
        <f>"9780415301824"</f>
        <v>9780415301824</v>
      </c>
      <c r="D543" t="str">
        <f>"9780203426401"</f>
        <v>9780203426401</v>
      </c>
      <c r="E543" t="s">
        <v>16</v>
      </c>
      <c r="F543" t="s">
        <v>16</v>
      </c>
      <c r="G543" s="1">
        <v>37756</v>
      </c>
      <c r="H543" s="1">
        <v>39175</v>
      </c>
      <c r="I543" t="s">
        <v>12</v>
      </c>
      <c r="J543" t="s">
        <v>11313</v>
      </c>
    </row>
    <row r="544" spans="1:10" x14ac:dyDescent="0.25">
      <c r="A544">
        <v>182504</v>
      </c>
      <c r="B544" t="s">
        <v>565</v>
      </c>
      <c r="C544" t="str">
        <f>"9780415302661"</f>
        <v>9780415302661</v>
      </c>
      <c r="D544" t="str">
        <f>"9780203633908"</f>
        <v>9780203633908</v>
      </c>
      <c r="E544" t="s">
        <v>15</v>
      </c>
      <c r="F544" t="s">
        <v>16</v>
      </c>
      <c r="G544" s="1">
        <v>37978</v>
      </c>
      <c r="H544" s="1">
        <v>38707</v>
      </c>
      <c r="I544" t="s">
        <v>12</v>
      </c>
      <c r="J544" t="s">
        <v>11314</v>
      </c>
    </row>
    <row r="545" spans="1:10" x14ac:dyDescent="0.25">
      <c r="A545">
        <v>182535</v>
      </c>
      <c r="B545" t="s">
        <v>566</v>
      </c>
      <c r="C545" t="str">
        <f>"9780415307291"</f>
        <v>9780415307291</v>
      </c>
      <c r="D545" t="str">
        <f>"9780203622827"</f>
        <v>9780203622827</v>
      </c>
      <c r="E545" t="s">
        <v>15</v>
      </c>
      <c r="F545" t="s">
        <v>16</v>
      </c>
      <c r="G545" s="1">
        <v>38183</v>
      </c>
      <c r="H545" s="1">
        <v>38648</v>
      </c>
      <c r="I545" t="s">
        <v>12</v>
      </c>
      <c r="J545" t="s">
        <v>11315</v>
      </c>
    </row>
    <row r="546" spans="1:10" x14ac:dyDescent="0.25">
      <c r="A546">
        <v>182539</v>
      </c>
      <c r="B546" t="s">
        <v>567</v>
      </c>
      <c r="C546" t="str">
        <f>"9780415308090"</f>
        <v>9780415308090</v>
      </c>
      <c r="D546" t="str">
        <f>"9780203500026"</f>
        <v>9780203500026</v>
      </c>
      <c r="E546" t="s">
        <v>15</v>
      </c>
      <c r="F546" t="s">
        <v>16</v>
      </c>
      <c r="G546" s="1">
        <v>38056</v>
      </c>
      <c r="H546" s="1">
        <v>38428</v>
      </c>
      <c r="I546" t="s">
        <v>12</v>
      </c>
      <c r="J546" t="s">
        <v>11316</v>
      </c>
    </row>
    <row r="547" spans="1:10" x14ac:dyDescent="0.25">
      <c r="A547">
        <v>182545</v>
      </c>
      <c r="B547" t="s">
        <v>568</v>
      </c>
      <c r="C547" t="str">
        <f>"9780415308847"</f>
        <v>9780415308847</v>
      </c>
      <c r="D547" t="str">
        <f>"9780203633649"</f>
        <v>9780203633649</v>
      </c>
      <c r="E547" t="s">
        <v>15</v>
      </c>
      <c r="F547" t="s">
        <v>16</v>
      </c>
      <c r="G547" s="1">
        <v>37911</v>
      </c>
      <c r="H547" s="1">
        <v>38427</v>
      </c>
      <c r="I547" t="s">
        <v>12</v>
      </c>
      <c r="J547" t="s">
        <v>11317</v>
      </c>
    </row>
    <row r="548" spans="1:10" x14ac:dyDescent="0.25">
      <c r="A548">
        <v>182554</v>
      </c>
      <c r="B548" t="s">
        <v>569</v>
      </c>
      <c r="C548" t="str">
        <f>"9780415309837"</f>
        <v>9780415309837</v>
      </c>
      <c r="D548" t="str">
        <f>"9780203406953"</f>
        <v>9780203406953</v>
      </c>
      <c r="E548" t="s">
        <v>15</v>
      </c>
      <c r="F548" t="s">
        <v>16</v>
      </c>
      <c r="G548" s="1">
        <v>37958</v>
      </c>
      <c r="H548" s="1">
        <v>38411</v>
      </c>
      <c r="I548" t="s">
        <v>12</v>
      </c>
      <c r="J548" t="s">
        <v>11318</v>
      </c>
    </row>
    <row r="549" spans="1:10" x14ac:dyDescent="0.25">
      <c r="A549">
        <v>182557</v>
      </c>
      <c r="B549" t="s">
        <v>570</v>
      </c>
      <c r="C549" t="str">
        <f>"9780415309929"</f>
        <v>9780415309929</v>
      </c>
      <c r="D549" t="str">
        <f>"9780203401064"</f>
        <v>9780203401064</v>
      </c>
      <c r="E549" t="s">
        <v>15</v>
      </c>
      <c r="F549" t="s">
        <v>16</v>
      </c>
      <c r="G549" s="1">
        <v>37831</v>
      </c>
      <c r="H549" s="1">
        <v>38411</v>
      </c>
      <c r="I549" t="s">
        <v>12</v>
      </c>
      <c r="J549" t="s">
        <v>11319</v>
      </c>
    </row>
    <row r="550" spans="1:10" x14ac:dyDescent="0.25">
      <c r="A550">
        <v>182574</v>
      </c>
      <c r="B550" t="s">
        <v>571</v>
      </c>
      <c r="C550" t="str">
        <f>"9780415312660"</f>
        <v>9780415312660</v>
      </c>
      <c r="D550" t="str">
        <f>"9780203504918"</f>
        <v>9780203504918</v>
      </c>
      <c r="E550" t="s">
        <v>15</v>
      </c>
      <c r="F550" t="s">
        <v>139</v>
      </c>
      <c r="G550" s="1">
        <v>37728</v>
      </c>
      <c r="H550" s="1">
        <v>38664</v>
      </c>
      <c r="I550" t="s">
        <v>12</v>
      </c>
      <c r="J550" t="s">
        <v>11320</v>
      </c>
    </row>
    <row r="551" spans="1:10" x14ac:dyDescent="0.25">
      <c r="A551">
        <v>182578</v>
      </c>
      <c r="B551" t="s">
        <v>572</v>
      </c>
      <c r="C551" t="str">
        <f>"9780415312806"</f>
        <v>9780415312806</v>
      </c>
      <c r="D551" t="str">
        <f>"9780203426616"</f>
        <v>9780203426616</v>
      </c>
      <c r="E551" t="s">
        <v>15</v>
      </c>
      <c r="F551" t="s">
        <v>16</v>
      </c>
      <c r="G551" s="1">
        <v>37854</v>
      </c>
      <c r="H551" s="1">
        <v>38413</v>
      </c>
      <c r="I551" t="s">
        <v>12</v>
      </c>
      <c r="J551" t="s">
        <v>11321</v>
      </c>
    </row>
    <row r="552" spans="1:10" x14ac:dyDescent="0.25">
      <c r="A552">
        <v>182593</v>
      </c>
      <c r="B552" t="s">
        <v>573</v>
      </c>
      <c r="C552" t="str">
        <f>"9780415314565"</f>
        <v>9780415314565</v>
      </c>
      <c r="D552" t="str">
        <f>"9780203426647"</f>
        <v>9780203426647</v>
      </c>
      <c r="E552" t="s">
        <v>15</v>
      </c>
      <c r="F552" t="s">
        <v>16</v>
      </c>
      <c r="G552" s="1">
        <v>37914</v>
      </c>
      <c r="H552" s="1">
        <v>38420</v>
      </c>
      <c r="I552" t="s">
        <v>12</v>
      </c>
      <c r="J552" t="s">
        <v>11322</v>
      </c>
    </row>
    <row r="553" spans="1:10" x14ac:dyDescent="0.25">
      <c r="A553">
        <v>182598</v>
      </c>
      <c r="B553" t="s">
        <v>574</v>
      </c>
      <c r="C553" t="str">
        <f>"9780415315142"</f>
        <v>9780415315142</v>
      </c>
      <c r="D553" t="str">
        <f>"9780203563250"</f>
        <v>9780203563250</v>
      </c>
      <c r="E553" t="s">
        <v>15</v>
      </c>
      <c r="F553" t="s">
        <v>16</v>
      </c>
      <c r="G553" s="1">
        <v>37825</v>
      </c>
      <c r="H553" s="1">
        <v>38586</v>
      </c>
      <c r="I553" t="s">
        <v>12</v>
      </c>
      <c r="J553" t="s">
        <v>11323</v>
      </c>
    </row>
    <row r="554" spans="1:10" x14ac:dyDescent="0.25">
      <c r="A554">
        <v>182601</v>
      </c>
      <c r="B554" t="s">
        <v>575</v>
      </c>
      <c r="C554" t="str">
        <f>"9780415315890"</f>
        <v>9780415315890</v>
      </c>
      <c r="D554" t="str">
        <f>"9780203486511"</f>
        <v>9780203486511</v>
      </c>
      <c r="E554" t="s">
        <v>16</v>
      </c>
      <c r="F554" t="s">
        <v>16</v>
      </c>
      <c r="G554" s="1">
        <v>38153</v>
      </c>
      <c r="H554" s="1">
        <v>38930</v>
      </c>
      <c r="I554" t="s">
        <v>12</v>
      </c>
      <c r="J554" t="s">
        <v>11324</v>
      </c>
    </row>
    <row r="555" spans="1:10" x14ac:dyDescent="0.25">
      <c r="A555">
        <v>182617</v>
      </c>
      <c r="B555" t="s">
        <v>576</v>
      </c>
      <c r="C555" t="str">
        <f>"9780415317573"</f>
        <v>9780415317573</v>
      </c>
      <c r="D555" t="str">
        <f>"9780203491096"</f>
        <v>9780203491096</v>
      </c>
      <c r="E555" t="s">
        <v>15</v>
      </c>
      <c r="F555" t="s">
        <v>16</v>
      </c>
      <c r="G555" s="1">
        <v>38344</v>
      </c>
      <c r="H555" s="1">
        <v>38680</v>
      </c>
      <c r="I555" t="s">
        <v>12</v>
      </c>
      <c r="J555" t="s">
        <v>11325</v>
      </c>
    </row>
    <row r="556" spans="1:10" x14ac:dyDescent="0.25">
      <c r="A556">
        <v>182620</v>
      </c>
      <c r="B556" t="s">
        <v>577</v>
      </c>
      <c r="C556" t="str">
        <f>"9780415317856"</f>
        <v>9780415317856</v>
      </c>
      <c r="D556" t="str">
        <f>"9780203499016"</f>
        <v>9780203499016</v>
      </c>
      <c r="E556" t="s">
        <v>16</v>
      </c>
      <c r="F556" t="s">
        <v>16</v>
      </c>
      <c r="G556" s="1">
        <v>38548</v>
      </c>
      <c r="H556" s="1">
        <v>38826</v>
      </c>
      <c r="I556" t="s">
        <v>12</v>
      </c>
      <c r="J556" t="s">
        <v>11326</v>
      </c>
    </row>
    <row r="557" spans="1:10" x14ac:dyDescent="0.25">
      <c r="A557">
        <v>182632</v>
      </c>
      <c r="B557" t="s">
        <v>578</v>
      </c>
      <c r="C557" t="str">
        <f>"9780415318594"</f>
        <v>9780415318594</v>
      </c>
      <c r="D557" t="str">
        <f>"9780203633946"</f>
        <v>9780203633946</v>
      </c>
      <c r="E557" t="s">
        <v>15</v>
      </c>
      <c r="F557" t="s">
        <v>16</v>
      </c>
      <c r="G557" s="1">
        <v>37908</v>
      </c>
      <c r="H557" s="1">
        <v>38525</v>
      </c>
      <c r="I557" t="s">
        <v>12</v>
      </c>
      <c r="J557" t="s">
        <v>11327</v>
      </c>
    </row>
    <row r="558" spans="1:10" x14ac:dyDescent="0.25">
      <c r="A558">
        <v>182655</v>
      </c>
      <c r="B558" t="s">
        <v>579</v>
      </c>
      <c r="C558" t="str">
        <f>"9780415321372"</f>
        <v>9780415321372</v>
      </c>
      <c r="D558" t="str">
        <f>"9780203501313"</f>
        <v>9780203501313</v>
      </c>
      <c r="E558" t="s">
        <v>15</v>
      </c>
      <c r="F558" t="s">
        <v>16</v>
      </c>
      <c r="G558" s="1">
        <v>38288</v>
      </c>
      <c r="H558" s="1">
        <v>41135</v>
      </c>
      <c r="I558" t="s">
        <v>12</v>
      </c>
      <c r="J558" t="s">
        <v>11328</v>
      </c>
    </row>
    <row r="559" spans="1:10" x14ac:dyDescent="0.25">
      <c r="A559">
        <v>182656</v>
      </c>
      <c r="B559" t="s">
        <v>580</v>
      </c>
      <c r="C559" t="str">
        <f>"9780415321389"</f>
        <v>9780415321389</v>
      </c>
      <c r="D559" t="str">
        <f>"9780203486610"</f>
        <v>9780203486610</v>
      </c>
      <c r="E559" t="s">
        <v>15</v>
      </c>
      <c r="F559" t="s">
        <v>16</v>
      </c>
      <c r="G559" s="1">
        <v>38288</v>
      </c>
      <c r="H559" s="1">
        <v>41166</v>
      </c>
      <c r="I559" t="s">
        <v>12</v>
      </c>
      <c r="J559" t="s">
        <v>11329</v>
      </c>
    </row>
    <row r="560" spans="1:10" x14ac:dyDescent="0.25">
      <c r="A560">
        <v>182662</v>
      </c>
      <c r="B560" t="s">
        <v>581</v>
      </c>
      <c r="C560" t="str">
        <f>"9780415322355"</f>
        <v>9780415322355</v>
      </c>
      <c r="D560" t="str">
        <f>"9780203505830"</f>
        <v>9780203505830</v>
      </c>
      <c r="E560" t="s">
        <v>15</v>
      </c>
      <c r="F560" t="s">
        <v>16</v>
      </c>
      <c r="G560" s="1">
        <v>38288</v>
      </c>
      <c r="H560" s="1">
        <v>38420</v>
      </c>
      <c r="I560" t="s">
        <v>12</v>
      </c>
      <c r="J560" t="s">
        <v>11330</v>
      </c>
    </row>
    <row r="561" spans="1:10" x14ac:dyDescent="0.25">
      <c r="A561">
        <v>182671</v>
      </c>
      <c r="B561" t="s">
        <v>582</v>
      </c>
      <c r="C561" t="str">
        <f>"9780415323352"</f>
        <v>9780415323352</v>
      </c>
      <c r="D561" t="str">
        <f>"9780203356494"</f>
        <v>9780203356494</v>
      </c>
      <c r="E561" t="s">
        <v>15</v>
      </c>
      <c r="F561" t="s">
        <v>16</v>
      </c>
      <c r="G561" s="1">
        <v>37964</v>
      </c>
      <c r="H561" s="1">
        <v>38595</v>
      </c>
      <c r="I561" t="s">
        <v>12</v>
      </c>
      <c r="J561" t="s">
        <v>11331</v>
      </c>
    </row>
    <row r="562" spans="1:10" x14ac:dyDescent="0.25">
      <c r="A562">
        <v>182690</v>
      </c>
      <c r="B562" t="s">
        <v>583</v>
      </c>
      <c r="C562" t="str">
        <f>"9780415325288"</f>
        <v>9780415325288</v>
      </c>
      <c r="D562" t="str">
        <f>"9780203358207"</f>
        <v>9780203358207</v>
      </c>
      <c r="E562" t="s">
        <v>15</v>
      </c>
      <c r="F562" t="s">
        <v>16</v>
      </c>
      <c r="G562" s="1">
        <v>37973</v>
      </c>
      <c r="H562" s="1">
        <v>38697</v>
      </c>
      <c r="I562" t="s">
        <v>12</v>
      </c>
      <c r="J562" t="s">
        <v>11332</v>
      </c>
    </row>
    <row r="563" spans="1:10" x14ac:dyDescent="0.25">
      <c r="A563">
        <v>182715</v>
      </c>
      <c r="B563" t="s">
        <v>584</v>
      </c>
      <c r="C563" t="str">
        <f>"9780415328579"</f>
        <v>9780415328579</v>
      </c>
      <c r="D563" t="str">
        <f>"9780203379530"</f>
        <v>9780203379530</v>
      </c>
      <c r="E563" t="s">
        <v>15</v>
      </c>
      <c r="F563" t="s">
        <v>16</v>
      </c>
      <c r="G563" s="1">
        <v>38314</v>
      </c>
      <c r="H563" s="1">
        <v>38655</v>
      </c>
      <c r="I563" t="s">
        <v>12</v>
      </c>
      <c r="J563" t="s">
        <v>11333</v>
      </c>
    </row>
    <row r="564" spans="1:10" x14ac:dyDescent="0.25">
      <c r="A564">
        <v>182731</v>
      </c>
      <c r="B564" t="s">
        <v>585</v>
      </c>
      <c r="C564" t="str">
        <f>"9780415335089"</f>
        <v>9780415335089</v>
      </c>
      <c r="D564" t="str">
        <f>"9780203416501"</f>
        <v>9780203416501</v>
      </c>
      <c r="E564" t="s">
        <v>15</v>
      </c>
      <c r="F564" t="s">
        <v>16</v>
      </c>
      <c r="G564" s="1">
        <v>37964</v>
      </c>
      <c r="H564" s="1">
        <v>41030</v>
      </c>
      <c r="I564" t="s">
        <v>12</v>
      </c>
      <c r="J564" t="s">
        <v>11334</v>
      </c>
    </row>
    <row r="565" spans="1:10" x14ac:dyDescent="0.25">
      <c r="A565">
        <v>182751</v>
      </c>
      <c r="B565" t="s">
        <v>586</v>
      </c>
      <c r="C565" t="str">
        <f>"9780415700160"</f>
        <v>9780415700160</v>
      </c>
      <c r="D565" t="str">
        <f>"9780203507292"</f>
        <v>9780203507292</v>
      </c>
      <c r="E565" t="s">
        <v>15</v>
      </c>
      <c r="F565" t="s">
        <v>16</v>
      </c>
      <c r="G565" s="1">
        <v>38079</v>
      </c>
      <c r="H565" s="1">
        <v>38169</v>
      </c>
      <c r="I565" t="s">
        <v>12</v>
      </c>
      <c r="J565" t="s">
        <v>11335</v>
      </c>
    </row>
    <row r="566" spans="1:10" x14ac:dyDescent="0.25">
      <c r="A566">
        <v>182764</v>
      </c>
      <c r="B566" t="s">
        <v>587</v>
      </c>
      <c r="C566" t="str">
        <f>"9780415933155"</f>
        <v>9780415933155</v>
      </c>
      <c r="D566" t="str">
        <f>"9780203499801"</f>
        <v>9780203499801</v>
      </c>
      <c r="E566" t="s">
        <v>15</v>
      </c>
      <c r="F566" t="s">
        <v>16</v>
      </c>
      <c r="G566" s="1">
        <v>37942</v>
      </c>
      <c r="H566" s="1">
        <v>38309</v>
      </c>
      <c r="I566" t="s">
        <v>12</v>
      </c>
      <c r="J566" t="s">
        <v>11336</v>
      </c>
    </row>
    <row r="567" spans="1:10" x14ac:dyDescent="0.25">
      <c r="A567">
        <v>182795</v>
      </c>
      <c r="B567" t="s">
        <v>588</v>
      </c>
      <c r="C567" t="str">
        <f>"9780415938358"</f>
        <v>9780415938358</v>
      </c>
      <c r="D567" t="str">
        <f>"9780203484272"</f>
        <v>9780203484272</v>
      </c>
      <c r="E567" t="s">
        <v>15</v>
      </c>
      <c r="F567" t="s">
        <v>16</v>
      </c>
      <c r="G567" s="1">
        <v>38264</v>
      </c>
      <c r="H567" s="1">
        <v>38818</v>
      </c>
      <c r="I567" t="s">
        <v>12</v>
      </c>
      <c r="J567" t="s">
        <v>11337</v>
      </c>
    </row>
    <row r="568" spans="1:10" x14ac:dyDescent="0.25">
      <c r="A568">
        <v>182834</v>
      </c>
      <c r="B568" t="s">
        <v>589</v>
      </c>
      <c r="C568" t="str">
        <f>"9780415948180"</f>
        <v>9780415948180</v>
      </c>
      <c r="D568" t="str">
        <f>"9780203485798"</f>
        <v>9780203485798</v>
      </c>
      <c r="E568" t="s">
        <v>15</v>
      </c>
      <c r="F568" t="s">
        <v>16</v>
      </c>
      <c r="G568" s="1">
        <v>38009</v>
      </c>
      <c r="H568" s="1">
        <v>38685</v>
      </c>
      <c r="I568" t="s">
        <v>12</v>
      </c>
      <c r="J568" t="s">
        <v>11338</v>
      </c>
    </row>
    <row r="569" spans="1:10" x14ac:dyDescent="0.25">
      <c r="A569">
        <v>182856</v>
      </c>
      <c r="B569" t="s">
        <v>590</v>
      </c>
      <c r="C569" t="str">
        <f>"9780415946001"</f>
        <v>9780415946001</v>
      </c>
      <c r="D569" t="str">
        <f>"9780203502037"</f>
        <v>9780203502037</v>
      </c>
      <c r="E569" t="s">
        <v>15</v>
      </c>
      <c r="F569" t="s">
        <v>16</v>
      </c>
      <c r="G569" s="1">
        <v>37805</v>
      </c>
      <c r="H569" s="1">
        <v>38486</v>
      </c>
      <c r="I569" t="s">
        <v>12</v>
      </c>
      <c r="J569" t="s">
        <v>11339</v>
      </c>
    </row>
    <row r="570" spans="1:10" x14ac:dyDescent="0.25">
      <c r="A570">
        <v>182858</v>
      </c>
      <c r="B570" t="s">
        <v>591</v>
      </c>
      <c r="C570" t="str">
        <f>"9780415946025"</f>
        <v>9780415946025</v>
      </c>
      <c r="D570" t="str">
        <f>"9780203507056"</f>
        <v>9780203507056</v>
      </c>
      <c r="E570" t="s">
        <v>15</v>
      </c>
      <c r="F570" t="s">
        <v>16</v>
      </c>
      <c r="G570" s="1">
        <v>37949</v>
      </c>
      <c r="H570" s="1">
        <v>38666</v>
      </c>
      <c r="I570" t="s">
        <v>12</v>
      </c>
      <c r="J570" t="s">
        <v>11340</v>
      </c>
    </row>
    <row r="571" spans="1:10" x14ac:dyDescent="0.25">
      <c r="A571">
        <v>182868</v>
      </c>
      <c r="B571" t="s">
        <v>592</v>
      </c>
      <c r="C571" t="str">
        <f>"9781583910245"</f>
        <v>9781583910245</v>
      </c>
      <c r="D571" t="str">
        <f>"9780203493625"</f>
        <v>9780203493625</v>
      </c>
      <c r="E571" t="s">
        <v>15</v>
      </c>
      <c r="F571" t="s">
        <v>16</v>
      </c>
      <c r="G571" s="1">
        <v>37984</v>
      </c>
      <c r="H571" s="1">
        <v>38655</v>
      </c>
      <c r="I571" t="s">
        <v>12</v>
      </c>
      <c r="J571" t="s">
        <v>11341</v>
      </c>
    </row>
    <row r="572" spans="1:10" x14ac:dyDescent="0.25">
      <c r="A572">
        <v>182876</v>
      </c>
      <c r="B572" t="s">
        <v>593</v>
      </c>
      <c r="C572" t="str">
        <f>"9780415946940"</f>
        <v>9780415946940</v>
      </c>
      <c r="D572" t="str">
        <f>"9780203492369"</f>
        <v>9780203492369</v>
      </c>
      <c r="E572" t="s">
        <v>15</v>
      </c>
      <c r="F572" t="s">
        <v>16</v>
      </c>
      <c r="G572" s="1">
        <v>37960</v>
      </c>
      <c r="H572" s="1">
        <v>38792</v>
      </c>
      <c r="I572" t="s">
        <v>12</v>
      </c>
      <c r="J572" t="s">
        <v>11342</v>
      </c>
    </row>
    <row r="573" spans="1:10" x14ac:dyDescent="0.25">
      <c r="A573">
        <v>182917</v>
      </c>
      <c r="B573" t="s">
        <v>594</v>
      </c>
      <c r="C573" t="str">
        <f>"9780415948708"</f>
        <v>9780415948708</v>
      </c>
      <c r="D573" t="str">
        <f>"9780203501801"</f>
        <v>9780203501801</v>
      </c>
      <c r="E573" t="s">
        <v>15</v>
      </c>
      <c r="F573" t="s">
        <v>16</v>
      </c>
      <c r="G573" s="1">
        <v>38071</v>
      </c>
      <c r="H573" s="1">
        <v>38635</v>
      </c>
      <c r="I573" t="s">
        <v>12</v>
      </c>
      <c r="J573" t="s">
        <v>11343</v>
      </c>
    </row>
    <row r="574" spans="1:10" x14ac:dyDescent="0.25">
      <c r="A574">
        <v>182922</v>
      </c>
      <c r="B574" t="s">
        <v>595</v>
      </c>
      <c r="C574" t="str">
        <f>"9780415949187"</f>
        <v>9780415949187</v>
      </c>
      <c r="D574" t="str">
        <f>"9780203490556"</f>
        <v>9780203490556</v>
      </c>
      <c r="E574" t="s">
        <v>15</v>
      </c>
      <c r="F574" t="s">
        <v>16</v>
      </c>
      <c r="G574" s="1">
        <v>37984</v>
      </c>
      <c r="H574" s="1">
        <v>38486</v>
      </c>
      <c r="I574" t="s">
        <v>12</v>
      </c>
      <c r="J574" t="s">
        <v>11344</v>
      </c>
    </row>
    <row r="575" spans="1:10" x14ac:dyDescent="0.25">
      <c r="A575">
        <v>182923</v>
      </c>
      <c r="B575" t="s">
        <v>596</v>
      </c>
      <c r="C575" t="str">
        <f>"9780415965583"</f>
        <v>9780415965583</v>
      </c>
      <c r="D575" t="str">
        <f>"9780203496688"</f>
        <v>9780203496688</v>
      </c>
      <c r="E575" t="s">
        <v>15</v>
      </c>
      <c r="F575" t="s">
        <v>16</v>
      </c>
      <c r="G575" s="1">
        <v>38201</v>
      </c>
      <c r="H575" s="1">
        <v>38645</v>
      </c>
      <c r="I575" t="s">
        <v>12</v>
      </c>
      <c r="J575" t="s">
        <v>11345</v>
      </c>
    </row>
    <row r="576" spans="1:10" x14ac:dyDescent="0.25">
      <c r="A576">
        <v>182944</v>
      </c>
      <c r="B576" t="s">
        <v>597</v>
      </c>
      <c r="C576" t="str">
        <f>"9780415967624"</f>
        <v>9780415967624</v>
      </c>
      <c r="D576" t="str">
        <f>"9780203500088"</f>
        <v>9780203500088</v>
      </c>
      <c r="E576" t="s">
        <v>15</v>
      </c>
      <c r="F576" t="s">
        <v>16</v>
      </c>
      <c r="G576" s="1">
        <v>37784</v>
      </c>
      <c r="H576" s="1">
        <v>38669</v>
      </c>
      <c r="I576" t="s">
        <v>12</v>
      </c>
      <c r="J576" t="s">
        <v>11346</v>
      </c>
    </row>
    <row r="577" spans="1:10" x14ac:dyDescent="0.25">
      <c r="A577">
        <v>183023</v>
      </c>
      <c r="B577" t="s">
        <v>598</v>
      </c>
      <c r="C577" t="str">
        <f>"9780415970570"</f>
        <v>9780415970570</v>
      </c>
      <c r="D577" t="str">
        <f>"9780203506547"</f>
        <v>9780203506547</v>
      </c>
      <c r="E577" t="s">
        <v>15</v>
      </c>
      <c r="F577" t="s">
        <v>16</v>
      </c>
      <c r="G577" s="1">
        <v>38527</v>
      </c>
      <c r="H577" s="1">
        <v>38782</v>
      </c>
      <c r="I577" t="s">
        <v>12</v>
      </c>
      <c r="J577" t="s">
        <v>11347</v>
      </c>
    </row>
    <row r="578" spans="1:10" x14ac:dyDescent="0.25">
      <c r="A578">
        <v>183024</v>
      </c>
      <c r="B578" t="s">
        <v>599</v>
      </c>
      <c r="C578" t="str">
        <f>"9780415970587"</f>
        <v>9780415970587</v>
      </c>
      <c r="D578" t="str">
        <f>"9780203491065"</f>
        <v>9780203491065</v>
      </c>
      <c r="E578" t="s">
        <v>15</v>
      </c>
      <c r="F578" t="s">
        <v>16</v>
      </c>
      <c r="G578" s="1">
        <v>38332</v>
      </c>
      <c r="H578" s="1">
        <v>38774</v>
      </c>
      <c r="I578" t="s">
        <v>12</v>
      </c>
      <c r="J578" t="s">
        <v>11348</v>
      </c>
    </row>
    <row r="579" spans="1:10" x14ac:dyDescent="0.25">
      <c r="A579">
        <v>183055</v>
      </c>
      <c r="B579" t="s">
        <v>600</v>
      </c>
      <c r="C579" t="str">
        <f>"9780419199601"</f>
        <v>9780419199601</v>
      </c>
      <c r="D579" t="str">
        <f>"9781482271539"</f>
        <v>9781482271539</v>
      </c>
      <c r="E579" t="s">
        <v>15</v>
      </c>
      <c r="F579" t="s">
        <v>139</v>
      </c>
      <c r="G579" s="1">
        <v>34655</v>
      </c>
      <c r="H579" s="1">
        <v>38595</v>
      </c>
      <c r="I579" t="s">
        <v>12</v>
      </c>
      <c r="J579" t="s">
        <v>11349</v>
      </c>
    </row>
    <row r="580" spans="1:10" x14ac:dyDescent="0.25">
      <c r="A580">
        <v>183074</v>
      </c>
      <c r="B580" t="s">
        <v>601</v>
      </c>
      <c r="C580" t="str">
        <f>"9780419262107"</f>
        <v>9780419262107</v>
      </c>
      <c r="D580" t="str">
        <f>"9780203507919"</f>
        <v>9780203507919</v>
      </c>
      <c r="E580" t="s">
        <v>144</v>
      </c>
      <c r="F580" t="s">
        <v>16</v>
      </c>
      <c r="G580" s="1">
        <v>38461</v>
      </c>
      <c r="H580" s="1">
        <v>38778</v>
      </c>
      <c r="I580" t="s">
        <v>12</v>
      </c>
      <c r="J580" t="s">
        <v>11350</v>
      </c>
    </row>
    <row r="581" spans="1:10" x14ac:dyDescent="0.25">
      <c r="A581">
        <v>183098</v>
      </c>
      <c r="B581" t="s">
        <v>602</v>
      </c>
      <c r="C581" t="str">
        <f>"9780714652726"</f>
        <v>9780714652726</v>
      </c>
      <c r="D581" t="str">
        <f>"9780203501917"</f>
        <v>9780203501917</v>
      </c>
      <c r="E581" t="s">
        <v>15</v>
      </c>
      <c r="F581" t="s">
        <v>16</v>
      </c>
      <c r="G581" s="1">
        <v>37408</v>
      </c>
      <c r="H581" s="1">
        <v>38648</v>
      </c>
      <c r="I581" t="s">
        <v>12</v>
      </c>
      <c r="J581" t="s">
        <v>11351</v>
      </c>
    </row>
    <row r="582" spans="1:10" x14ac:dyDescent="0.25">
      <c r="A582">
        <v>183204</v>
      </c>
      <c r="B582" t="s">
        <v>603</v>
      </c>
      <c r="C582" t="str">
        <f>"9780714655895"</f>
        <v>9780714655895</v>
      </c>
      <c r="D582" t="str">
        <f>"9780203493786"</f>
        <v>9780203493786</v>
      </c>
      <c r="E582" t="s">
        <v>15</v>
      </c>
      <c r="F582" t="s">
        <v>16</v>
      </c>
      <c r="G582" s="1">
        <v>38189</v>
      </c>
      <c r="H582" s="1">
        <v>38486</v>
      </c>
      <c r="I582" t="s">
        <v>12</v>
      </c>
      <c r="J582" t="s">
        <v>11352</v>
      </c>
    </row>
    <row r="583" spans="1:10" x14ac:dyDescent="0.25">
      <c r="A583">
        <v>183207</v>
      </c>
      <c r="B583" t="s">
        <v>604</v>
      </c>
      <c r="C583" t="str">
        <f>"9780748772100"</f>
        <v>9780748772100</v>
      </c>
      <c r="D583" t="str">
        <f>"9780203504727"</f>
        <v>9780203504727</v>
      </c>
      <c r="E583" t="s">
        <v>144</v>
      </c>
      <c r="F583" t="s">
        <v>153</v>
      </c>
      <c r="G583" s="1">
        <v>39064</v>
      </c>
      <c r="H583" s="1">
        <v>39129</v>
      </c>
      <c r="I583" t="s">
        <v>12</v>
      </c>
      <c r="J583" t="s">
        <v>11353</v>
      </c>
    </row>
    <row r="584" spans="1:10" x14ac:dyDescent="0.25">
      <c r="A584">
        <v>183245</v>
      </c>
      <c r="B584" t="s">
        <v>605</v>
      </c>
      <c r="C584" t="str">
        <f>"9781579582432"</f>
        <v>9781579582432</v>
      </c>
      <c r="D584" t="str">
        <f>"9780203483886"</f>
        <v>9780203483886</v>
      </c>
      <c r="E584" t="s">
        <v>606</v>
      </c>
      <c r="F584" t="s">
        <v>607</v>
      </c>
      <c r="G584" s="1">
        <v>38001</v>
      </c>
      <c r="H584" s="1">
        <v>38771</v>
      </c>
      <c r="I584" t="s">
        <v>12</v>
      </c>
      <c r="J584" t="s">
        <v>11354</v>
      </c>
    </row>
    <row r="585" spans="1:10" x14ac:dyDescent="0.25">
      <c r="A585">
        <v>183269</v>
      </c>
      <c r="B585" t="s">
        <v>608</v>
      </c>
      <c r="C585" t="str">
        <f>"9781583911822"</f>
        <v>9781583911822</v>
      </c>
      <c r="D585" t="str">
        <f>"9780203484432"</f>
        <v>9780203484432</v>
      </c>
      <c r="E585" t="s">
        <v>15</v>
      </c>
      <c r="F585" t="s">
        <v>16</v>
      </c>
      <c r="G585" s="1">
        <v>38072</v>
      </c>
      <c r="H585" s="1">
        <v>38419</v>
      </c>
      <c r="I585" t="s">
        <v>12</v>
      </c>
      <c r="J585" t="s">
        <v>11355</v>
      </c>
    </row>
    <row r="586" spans="1:10" x14ac:dyDescent="0.25">
      <c r="A586">
        <v>183279</v>
      </c>
      <c r="B586" t="s">
        <v>609</v>
      </c>
      <c r="C586" t="str">
        <f>"9781583913253"</f>
        <v>9781583913253</v>
      </c>
      <c r="D586" t="str">
        <f>"9781135451318"</f>
        <v>9781135451318</v>
      </c>
      <c r="E586" t="s">
        <v>15</v>
      </c>
      <c r="F586" t="s">
        <v>16</v>
      </c>
      <c r="G586" s="1">
        <v>37820</v>
      </c>
      <c r="H586" s="1">
        <v>38643</v>
      </c>
      <c r="I586" t="s">
        <v>12</v>
      </c>
      <c r="J586" t="s">
        <v>11356</v>
      </c>
    </row>
    <row r="587" spans="1:10" x14ac:dyDescent="0.25">
      <c r="A587">
        <v>183287</v>
      </c>
      <c r="B587" t="s">
        <v>610</v>
      </c>
      <c r="C587" t="str">
        <f>"9781583918753"</f>
        <v>9781583918753</v>
      </c>
      <c r="D587" t="str">
        <f>"9780203500620"</f>
        <v>9780203500620</v>
      </c>
      <c r="E587" t="s">
        <v>15</v>
      </c>
      <c r="F587" t="s">
        <v>16</v>
      </c>
      <c r="G587" s="1">
        <v>38292</v>
      </c>
      <c r="H587" s="1">
        <v>38587</v>
      </c>
      <c r="I587" t="s">
        <v>12</v>
      </c>
      <c r="J587" t="s">
        <v>11357</v>
      </c>
    </row>
    <row r="588" spans="1:10" x14ac:dyDescent="0.25">
      <c r="A588">
        <v>183299</v>
      </c>
      <c r="B588" t="s">
        <v>611</v>
      </c>
      <c r="C588" t="str">
        <f>"9781583919989"</f>
        <v>9781583919989</v>
      </c>
      <c r="D588" t="str">
        <f>"9780203492048"</f>
        <v>9780203492048</v>
      </c>
      <c r="E588" t="s">
        <v>15</v>
      </c>
      <c r="F588" t="s">
        <v>16</v>
      </c>
      <c r="G588" s="1">
        <v>38254</v>
      </c>
      <c r="H588" s="1">
        <v>38491</v>
      </c>
      <c r="I588" t="s">
        <v>12</v>
      </c>
      <c r="J588" t="s">
        <v>11358</v>
      </c>
    </row>
    <row r="589" spans="1:10" x14ac:dyDescent="0.25">
      <c r="A589">
        <v>183305</v>
      </c>
      <c r="B589" t="s">
        <v>612</v>
      </c>
      <c r="C589" t="str">
        <f>"9781841690735"</f>
        <v>9781841690735</v>
      </c>
      <c r="D589" t="str">
        <f>"9780203496176"</f>
        <v>9780203496176</v>
      </c>
      <c r="E589" t="s">
        <v>15</v>
      </c>
      <c r="F589" t="s">
        <v>55</v>
      </c>
      <c r="G589" s="1">
        <v>38336</v>
      </c>
      <c r="H589" s="1">
        <v>38588</v>
      </c>
      <c r="I589" t="s">
        <v>12</v>
      </c>
      <c r="J589" t="s">
        <v>11359</v>
      </c>
    </row>
    <row r="590" spans="1:10" x14ac:dyDescent="0.25">
      <c r="A590">
        <v>183308</v>
      </c>
      <c r="B590" t="s">
        <v>613</v>
      </c>
      <c r="C590" t="str">
        <f>"9781841690933"</f>
        <v>9781841690933</v>
      </c>
      <c r="D590" t="str">
        <f>"9780203488508"</f>
        <v>9780203488508</v>
      </c>
      <c r="E590" t="s">
        <v>15</v>
      </c>
      <c r="F590" t="s">
        <v>55</v>
      </c>
      <c r="G590" s="1">
        <v>37882</v>
      </c>
      <c r="H590" s="1">
        <v>38664</v>
      </c>
      <c r="I590" t="s">
        <v>12</v>
      </c>
      <c r="J590" t="s">
        <v>11360</v>
      </c>
    </row>
    <row r="591" spans="1:10" x14ac:dyDescent="0.25">
      <c r="A591">
        <v>183320</v>
      </c>
      <c r="B591" t="s">
        <v>614</v>
      </c>
      <c r="C591" t="str">
        <f>"9781841693705"</f>
        <v>9781841693705</v>
      </c>
      <c r="D591" t="str">
        <f>"9780203502723"</f>
        <v>9780203502723</v>
      </c>
      <c r="E591" t="s">
        <v>15</v>
      </c>
      <c r="F591" t="s">
        <v>16</v>
      </c>
      <c r="G591" s="1">
        <v>38048</v>
      </c>
      <c r="H591" s="1">
        <v>38308</v>
      </c>
      <c r="I591" t="s">
        <v>12</v>
      </c>
      <c r="J591" t="s">
        <v>11361</v>
      </c>
    </row>
    <row r="592" spans="1:10" x14ac:dyDescent="0.25">
      <c r="A592">
        <v>183321</v>
      </c>
      <c r="B592" t="s">
        <v>615</v>
      </c>
      <c r="C592" t="str">
        <f>"9781841693859"</f>
        <v>9781841693859</v>
      </c>
      <c r="D592" t="str">
        <f>"9780203496206"</f>
        <v>9780203496206</v>
      </c>
      <c r="E592" t="s">
        <v>15</v>
      </c>
      <c r="F592" t="s">
        <v>55</v>
      </c>
      <c r="G592" s="1">
        <v>38056</v>
      </c>
      <c r="H592" s="1">
        <v>38666</v>
      </c>
      <c r="I592" t="s">
        <v>12</v>
      </c>
      <c r="J592" t="s">
        <v>11362</v>
      </c>
    </row>
    <row r="593" spans="1:10" x14ac:dyDescent="0.25">
      <c r="A593">
        <v>183322</v>
      </c>
      <c r="B593" t="s">
        <v>616</v>
      </c>
      <c r="C593" t="str">
        <f>"9781841694009"</f>
        <v>9781841694009</v>
      </c>
      <c r="D593" t="str">
        <f>"9780203509050"</f>
        <v>9780203509050</v>
      </c>
      <c r="E593" t="s">
        <v>15</v>
      </c>
      <c r="F593" t="s">
        <v>55</v>
      </c>
      <c r="G593" s="1">
        <v>38194</v>
      </c>
      <c r="H593" s="1">
        <v>38587</v>
      </c>
      <c r="I593" t="s">
        <v>12</v>
      </c>
      <c r="J593" t="s">
        <v>11363</v>
      </c>
    </row>
    <row r="594" spans="1:10" x14ac:dyDescent="0.25">
      <c r="A594">
        <v>183438</v>
      </c>
      <c r="B594" t="s">
        <v>617</v>
      </c>
      <c r="C594" t="str">
        <f>"9780415325493"</f>
        <v>9780415325493</v>
      </c>
      <c r="D594" t="str">
        <f>"9781134342419"</f>
        <v>9781134342419</v>
      </c>
      <c r="E594" t="s">
        <v>16</v>
      </c>
      <c r="F594" t="s">
        <v>16</v>
      </c>
      <c r="G594" s="1">
        <v>38239</v>
      </c>
      <c r="H594" s="1">
        <v>38411</v>
      </c>
      <c r="I594" t="s">
        <v>12</v>
      </c>
      <c r="J594" t="s">
        <v>11364</v>
      </c>
    </row>
    <row r="595" spans="1:10" x14ac:dyDescent="0.25">
      <c r="A595">
        <v>183443</v>
      </c>
      <c r="B595" t="s">
        <v>618</v>
      </c>
      <c r="C595" t="str">
        <f>"9780415341134"</f>
        <v>9780415341134</v>
      </c>
      <c r="D595" t="str">
        <f>"9780203480243"</f>
        <v>9780203480243</v>
      </c>
      <c r="E595" t="s">
        <v>15</v>
      </c>
      <c r="F595" t="s">
        <v>16</v>
      </c>
      <c r="G595" s="1">
        <v>38391</v>
      </c>
      <c r="H595" s="1">
        <v>38680</v>
      </c>
      <c r="I595" t="s">
        <v>12</v>
      </c>
      <c r="J595" t="s">
        <v>11365</v>
      </c>
    </row>
    <row r="596" spans="1:10" x14ac:dyDescent="0.25">
      <c r="A596">
        <v>183445</v>
      </c>
      <c r="B596" t="s">
        <v>619</v>
      </c>
      <c r="C596" t="str">
        <f>"9780415351997"</f>
        <v>9780415351997</v>
      </c>
      <c r="D596" t="str">
        <f>"9780203698716"</f>
        <v>9780203698716</v>
      </c>
      <c r="E596" t="s">
        <v>15</v>
      </c>
      <c r="F596" t="s">
        <v>16</v>
      </c>
      <c r="G596" s="1">
        <v>38730</v>
      </c>
      <c r="H596" s="1">
        <v>38866</v>
      </c>
      <c r="I596" t="s">
        <v>12</v>
      </c>
      <c r="J596" t="s">
        <v>11366</v>
      </c>
    </row>
    <row r="597" spans="1:10" x14ac:dyDescent="0.25">
      <c r="A597">
        <v>183449</v>
      </c>
      <c r="B597" t="s">
        <v>620</v>
      </c>
      <c r="C597" t="str">
        <f>"9780415351980"</f>
        <v>9780415351980</v>
      </c>
      <c r="D597" t="str">
        <f>"9780203698709"</f>
        <v>9780203698709</v>
      </c>
      <c r="E597" t="s">
        <v>15</v>
      </c>
      <c r="F597" t="s">
        <v>16</v>
      </c>
      <c r="G597" s="1">
        <v>38862</v>
      </c>
      <c r="H597" s="1">
        <v>39068</v>
      </c>
      <c r="I597" t="s">
        <v>12</v>
      </c>
      <c r="J597" t="s">
        <v>11367</v>
      </c>
    </row>
    <row r="598" spans="1:10" x14ac:dyDescent="0.25">
      <c r="A598">
        <v>183451</v>
      </c>
      <c r="B598" t="s">
        <v>621</v>
      </c>
      <c r="C598" t="str">
        <f>"9780415351973"</f>
        <v>9780415351973</v>
      </c>
      <c r="D598" t="str">
        <f>"9780203698693"</f>
        <v>9780203698693</v>
      </c>
      <c r="E598" t="s">
        <v>15</v>
      </c>
      <c r="F598" t="s">
        <v>16</v>
      </c>
      <c r="G598" s="1">
        <v>38814</v>
      </c>
      <c r="H598" s="1">
        <v>38931</v>
      </c>
      <c r="I598" t="s">
        <v>12</v>
      </c>
      <c r="J598" t="s">
        <v>11368</v>
      </c>
    </row>
    <row r="599" spans="1:10" x14ac:dyDescent="0.25">
      <c r="A599">
        <v>184135</v>
      </c>
      <c r="B599" t="s">
        <v>622</v>
      </c>
      <c r="C599" t="str">
        <f>"9781591401582"</f>
        <v>9781591401582</v>
      </c>
      <c r="D599" t="str">
        <f>"9781591401599"</f>
        <v>9781591401599</v>
      </c>
      <c r="E599" t="s">
        <v>623</v>
      </c>
      <c r="F599" t="s">
        <v>624</v>
      </c>
      <c r="G599" s="1">
        <v>37622</v>
      </c>
      <c r="H599" s="1">
        <v>38169</v>
      </c>
      <c r="I599" t="s">
        <v>12</v>
      </c>
      <c r="J599" t="s">
        <v>11369</v>
      </c>
    </row>
    <row r="600" spans="1:10" x14ac:dyDescent="0.25">
      <c r="A600">
        <v>187127</v>
      </c>
      <c r="B600" t="s">
        <v>625</v>
      </c>
      <c r="C600" t="str">
        <f>"9781873475508"</f>
        <v>9781873475508</v>
      </c>
      <c r="D600" t="str">
        <f>"9781840249248"</f>
        <v>9781840249248</v>
      </c>
      <c r="E600" t="s">
        <v>626</v>
      </c>
      <c r="F600" t="s">
        <v>627</v>
      </c>
      <c r="G600" s="1">
        <v>35278</v>
      </c>
      <c r="H600" s="1">
        <v>40635</v>
      </c>
      <c r="I600" t="s">
        <v>12</v>
      </c>
      <c r="J600" t="s">
        <v>11370</v>
      </c>
    </row>
    <row r="601" spans="1:10" x14ac:dyDescent="0.25">
      <c r="A601">
        <v>190834</v>
      </c>
      <c r="B601" t="s">
        <v>628</v>
      </c>
      <c r="C601" t="str">
        <f>"9781840243949"</f>
        <v>9781840243949</v>
      </c>
      <c r="D601" t="str">
        <f>"9781840249200"</f>
        <v>9781840249200</v>
      </c>
      <c r="E601" t="s">
        <v>626</v>
      </c>
      <c r="F601" t="s">
        <v>629</v>
      </c>
      <c r="G601" s="1">
        <v>36600</v>
      </c>
      <c r="H601" s="1">
        <v>39056</v>
      </c>
      <c r="I601" t="s">
        <v>12</v>
      </c>
      <c r="J601" t="s">
        <v>11371</v>
      </c>
    </row>
    <row r="602" spans="1:10" x14ac:dyDescent="0.25">
      <c r="A602">
        <v>197408</v>
      </c>
      <c r="B602" t="s">
        <v>630</v>
      </c>
      <c r="C602" t="str">
        <f>"9781591405009"</f>
        <v>9781591405009</v>
      </c>
      <c r="D602" t="str">
        <f>"9781591405023"</f>
        <v>9781591405023</v>
      </c>
      <c r="E602" t="s">
        <v>623</v>
      </c>
      <c r="F602" t="s">
        <v>624</v>
      </c>
      <c r="G602" s="1">
        <v>38230</v>
      </c>
      <c r="H602" s="1">
        <v>38169</v>
      </c>
      <c r="I602" t="s">
        <v>12</v>
      </c>
      <c r="J602" t="s">
        <v>11372</v>
      </c>
    </row>
    <row r="603" spans="1:10" x14ac:dyDescent="0.25">
      <c r="A603">
        <v>198346</v>
      </c>
      <c r="B603" t="s">
        <v>631</v>
      </c>
      <c r="C603" t="str">
        <f>"9780415284486"</f>
        <v>9780415284486</v>
      </c>
      <c r="D603" t="str">
        <f>"9780203402016"</f>
        <v>9780203402016</v>
      </c>
      <c r="E603" t="s">
        <v>15</v>
      </c>
      <c r="F603" t="s">
        <v>16</v>
      </c>
      <c r="G603" s="1">
        <v>37875</v>
      </c>
      <c r="H603" s="1">
        <v>38635</v>
      </c>
      <c r="I603" t="s">
        <v>12</v>
      </c>
      <c r="J603" t="s">
        <v>11373</v>
      </c>
    </row>
    <row r="604" spans="1:10" x14ac:dyDescent="0.25">
      <c r="A604">
        <v>198382</v>
      </c>
      <c r="B604" t="s">
        <v>632</v>
      </c>
      <c r="C604" t="str">
        <f>"9780415319157"</f>
        <v>9780415319157</v>
      </c>
      <c r="D604" t="str">
        <f>"9780203619728"</f>
        <v>9780203619728</v>
      </c>
      <c r="E604" t="s">
        <v>16</v>
      </c>
      <c r="F604" t="s">
        <v>16</v>
      </c>
      <c r="G604" s="1">
        <v>38534</v>
      </c>
      <c r="H604" s="1">
        <v>38887</v>
      </c>
      <c r="I604" t="s">
        <v>12</v>
      </c>
      <c r="J604" t="s">
        <v>11374</v>
      </c>
    </row>
    <row r="605" spans="1:10" x14ac:dyDescent="0.25">
      <c r="A605">
        <v>198383</v>
      </c>
      <c r="B605" t="s">
        <v>633</v>
      </c>
      <c r="C605" t="str">
        <f>"9780415341646"</f>
        <v>9780415341646</v>
      </c>
      <c r="D605" t="str">
        <f>"9780203481387"</f>
        <v>9780203481387</v>
      </c>
      <c r="E605" t="s">
        <v>15</v>
      </c>
      <c r="F605" t="s">
        <v>16</v>
      </c>
      <c r="G605" s="1">
        <v>38504</v>
      </c>
      <c r="H605" s="1">
        <v>38664</v>
      </c>
      <c r="I605" t="s">
        <v>12</v>
      </c>
      <c r="J605" t="s">
        <v>11375</v>
      </c>
    </row>
    <row r="606" spans="1:10" x14ac:dyDescent="0.25">
      <c r="A606">
        <v>198392</v>
      </c>
      <c r="B606" t="s">
        <v>634</v>
      </c>
      <c r="C606" t="str">
        <f>"9780749435349"</f>
        <v>9780749435349</v>
      </c>
      <c r="D606" t="str">
        <f>"9780203417140"</f>
        <v>9780203417140</v>
      </c>
      <c r="E606" t="s">
        <v>15</v>
      </c>
      <c r="F606" t="s">
        <v>16</v>
      </c>
      <c r="G606" s="1">
        <v>37347</v>
      </c>
      <c r="H606" s="1">
        <v>38677</v>
      </c>
      <c r="I606" t="s">
        <v>12</v>
      </c>
      <c r="J606" t="s">
        <v>11376</v>
      </c>
    </row>
    <row r="607" spans="1:10" x14ac:dyDescent="0.25">
      <c r="A607">
        <v>198394</v>
      </c>
      <c r="B607" t="s">
        <v>635</v>
      </c>
      <c r="C607" t="str">
        <f>"9780749435387"</f>
        <v>9780749435387</v>
      </c>
      <c r="D607" t="str">
        <f>"9780203417065"</f>
        <v>9780203417065</v>
      </c>
      <c r="E607" t="s">
        <v>15</v>
      </c>
      <c r="F607" t="s">
        <v>16</v>
      </c>
      <c r="G607" s="1">
        <v>37347</v>
      </c>
      <c r="H607" s="1">
        <v>38595</v>
      </c>
      <c r="I607" t="s">
        <v>12</v>
      </c>
      <c r="J607" t="s">
        <v>11377</v>
      </c>
    </row>
    <row r="608" spans="1:10" x14ac:dyDescent="0.25">
      <c r="A608">
        <v>198432</v>
      </c>
      <c r="B608" t="s">
        <v>636</v>
      </c>
      <c r="C608" t="str">
        <f>"9780749440381"</f>
        <v>9780749440381</v>
      </c>
      <c r="D608" t="str">
        <f>"9780203416655"</f>
        <v>9780203416655</v>
      </c>
      <c r="E608" t="s">
        <v>15</v>
      </c>
      <c r="F608" t="s">
        <v>16</v>
      </c>
      <c r="G608" s="1">
        <v>37742</v>
      </c>
      <c r="H608" s="1">
        <v>38169</v>
      </c>
      <c r="I608" t="s">
        <v>12</v>
      </c>
      <c r="J608" t="s">
        <v>11378</v>
      </c>
    </row>
    <row r="609" spans="1:10" x14ac:dyDescent="0.25">
      <c r="A609">
        <v>198448</v>
      </c>
      <c r="B609" t="s">
        <v>637</v>
      </c>
      <c r="C609" t="str">
        <f>"9780415303170"</f>
        <v>9780415303170</v>
      </c>
      <c r="D609" t="str">
        <f>"9780203465233"</f>
        <v>9780203465233</v>
      </c>
      <c r="E609" t="s">
        <v>15</v>
      </c>
      <c r="F609" t="s">
        <v>16</v>
      </c>
      <c r="G609" s="1">
        <v>37888</v>
      </c>
      <c r="H609" s="1">
        <v>38486</v>
      </c>
      <c r="I609" t="s">
        <v>12</v>
      </c>
      <c r="J609" t="s">
        <v>11379</v>
      </c>
    </row>
    <row r="610" spans="1:10" x14ac:dyDescent="0.25">
      <c r="A610">
        <v>198455</v>
      </c>
      <c r="B610" t="s">
        <v>638</v>
      </c>
      <c r="C610" t="str">
        <f>"9780415314442"</f>
        <v>9780415314442</v>
      </c>
      <c r="D610" t="str">
        <f>"9780203504901"</f>
        <v>9780203504901</v>
      </c>
      <c r="E610" t="s">
        <v>15</v>
      </c>
      <c r="F610" t="s">
        <v>16</v>
      </c>
      <c r="G610" s="1">
        <v>38491</v>
      </c>
      <c r="H610" s="1">
        <v>38677</v>
      </c>
      <c r="I610" t="s">
        <v>12</v>
      </c>
      <c r="J610" t="s">
        <v>11380</v>
      </c>
    </row>
    <row r="611" spans="1:10" x14ac:dyDescent="0.25">
      <c r="A611">
        <v>198456</v>
      </c>
      <c r="B611" t="s">
        <v>639</v>
      </c>
      <c r="C611" t="str">
        <f>"9780415314909"</f>
        <v>9780415314909</v>
      </c>
      <c r="D611" t="str">
        <f>"9780203561553"</f>
        <v>9780203561553</v>
      </c>
      <c r="E611" t="s">
        <v>15</v>
      </c>
      <c r="F611" t="s">
        <v>16</v>
      </c>
      <c r="G611" s="1">
        <v>37929</v>
      </c>
      <c r="H611" s="1">
        <v>38411</v>
      </c>
      <c r="I611" t="s">
        <v>12</v>
      </c>
      <c r="J611" t="s">
        <v>11381</v>
      </c>
    </row>
    <row r="612" spans="1:10" x14ac:dyDescent="0.25">
      <c r="A612">
        <v>198457</v>
      </c>
      <c r="B612" t="s">
        <v>640</v>
      </c>
      <c r="C612" t="str">
        <f>"9780415314923"</f>
        <v>9780415314923</v>
      </c>
      <c r="D612" t="str">
        <f>"9780203561560"</f>
        <v>9780203561560</v>
      </c>
      <c r="E612" t="s">
        <v>15</v>
      </c>
      <c r="F612" t="s">
        <v>16</v>
      </c>
      <c r="G612" s="1">
        <v>38141</v>
      </c>
      <c r="H612" s="1">
        <v>38410</v>
      </c>
      <c r="I612" t="s">
        <v>12</v>
      </c>
      <c r="J612" t="s">
        <v>11382</v>
      </c>
    </row>
    <row r="613" spans="1:10" x14ac:dyDescent="0.25">
      <c r="A613">
        <v>198459</v>
      </c>
      <c r="B613" t="s">
        <v>641</v>
      </c>
      <c r="C613" t="str">
        <f>"9780415314961"</f>
        <v>9780415314961</v>
      </c>
      <c r="D613" t="str">
        <f>"9780203561584"</f>
        <v>9780203561584</v>
      </c>
      <c r="E613" t="s">
        <v>15</v>
      </c>
      <c r="F613" t="s">
        <v>16</v>
      </c>
      <c r="G613" s="1">
        <v>38461</v>
      </c>
      <c r="H613" s="1">
        <v>38491</v>
      </c>
      <c r="I613" t="s">
        <v>12</v>
      </c>
      <c r="J613" t="s">
        <v>11383</v>
      </c>
    </row>
    <row r="614" spans="1:10" x14ac:dyDescent="0.25">
      <c r="A614">
        <v>198464</v>
      </c>
      <c r="B614" t="s">
        <v>642</v>
      </c>
      <c r="C614" t="str">
        <f>"9780415317788"</f>
        <v>9780415317788</v>
      </c>
      <c r="D614" t="str">
        <f>"9780203591949"</f>
        <v>9780203591949</v>
      </c>
      <c r="E614" t="s">
        <v>15</v>
      </c>
      <c r="F614" t="s">
        <v>16</v>
      </c>
      <c r="G614" s="1">
        <v>38232</v>
      </c>
      <c r="H614" s="1">
        <v>38412</v>
      </c>
      <c r="I614" t="s">
        <v>12</v>
      </c>
      <c r="J614" t="s">
        <v>11384</v>
      </c>
    </row>
    <row r="615" spans="1:10" x14ac:dyDescent="0.25">
      <c r="A615">
        <v>198465</v>
      </c>
      <c r="B615" t="s">
        <v>643</v>
      </c>
      <c r="C615" t="str">
        <f>"9780415318013"</f>
        <v>9780415318013</v>
      </c>
      <c r="D615" t="str">
        <f>"9780203596012"</f>
        <v>9780203596012</v>
      </c>
      <c r="E615" t="s">
        <v>15</v>
      </c>
      <c r="F615" t="s">
        <v>16</v>
      </c>
      <c r="G615" s="1">
        <v>38072</v>
      </c>
      <c r="H615" s="1">
        <v>38410</v>
      </c>
      <c r="I615" t="s">
        <v>12</v>
      </c>
      <c r="J615" t="s">
        <v>11385</v>
      </c>
    </row>
    <row r="616" spans="1:10" x14ac:dyDescent="0.25">
      <c r="A616">
        <v>198470</v>
      </c>
      <c r="B616" t="s">
        <v>644</v>
      </c>
      <c r="C616" t="str">
        <f>"9780415320993"</f>
        <v>9780415320993</v>
      </c>
      <c r="D616" t="str">
        <f>"9780203465332"</f>
        <v>9780203465332</v>
      </c>
      <c r="E616" t="s">
        <v>15</v>
      </c>
      <c r="F616" t="s">
        <v>16</v>
      </c>
      <c r="G616" s="1">
        <v>38519</v>
      </c>
      <c r="H616" s="1">
        <v>38795</v>
      </c>
      <c r="I616" t="s">
        <v>12</v>
      </c>
      <c r="J616" t="s">
        <v>11386</v>
      </c>
    </row>
    <row r="617" spans="1:10" x14ac:dyDescent="0.25">
      <c r="A617">
        <v>198477</v>
      </c>
      <c r="B617" t="s">
        <v>645</v>
      </c>
      <c r="C617" t="str">
        <f>"9780415321204"</f>
        <v>9780415321204</v>
      </c>
      <c r="D617" t="str">
        <f>"9780203073667"</f>
        <v>9780203073667</v>
      </c>
      <c r="E617" t="s">
        <v>15</v>
      </c>
      <c r="F617" t="s">
        <v>16</v>
      </c>
      <c r="G617" s="1">
        <v>39433</v>
      </c>
      <c r="H617" s="1">
        <v>39470</v>
      </c>
      <c r="I617" t="s">
        <v>12</v>
      </c>
      <c r="J617" t="s">
        <v>11387</v>
      </c>
    </row>
    <row r="618" spans="1:10" x14ac:dyDescent="0.25">
      <c r="A618">
        <v>198480</v>
      </c>
      <c r="B618" t="s">
        <v>646</v>
      </c>
      <c r="C618" t="str">
        <f>"9780415324144"</f>
        <v>9780415324144</v>
      </c>
      <c r="D618" t="str">
        <f>"9780203357965"</f>
        <v>9780203357965</v>
      </c>
      <c r="E618" t="s">
        <v>15</v>
      </c>
      <c r="F618" t="s">
        <v>16</v>
      </c>
      <c r="G618" s="1">
        <v>38646</v>
      </c>
      <c r="H618" s="1">
        <v>38774</v>
      </c>
      <c r="I618" t="s">
        <v>12</v>
      </c>
      <c r="J618" t="s">
        <v>11388</v>
      </c>
    </row>
    <row r="619" spans="1:10" x14ac:dyDescent="0.25">
      <c r="A619">
        <v>198483</v>
      </c>
      <c r="B619" t="s">
        <v>647</v>
      </c>
      <c r="C619" t="str">
        <f>"9780415324540"</f>
        <v>9780415324540</v>
      </c>
      <c r="D619" t="str">
        <f>"9780203356968"</f>
        <v>9780203356968</v>
      </c>
      <c r="E619" t="s">
        <v>15</v>
      </c>
      <c r="F619" t="s">
        <v>16</v>
      </c>
      <c r="G619" s="1">
        <v>39063</v>
      </c>
      <c r="H619" s="1">
        <v>39309</v>
      </c>
      <c r="I619" t="s">
        <v>12</v>
      </c>
      <c r="J619" t="s">
        <v>11389</v>
      </c>
    </row>
    <row r="620" spans="1:10" x14ac:dyDescent="0.25">
      <c r="A620">
        <v>198488</v>
      </c>
      <c r="B620" t="s">
        <v>648</v>
      </c>
      <c r="C620" t="str">
        <f>"9780415327794"</f>
        <v>9780415327794</v>
      </c>
      <c r="D620" t="str">
        <f>"9780203390719"</f>
        <v>9780203390719</v>
      </c>
      <c r="E620" t="s">
        <v>15</v>
      </c>
      <c r="F620" t="s">
        <v>16</v>
      </c>
      <c r="G620" s="1">
        <v>38552</v>
      </c>
      <c r="H620" s="1">
        <v>38661</v>
      </c>
      <c r="I620" t="s">
        <v>12</v>
      </c>
      <c r="J620" t="s">
        <v>11390</v>
      </c>
    </row>
    <row r="621" spans="1:10" x14ac:dyDescent="0.25">
      <c r="A621">
        <v>198491</v>
      </c>
      <c r="B621" t="s">
        <v>649</v>
      </c>
      <c r="C621" t="str">
        <f>"9780415328845"</f>
        <v>9780415328845</v>
      </c>
      <c r="D621" t="str">
        <f>"9780203391075"</f>
        <v>9780203391075</v>
      </c>
      <c r="E621" t="s">
        <v>15</v>
      </c>
      <c r="F621" t="s">
        <v>16</v>
      </c>
      <c r="G621" s="1">
        <v>38526</v>
      </c>
      <c r="H621" s="1">
        <v>38795</v>
      </c>
      <c r="I621" t="s">
        <v>12</v>
      </c>
      <c r="J621" t="s">
        <v>11391</v>
      </c>
    </row>
    <row r="622" spans="1:10" x14ac:dyDescent="0.25">
      <c r="A622">
        <v>198492</v>
      </c>
      <c r="B622" t="s">
        <v>650</v>
      </c>
      <c r="C622" t="str">
        <f>"9780415329095"</f>
        <v>9780415329095</v>
      </c>
      <c r="D622" t="str">
        <f>"9780203391228"</f>
        <v>9780203391228</v>
      </c>
      <c r="E622" t="s">
        <v>15</v>
      </c>
      <c r="F622" t="s">
        <v>16</v>
      </c>
      <c r="G622" s="1">
        <v>38155</v>
      </c>
      <c r="H622" s="1">
        <v>40037</v>
      </c>
      <c r="I622" t="s">
        <v>12</v>
      </c>
      <c r="J622" t="s">
        <v>11392</v>
      </c>
    </row>
    <row r="623" spans="1:10" x14ac:dyDescent="0.25">
      <c r="A623">
        <v>198496</v>
      </c>
      <c r="B623" t="s">
        <v>651</v>
      </c>
      <c r="C623" t="str">
        <f>"9780415333290"</f>
        <v>9780415333290</v>
      </c>
      <c r="D623" t="str">
        <f>"9780203412954"</f>
        <v>9780203412954</v>
      </c>
      <c r="E623" t="s">
        <v>15</v>
      </c>
      <c r="F623" t="s">
        <v>16</v>
      </c>
      <c r="G623" s="1">
        <v>38701</v>
      </c>
      <c r="H623" s="1">
        <v>38775</v>
      </c>
      <c r="I623" t="s">
        <v>12</v>
      </c>
      <c r="J623" t="s">
        <v>11393</v>
      </c>
    </row>
    <row r="624" spans="1:10" x14ac:dyDescent="0.25">
      <c r="A624">
        <v>198506</v>
      </c>
      <c r="B624" t="s">
        <v>652</v>
      </c>
      <c r="C624" t="str">
        <f>"9780415335249"</f>
        <v>9780415335249</v>
      </c>
      <c r="D624" t="str">
        <f>"9780203463734"</f>
        <v>9780203463734</v>
      </c>
      <c r="E624" t="s">
        <v>15</v>
      </c>
      <c r="F624" t="s">
        <v>16</v>
      </c>
      <c r="G624" s="1">
        <v>38341</v>
      </c>
      <c r="H624" s="1">
        <v>38491</v>
      </c>
      <c r="I624" t="s">
        <v>12</v>
      </c>
      <c r="J624" t="s">
        <v>11394</v>
      </c>
    </row>
    <row r="625" spans="1:10" x14ac:dyDescent="0.25">
      <c r="A625">
        <v>198507</v>
      </c>
      <c r="B625" t="s">
        <v>653</v>
      </c>
      <c r="C625" t="str">
        <f>"9780415341363"</f>
        <v>9780415341363</v>
      </c>
      <c r="D625" t="str">
        <f>"9780203416006"</f>
        <v>9780203416006</v>
      </c>
      <c r="E625" t="s">
        <v>15</v>
      </c>
      <c r="F625" t="s">
        <v>16</v>
      </c>
      <c r="G625" s="1">
        <v>38489</v>
      </c>
      <c r="H625" s="1">
        <v>38663</v>
      </c>
      <c r="I625" t="s">
        <v>12</v>
      </c>
      <c r="J625" t="s">
        <v>11395</v>
      </c>
    </row>
    <row r="626" spans="1:10" x14ac:dyDescent="0.25">
      <c r="A626">
        <v>198508</v>
      </c>
      <c r="B626" t="s">
        <v>654</v>
      </c>
      <c r="C626" t="str">
        <f>"9780415335300"</f>
        <v>9780415335300</v>
      </c>
      <c r="D626" t="str">
        <f>"9780203416518"</f>
        <v>9780203416518</v>
      </c>
      <c r="E626" t="s">
        <v>15</v>
      </c>
      <c r="F626" t="s">
        <v>16</v>
      </c>
      <c r="G626" s="1">
        <v>37964</v>
      </c>
      <c r="H626" s="1">
        <v>38654</v>
      </c>
      <c r="I626" t="s">
        <v>12</v>
      </c>
      <c r="J626" t="s">
        <v>11396</v>
      </c>
    </row>
    <row r="627" spans="1:10" x14ac:dyDescent="0.25">
      <c r="A627">
        <v>198514</v>
      </c>
      <c r="B627" t="s">
        <v>655</v>
      </c>
      <c r="C627" t="str">
        <f>"9780415335645"</f>
        <v>9780415335645</v>
      </c>
      <c r="D627" t="str">
        <f>"9780203420270"</f>
        <v>9780203420270</v>
      </c>
      <c r="E627" t="s">
        <v>15</v>
      </c>
      <c r="F627" t="s">
        <v>16</v>
      </c>
      <c r="G627" s="1">
        <v>38189</v>
      </c>
      <c r="H627" s="1">
        <v>39933</v>
      </c>
      <c r="I627" t="s">
        <v>12</v>
      </c>
      <c r="J627" t="s">
        <v>11397</v>
      </c>
    </row>
    <row r="628" spans="1:10" x14ac:dyDescent="0.25">
      <c r="A628">
        <v>198517</v>
      </c>
      <c r="B628" t="s">
        <v>656</v>
      </c>
      <c r="C628" t="str">
        <f>"9780415335720"</f>
        <v>9780415335720</v>
      </c>
      <c r="D628" t="str">
        <f>"9780203420324"</f>
        <v>9780203420324</v>
      </c>
      <c r="E628" t="s">
        <v>15</v>
      </c>
      <c r="F628" t="s">
        <v>16</v>
      </c>
      <c r="G628" s="1">
        <v>38362</v>
      </c>
      <c r="H628" s="1">
        <v>42219</v>
      </c>
      <c r="I628" t="s">
        <v>12</v>
      </c>
      <c r="J628" t="s">
        <v>11398</v>
      </c>
    </row>
    <row r="629" spans="1:10" x14ac:dyDescent="0.25">
      <c r="A629">
        <v>198519</v>
      </c>
      <c r="B629" t="s">
        <v>657</v>
      </c>
      <c r="C629" t="str">
        <f>"9780415336307"</f>
        <v>9780415336307</v>
      </c>
      <c r="D629" t="str">
        <f>"9780203421499"</f>
        <v>9780203421499</v>
      </c>
      <c r="E629" t="s">
        <v>15</v>
      </c>
      <c r="F629" t="s">
        <v>16</v>
      </c>
      <c r="G629" s="1">
        <v>38344</v>
      </c>
      <c r="H629" s="1">
        <v>38669</v>
      </c>
      <c r="I629" t="s">
        <v>12</v>
      </c>
      <c r="J629" t="s">
        <v>11399</v>
      </c>
    </row>
    <row r="630" spans="1:10" x14ac:dyDescent="0.25">
      <c r="A630">
        <v>198520</v>
      </c>
      <c r="B630" t="s">
        <v>658</v>
      </c>
      <c r="C630" t="str">
        <f>"9780415336369"</f>
        <v>9780415336369</v>
      </c>
      <c r="D630" t="str">
        <f>"9780203421536"</f>
        <v>9780203421536</v>
      </c>
      <c r="E630" t="s">
        <v>395</v>
      </c>
      <c r="F630" t="s">
        <v>16</v>
      </c>
      <c r="G630" s="1">
        <v>38190</v>
      </c>
      <c r="H630" s="1">
        <v>40374</v>
      </c>
      <c r="I630" t="s">
        <v>12</v>
      </c>
      <c r="J630" t="s">
        <v>11400</v>
      </c>
    </row>
    <row r="631" spans="1:10" x14ac:dyDescent="0.25">
      <c r="A631">
        <v>198531</v>
      </c>
      <c r="B631" t="s">
        <v>659</v>
      </c>
      <c r="C631" t="str">
        <f>"9781841692982"</f>
        <v>9781841692982</v>
      </c>
      <c r="D631" t="str">
        <f>"9780203463567"</f>
        <v>9780203463567</v>
      </c>
      <c r="E631" t="s">
        <v>15</v>
      </c>
      <c r="F631" t="s">
        <v>55</v>
      </c>
      <c r="G631" s="1">
        <v>38387</v>
      </c>
      <c r="H631" s="1">
        <v>38644</v>
      </c>
      <c r="I631" t="s">
        <v>12</v>
      </c>
      <c r="J631" t="s">
        <v>11401</v>
      </c>
    </row>
    <row r="632" spans="1:10" x14ac:dyDescent="0.25">
      <c r="A632">
        <v>198596</v>
      </c>
      <c r="B632" t="s">
        <v>660</v>
      </c>
      <c r="C632" t="str">
        <f>"9780748763658"</f>
        <v>9780748763658</v>
      </c>
      <c r="D632" t="str">
        <f>"9780203502624"</f>
        <v>9780203502624</v>
      </c>
      <c r="E632" t="s">
        <v>15</v>
      </c>
      <c r="F632" t="s">
        <v>139</v>
      </c>
      <c r="G632" s="1">
        <v>37781</v>
      </c>
      <c r="H632" s="1">
        <v>40031</v>
      </c>
      <c r="I632" t="s">
        <v>12</v>
      </c>
      <c r="J632" t="s">
        <v>11402</v>
      </c>
    </row>
    <row r="633" spans="1:10" x14ac:dyDescent="0.25">
      <c r="A633">
        <v>198615</v>
      </c>
      <c r="B633" t="s">
        <v>661</v>
      </c>
      <c r="C633" t="str">
        <f>"9780849310935"</f>
        <v>9780849310935</v>
      </c>
      <c r="D633" t="str">
        <f>"9781439897287"</f>
        <v>9781439897287</v>
      </c>
      <c r="E633" t="s">
        <v>144</v>
      </c>
      <c r="F633" t="s">
        <v>144</v>
      </c>
      <c r="G633" s="1">
        <v>37893</v>
      </c>
      <c r="H633" s="1">
        <v>38771</v>
      </c>
      <c r="I633" t="s">
        <v>12</v>
      </c>
      <c r="J633" t="s">
        <v>11403</v>
      </c>
    </row>
    <row r="634" spans="1:10" x14ac:dyDescent="0.25">
      <c r="A634">
        <v>198620</v>
      </c>
      <c r="B634" t="s">
        <v>662</v>
      </c>
      <c r="C634" t="str">
        <f>"9780849311406"</f>
        <v>9780849311406</v>
      </c>
      <c r="D634" t="str">
        <f>"9780203491492"</f>
        <v>9780203491492</v>
      </c>
      <c r="E634" t="s">
        <v>144</v>
      </c>
      <c r="F634" t="s">
        <v>144</v>
      </c>
      <c r="G634" s="1">
        <v>37847</v>
      </c>
      <c r="H634" s="1">
        <v>38908</v>
      </c>
      <c r="I634" t="s">
        <v>12</v>
      </c>
      <c r="J634" t="s">
        <v>11404</v>
      </c>
    </row>
    <row r="635" spans="1:10" x14ac:dyDescent="0.25">
      <c r="A635">
        <v>198621</v>
      </c>
      <c r="B635" t="s">
        <v>663</v>
      </c>
      <c r="C635" t="str">
        <f>"9780849311598"</f>
        <v>9780849311598</v>
      </c>
      <c r="D635" t="str">
        <f>"9780203484418"</f>
        <v>9780203484418</v>
      </c>
      <c r="E635" t="s">
        <v>144</v>
      </c>
      <c r="F635" t="s">
        <v>144</v>
      </c>
      <c r="G635" s="1">
        <v>38730</v>
      </c>
      <c r="H635" s="1">
        <v>38893</v>
      </c>
      <c r="I635" t="s">
        <v>12</v>
      </c>
      <c r="J635" t="s">
        <v>11405</v>
      </c>
    </row>
    <row r="636" spans="1:10" x14ac:dyDescent="0.25">
      <c r="A636">
        <v>198646</v>
      </c>
      <c r="B636" t="s">
        <v>664</v>
      </c>
      <c r="C636" t="str">
        <f>"9780849312915"</f>
        <v>9780849312915</v>
      </c>
      <c r="D636" t="str">
        <f>"9780203503966"</f>
        <v>9780203503966</v>
      </c>
      <c r="E636" t="s">
        <v>144</v>
      </c>
      <c r="F636" t="s">
        <v>144</v>
      </c>
      <c r="G636" s="1">
        <v>37799</v>
      </c>
      <c r="H636" s="1">
        <v>38665</v>
      </c>
      <c r="I636" t="s">
        <v>12</v>
      </c>
      <c r="J636" t="s">
        <v>11406</v>
      </c>
    </row>
    <row r="637" spans="1:10" x14ac:dyDescent="0.25">
      <c r="A637">
        <v>198699</v>
      </c>
      <c r="B637" t="s">
        <v>665</v>
      </c>
      <c r="C637" t="str">
        <f>"9780849315091"</f>
        <v>9780849315091</v>
      </c>
      <c r="D637" t="str">
        <f>"9780203507087"</f>
        <v>9780203507087</v>
      </c>
      <c r="E637" t="s">
        <v>144</v>
      </c>
      <c r="F637" t="s">
        <v>144</v>
      </c>
      <c r="G637" s="1">
        <v>37949</v>
      </c>
      <c r="H637" s="1">
        <v>38893</v>
      </c>
      <c r="I637" t="s">
        <v>12</v>
      </c>
      <c r="J637" t="s">
        <v>11407</v>
      </c>
    </row>
    <row r="638" spans="1:10" x14ac:dyDescent="0.25">
      <c r="A638">
        <v>198714</v>
      </c>
      <c r="B638" t="s">
        <v>666</v>
      </c>
      <c r="C638" t="str">
        <f>"9780849315480"</f>
        <v>9780849315480</v>
      </c>
      <c r="D638" t="str">
        <f>"9780203486054"</f>
        <v>9780203486054</v>
      </c>
      <c r="E638" t="s">
        <v>667</v>
      </c>
      <c r="F638" t="s">
        <v>667</v>
      </c>
      <c r="G638" s="1">
        <v>37799</v>
      </c>
      <c r="H638" s="1">
        <v>42102</v>
      </c>
      <c r="I638" t="s">
        <v>12</v>
      </c>
      <c r="J638" t="s">
        <v>11408</v>
      </c>
    </row>
    <row r="639" spans="1:10" x14ac:dyDescent="0.25">
      <c r="A639">
        <v>198723</v>
      </c>
      <c r="B639" t="s">
        <v>668</v>
      </c>
      <c r="C639" t="str">
        <f>"9780849315749"</f>
        <v>9780849315749</v>
      </c>
      <c r="D639" t="str">
        <f>"9780203485286"</f>
        <v>9780203485286</v>
      </c>
      <c r="E639" t="s">
        <v>15</v>
      </c>
      <c r="F639" t="s">
        <v>139</v>
      </c>
      <c r="G639" s="1">
        <v>38495</v>
      </c>
      <c r="H639" s="1">
        <v>40408</v>
      </c>
      <c r="I639" t="s">
        <v>12</v>
      </c>
      <c r="J639" t="s">
        <v>11409</v>
      </c>
    </row>
    <row r="640" spans="1:10" x14ac:dyDescent="0.25">
      <c r="A640">
        <v>198732</v>
      </c>
      <c r="B640" t="s">
        <v>669</v>
      </c>
      <c r="C640" t="str">
        <f>"9780849315992"</f>
        <v>9780849315992</v>
      </c>
      <c r="D640" t="str">
        <f>"9780203483664"</f>
        <v>9780203483664</v>
      </c>
      <c r="E640" t="s">
        <v>144</v>
      </c>
      <c r="F640" t="s">
        <v>144</v>
      </c>
      <c r="G640" s="1">
        <v>37972</v>
      </c>
      <c r="H640" s="1">
        <v>42103</v>
      </c>
      <c r="I640" t="s">
        <v>12</v>
      </c>
      <c r="J640" t="s">
        <v>11410</v>
      </c>
    </row>
    <row r="641" spans="1:10" x14ac:dyDescent="0.25">
      <c r="A641">
        <v>198739</v>
      </c>
      <c r="B641" t="s">
        <v>670</v>
      </c>
      <c r="C641" t="str">
        <f>"9780849316166"</f>
        <v>9780849316166</v>
      </c>
      <c r="D641" t="str">
        <f>"9781135502133"</f>
        <v>9781135502133</v>
      </c>
      <c r="E641" t="s">
        <v>15</v>
      </c>
      <c r="F641" t="s">
        <v>139</v>
      </c>
      <c r="G641" s="1">
        <v>38474</v>
      </c>
      <c r="H641" s="1">
        <v>42103</v>
      </c>
      <c r="I641" t="s">
        <v>12</v>
      </c>
      <c r="J641" t="s">
        <v>11411</v>
      </c>
    </row>
    <row r="642" spans="1:10" x14ac:dyDescent="0.25">
      <c r="A642">
        <v>198837</v>
      </c>
      <c r="B642" t="s">
        <v>671</v>
      </c>
      <c r="C642" t="str">
        <f>"9780849318849"</f>
        <v>9780849318849</v>
      </c>
      <c r="D642" t="str">
        <f>"9781466572744"</f>
        <v>9781466572744</v>
      </c>
      <c r="E642" t="s">
        <v>144</v>
      </c>
      <c r="F642" t="s">
        <v>139</v>
      </c>
      <c r="G642" s="1">
        <v>37893</v>
      </c>
      <c r="H642" s="1">
        <v>38698</v>
      </c>
      <c r="I642" t="s">
        <v>12</v>
      </c>
      <c r="J642" t="s">
        <v>11412</v>
      </c>
    </row>
    <row r="643" spans="1:10" x14ac:dyDescent="0.25">
      <c r="A643">
        <v>198864</v>
      </c>
      <c r="B643" t="s">
        <v>672</v>
      </c>
      <c r="C643" t="str">
        <f>"9780849319570"</f>
        <v>9780849319570</v>
      </c>
      <c r="D643" t="str">
        <f>"9780203488652"</f>
        <v>9780203488652</v>
      </c>
      <c r="E643" t="s">
        <v>144</v>
      </c>
      <c r="F643" t="s">
        <v>667</v>
      </c>
      <c r="G643" s="1">
        <v>38288</v>
      </c>
      <c r="H643" s="1">
        <v>42102</v>
      </c>
      <c r="I643" t="s">
        <v>12</v>
      </c>
      <c r="J643" t="s">
        <v>11413</v>
      </c>
    </row>
    <row r="644" spans="1:10" x14ac:dyDescent="0.25">
      <c r="A644">
        <v>198934</v>
      </c>
      <c r="B644" t="s">
        <v>673</v>
      </c>
      <c r="C644" t="str">
        <f>"9780849322396"</f>
        <v>9780849322396</v>
      </c>
      <c r="D644" t="str">
        <f>"9780203503140"</f>
        <v>9780203503140</v>
      </c>
      <c r="E644" t="s">
        <v>144</v>
      </c>
      <c r="F644" t="s">
        <v>139</v>
      </c>
      <c r="G644" s="1">
        <v>37970</v>
      </c>
      <c r="H644" s="1">
        <v>38665</v>
      </c>
      <c r="I644" t="s">
        <v>12</v>
      </c>
      <c r="J644" t="s">
        <v>11414</v>
      </c>
    </row>
    <row r="645" spans="1:10" x14ac:dyDescent="0.25">
      <c r="A645">
        <v>198959</v>
      </c>
      <c r="B645" t="s">
        <v>674</v>
      </c>
      <c r="C645" t="str">
        <f>"9780849325243"</f>
        <v>9780849325243</v>
      </c>
      <c r="D645" t="str">
        <f>"9780203496329"</f>
        <v>9780203496329</v>
      </c>
      <c r="E645" t="s">
        <v>667</v>
      </c>
      <c r="F645" t="s">
        <v>667</v>
      </c>
      <c r="G645" s="1">
        <v>38274</v>
      </c>
      <c r="H645" s="1">
        <v>42103</v>
      </c>
      <c r="I645" t="s">
        <v>12</v>
      </c>
      <c r="J645" t="s">
        <v>11415</v>
      </c>
    </row>
    <row r="646" spans="1:10" x14ac:dyDescent="0.25">
      <c r="A646">
        <v>198992</v>
      </c>
      <c r="B646" t="s">
        <v>675</v>
      </c>
      <c r="C646" t="str">
        <f>"9781566705998"</f>
        <v>9781566705998</v>
      </c>
      <c r="D646" t="str">
        <f>"9780203486542"</f>
        <v>9780203486542</v>
      </c>
      <c r="E646" t="s">
        <v>144</v>
      </c>
      <c r="F646" t="s">
        <v>144</v>
      </c>
      <c r="G646" s="1">
        <v>38140</v>
      </c>
      <c r="H646" s="1">
        <v>38700</v>
      </c>
      <c r="I646" t="s">
        <v>12</v>
      </c>
      <c r="J646" t="s">
        <v>11416</v>
      </c>
    </row>
    <row r="647" spans="1:10" x14ac:dyDescent="0.25">
      <c r="A647">
        <v>198999</v>
      </c>
      <c r="B647" t="s">
        <v>676</v>
      </c>
      <c r="C647" t="str">
        <f>"9781566706117"</f>
        <v>9781566706117</v>
      </c>
      <c r="D647" t="str">
        <f>"9780203493182"</f>
        <v>9780203493182</v>
      </c>
      <c r="E647" t="s">
        <v>144</v>
      </c>
      <c r="F647" t="s">
        <v>144</v>
      </c>
      <c r="G647" s="1">
        <v>38349</v>
      </c>
      <c r="H647" s="1">
        <v>38810</v>
      </c>
      <c r="I647" t="s">
        <v>12</v>
      </c>
      <c r="J647" t="s">
        <v>11417</v>
      </c>
    </row>
    <row r="648" spans="1:10" x14ac:dyDescent="0.25">
      <c r="A648">
        <v>199025</v>
      </c>
      <c r="B648" t="s">
        <v>677</v>
      </c>
      <c r="C648" t="str">
        <f>"9781566706650"</f>
        <v>9781566706650</v>
      </c>
      <c r="D648" t="str">
        <f>"9780203490181"</f>
        <v>9780203490181</v>
      </c>
      <c r="E648" t="s">
        <v>144</v>
      </c>
      <c r="F648" t="s">
        <v>144</v>
      </c>
      <c r="G648" s="1">
        <v>38379</v>
      </c>
      <c r="H648" s="1">
        <v>38906</v>
      </c>
      <c r="I648" t="s">
        <v>12</v>
      </c>
      <c r="J648" t="s">
        <v>11418</v>
      </c>
    </row>
    <row r="649" spans="1:10" x14ac:dyDescent="0.25">
      <c r="A649">
        <v>199125</v>
      </c>
      <c r="B649" t="s">
        <v>678</v>
      </c>
      <c r="C649" t="str">
        <f>"9781584883838"</f>
        <v>9781584883838</v>
      </c>
      <c r="D649" t="str">
        <f>"9780203487068"</f>
        <v>9780203487068</v>
      </c>
      <c r="E649" t="s">
        <v>144</v>
      </c>
      <c r="F649" t="s">
        <v>679</v>
      </c>
      <c r="G649" s="1">
        <v>38350</v>
      </c>
      <c r="H649" s="1">
        <v>38906</v>
      </c>
      <c r="I649" t="s">
        <v>12</v>
      </c>
      <c r="J649" t="s">
        <v>11419</v>
      </c>
    </row>
    <row r="650" spans="1:10" x14ac:dyDescent="0.25">
      <c r="A650">
        <v>199147</v>
      </c>
      <c r="B650" t="s">
        <v>680</v>
      </c>
      <c r="C650" t="str">
        <f>"9781584884132"</f>
        <v>9781584884132</v>
      </c>
      <c r="D650" t="str">
        <f>"9780203485217"</f>
        <v>9780203485217</v>
      </c>
      <c r="E650" t="s">
        <v>144</v>
      </c>
      <c r="F650" t="s">
        <v>679</v>
      </c>
      <c r="G650" s="1">
        <v>37985</v>
      </c>
      <c r="H650" s="1">
        <v>40037</v>
      </c>
      <c r="I650" t="s">
        <v>12</v>
      </c>
      <c r="J650" t="s">
        <v>11420</v>
      </c>
    </row>
    <row r="651" spans="1:10" x14ac:dyDescent="0.25">
      <c r="A651">
        <v>199183</v>
      </c>
      <c r="B651" t="s">
        <v>681</v>
      </c>
      <c r="C651" t="str">
        <f>"9781587161599"</f>
        <v>9781587161599</v>
      </c>
      <c r="D651" t="str">
        <f>"9780203505991"</f>
        <v>9780203505991</v>
      </c>
      <c r="E651" t="s">
        <v>144</v>
      </c>
      <c r="F651" t="s">
        <v>144</v>
      </c>
      <c r="G651" s="1">
        <v>38982</v>
      </c>
      <c r="H651" s="1">
        <v>39100</v>
      </c>
      <c r="I651" t="s">
        <v>12</v>
      </c>
      <c r="J651" t="s">
        <v>11421</v>
      </c>
    </row>
    <row r="652" spans="1:10" x14ac:dyDescent="0.25">
      <c r="A652">
        <v>199196</v>
      </c>
      <c r="B652" t="s">
        <v>682</v>
      </c>
      <c r="C652" t="str">
        <f>"9781841693101"</f>
        <v>9781841693101</v>
      </c>
      <c r="D652" t="str">
        <f>"9780203506936"</f>
        <v>9780203506936</v>
      </c>
      <c r="E652" t="s">
        <v>15</v>
      </c>
      <c r="F652" t="s">
        <v>55</v>
      </c>
      <c r="G652" s="1">
        <v>38288</v>
      </c>
      <c r="H652" s="1">
        <v>38644</v>
      </c>
      <c r="I652" t="s">
        <v>12</v>
      </c>
      <c r="J652" t="s">
        <v>11422</v>
      </c>
    </row>
    <row r="653" spans="1:10" x14ac:dyDescent="0.25">
      <c r="A653">
        <v>199199</v>
      </c>
      <c r="B653" t="s">
        <v>683</v>
      </c>
      <c r="C653" t="str">
        <f>"9781841693330"</f>
        <v>9781841693330</v>
      </c>
      <c r="D653" t="str">
        <f>"9780203493564"</f>
        <v>9780203493564</v>
      </c>
      <c r="E653" t="s">
        <v>15</v>
      </c>
      <c r="F653" t="s">
        <v>55</v>
      </c>
      <c r="G653" s="1">
        <v>38393</v>
      </c>
      <c r="H653" s="1">
        <v>38491</v>
      </c>
      <c r="I653" t="s">
        <v>12</v>
      </c>
      <c r="J653" t="s">
        <v>11423</v>
      </c>
    </row>
    <row r="654" spans="1:10" x14ac:dyDescent="0.25">
      <c r="A654">
        <v>199202</v>
      </c>
      <c r="B654" t="s">
        <v>684</v>
      </c>
      <c r="C654" t="str">
        <f>"9781841693521"</f>
        <v>9781841693521</v>
      </c>
      <c r="D654" t="str">
        <f>"9780203504550"</f>
        <v>9780203504550</v>
      </c>
      <c r="E654" t="s">
        <v>15</v>
      </c>
      <c r="F654" t="s">
        <v>55</v>
      </c>
      <c r="G654" s="1">
        <v>38678</v>
      </c>
      <c r="H654" s="1">
        <v>38796</v>
      </c>
      <c r="I654" t="s">
        <v>12</v>
      </c>
      <c r="J654" t="s">
        <v>11424</v>
      </c>
    </row>
    <row r="655" spans="1:10" x14ac:dyDescent="0.25">
      <c r="A655">
        <v>199204</v>
      </c>
      <c r="B655" t="s">
        <v>685</v>
      </c>
      <c r="C655" t="str">
        <f>"9781841693835"</f>
        <v>9781841693835</v>
      </c>
      <c r="D655" t="str">
        <f>"9780203502259"</f>
        <v>9780203502259</v>
      </c>
      <c r="E655" t="s">
        <v>15</v>
      </c>
      <c r="F655" t="s">
        <v>55</v>
      </c>
      <c r="G655" s="1">
        <v>38323</v>
      </c>
      <c r="H655" s="1">
        <v>38491</v>
      </c>
      <c r="I655" t="s">
        <v>12</v>
      </c>
      <c r="J655" t="s">
        <v>11425</v>
      </c>
    </row>
    <row r="656" spans="1:10" x14ac:dyDescent="0.25">
      <c r="A656">
        <v>199263</v>
      </c>
      <c r="B656" t="s">
        <v>686</v>
      </c>
      <c r="C656" t="str">
        <f>"9781859962237"</f>
        <v>9781859962237</v>
      </c>
      <c r="D656" t="str">
        <f>"9780203488294"</f>
        <v>9780203488294</v>
      </c>
      <c r="E656" t="s">
        <v>15</v>
      </c>
      <c r="F656" t="s">
        <v>153</v>
      </c>
      <c r="G656" s="1">
        <v>37973</v>
      </c>
      <c r="H656" s="1">
        <v>38664</v>
      </c>
      <c r="I656" t="s">
        <v>12</v>
      </c>
      <c r="J656" t="s">
        <v>11426</v>
      </c>
    </row>
    <row r="657" spans="1:10" x14ac:dyDescent="0.25">
      <c r="A657">
        <v>199276</v>
      </c>
      <c r="B657" t="s">
        <v>687</v>
      </c>
      <c r="C657" t="str">
        <f>"9781859962848"</f>
        <v>9781859962848</v>
      </c>
      <c r="D657" t="str">
        <f>"9780203488300"</f>
        <v>9780203488300</v>
      </c>
      <c r="E657" t="s">
        <v>15</v>
      </c>
      <c r="F657" t="s">
        <v>16</v>
      </c>
      <c r="G657" s="1">
        <v>38979</v>
      </c>
      <c r="H657" s="1">
        <v>39318</v>
      </c>
      <c r="I657" t="s">
        <v>12</v>
      </c>
      <c r="J657" t="s">
        <v>11427</v>
      </c>
    </row>
    <row r="658" spans="1:10" x14ac:dyDescent="0.25">
      <c r="A658">
        <v>199319</v>
      </c>
      <c r="B658" t="s">
        <v>688</v>
      </c>
      <c r="C658" t="str">
        <f>"9780415258937"</f>
        <v>9780415258937</v>
      </c>
      <c r="D658" t="str">
        <f>"9780203697078"</f>
        <v>9780203697078</v>
      </c>
      <c r="E658" t="s">
        <v>16</v>
      </c>
      <c r="F658" t="s">
        <v>16</v>
      </c>
      <c r="G658" s="1">
        <v>37735</v>
      </c>
      <c r="H658" s="1">
        <v>38415</v>
      </c>
      <c r="I658" t="s">
        <v>12</v>
      </c>
      <c r="J658" t="s">
        <v>11428</v>
      </c>
    </row>
    <row r="659" spans="1:10" x14ac:dyDescent="0.25">
      <c r="A659">
        <v>199325</v>
      </c>
      <c r="B659" t="s">
        <v>689</v>
      </c>
      <c r="C659" t="str">
        <f>"9780415286336"</f>
        <v>9780415286336</v>
      </c>
      <c r="D659" t="str">
        <f>"9780203697047"</f>
        <v>9780203697047</v>
      </c>
      <c r="E659" t="s">
        <v>16</v>
      </c>
      <c r="F659" t="s">
        <v>16</v>
      </c>
      <c r="G659" s="1">
        <v>37637</v>
      </c>
      <c r="H659" s="1">
        <v>38169</v>
      </c>
      <c r="I659" t="s">
        <v>12</v>
      </c>
      <c r="J659" t="s">
        <v>11429</v>
      </c>
    </row>
    <row r="660" spans="1:10" x14ac:dyDescent="0.25">
      <c r="A660">
        <v>199328</v>
      </c>
      <c r="B660" t="s">
        <v>690</v>
      </c>
      <c r="C660" t="str">
        <f>"9780415298506"</f>
        <v>9780415298506</v>
      </c>
      <c r="D660" t="str">
        <f>"9780203695005"</f>
        <v>9780203695005</v>
      </c>
      <c r="E660" t="s">
        <v>15</v>
      </c>
      <c r="F660" t="s">
        <v>16</v>
      </c>
      <c r="G660" s="1">
        <v>37889</v>
      </c>
      <c r="H660" s="1">
        <v>38410</v>
      </c>
      <c r="I660" t="s">
        <v>12</v>
      </c>
      <c r="J660" t="s">
        <v>11430</v>
      </c>
    </row>
    <row r="661" spans="1:10" x14ac:dyDescent="0.25">
      <c r="A661">
        <v>199330</v>
      </c>
      <c r="B661" t="s">
        <v>691</v>
      </c>
      <c r="C661" t="str">
        <f>"9780415317603"</f>
        <v>9780415317603</v>
      </c>
      <c r="D661" t="str">
        <f>"9780203694992"</f>
        <v>9780203694992</v>
      </c>
      <c r="E661" t="s">
        <v>16</v>
      </c>
      <c r="F661" t="s">
        <v>16</v>
      </c>
      <c r="G661" s="1">
        <v>37840</v>
      </c>
      <c r="H661" s="1">
        <v>38930</v>
      </c>
      <c r="I661" t="s">
        <v>12</v>
      </c>
      <c r="J661" t="s">
        <v>11431</v>
      </c>
    </row>
    <row r="662" spans="1:10" x14ac:dyDescent="0.25">
      <c r="A662">
        <v>199334</v>
      </c>
      <c r="B662" t="s">
        <v>692</v>
      </c>
      <c r="C662" t="str">
        <f>"9781583912430"</f>
        <v>9781583912430</v>
      </c>
      <c r="D662" t="str">
        <f>"9780203695548"</f>
        <v>9780203695548</v>
      </c>
      <c r="E662" t="s">
        <v>15</v>
      </c>
      <c r="F662" t="s">
        <v>16</v>
      </c>
      <c r="G662" s="1">
        <v>37729</v>
      </c>
      <c r="H662" s="1">
        <v>38486</v>
      </c>
      <c r="I662" t="s">
        <v>12</v>
      </c>
      <c r="J662" t="s">
        <v>11432</v>
      </c>
    </row>
    <row r="663" spans="1:10" x14ac:dyDescent="0.25">
      <c r="A663">
        <v>199345</v>
      </c>
      <c r="B663" t="s">
        <v>693</v>
      </c>
      <c r="C663" t="str">
        <f>"9780415331968"</f>
        <v>9780415331968</v>
      </c>
      <c r="D663" t="str">
        <f>"9780203398135"</f>
        <v>9780203398135</v>
      </c>
      <c r="E663" t="s">
        <v>15</v>
      </c>
      <c r="F663" t="s">
        <v>16</v>
      </c>
      <c r="G663" s="1">
        <v>38461</v>
      </c>
      <c r="H663" s="1">
        <v>38654</v>
      </c>
      <c r="I663" t="s">
        <v>12</v>
      </c>
      <c r="J663" t="s">
        <v>11433</v>
      </c>
    </row>
    <row r="664" spans="1:10" x14ac:dyDescent="0.25">
      <c r="A664">
        <v>199346</v>
      </c>
      <c r="B664" t="s">
        <v>694</v>
      </c>
      <c r="C664" t="str">
        <f>"9780415345194"</f>
        <v>9780415345194</v>
      </c>
      <c r="D664" t="str">
        <f>"9780203537060"</f>
        <v>9780203537060</v>
      </c>
      <c r="E664" t="s">
        <v>15</v>
      </c>
      <c r="F664" t="s">
        <v>16</v>
      </c>
      <c r="G664" s="1">
        <v>38461</v>
      </c>
      <c r="H664" s="1">
        <v>38642</v>
      </c>
      <c r="I664" t="s">
        <v>12</v>
      </c>
      <c r="J664" t="s">
        <v>11434</v>
      </c>
    </row>
    <row r="665" spans="1:10" x14ac:dyDescent="0.25">
      <c r="A665">
        <v>199361</v>
      </c>
      <c r="B665" t="s">
        <v>695</v>
      </c>
      <c r="C665" t="str">
        <f>"9780415234122"</f>
        <v>9780415234122</v>
      </c>
      <c r="D665" t="str">
        <f>"9780203641255"</f>
        <v>9780203641255</v>
      </c>
      <c r="E665" t="s">
        <v>15</v>
      </c>
      <c r="F665" t="s">
        <v>16</v>
      </c>
      <c r="G665" s="1">
        <v>41926</v>
      </c>
      <c r="H665" s="1">
        <v>38771</v>
      </c>
      <c r="I665" t="s">
        <v>12</v>
      </c>
      <c r="J665" t="s">
        <v>11435</v>
      </c>
    </row>
    <row r="666" spans="1:10" x14ac:dyDescent="0.25">
      <c r="A666">
        <v>199366</v>
      </c>
      <c r="B666" t="s">
        <v>696</v>
      </c>
      <c r="C666" t="str">
        <f>"9780415246439"</f>
        <v>9780415246439</v>
      </c>
      <c r="D666" t="str">
        <f>"9780203321447"</f>
        <v>9780203321447</v>
      </c>
      <c r="E666" t="s">
        <v>15</v>
      </c>
      <c r="F666" t="s">
        <v>16</v>
      </c>
      <c r="G666" s="1">
        <v>38588</v>
      </c>
      <c r="H666" s="1">
        <v>38796</v>
      </c>
      <c r="I666" t="s">
        <v>12</v>
      </c>
      <c r="J666" t="s">
        <v>11436</v>
      </c>
    </row>
    <row r="667" spans="1:10" x14ac:dyDescent="0.25">
      <c r="A667">
        <v>199386</v>
      </c>
      <c r="B667" t="s">
        <v>697</v>
      </c>
      <c r="C667" t="str">
        <f>"9780415281959"</f>
        <v>9780415281959</v>
      </c>
      <c r="D667" t="str">
        <f>"9780203311929"</f>
        <v>9780203311929</v>
      </c>
      <c r="E667" t="s">
        <v>15</v>
      </c>
      <c r="F667" t="s">
        <v>16</v>
      </c>
      <c r="G667" s="1">
        <v>38253</v>
      </c>
      <c r="H667" s="1">
        <v>39163</v>
      </c>
      <c r="I667" t="s">
        <v>12</v>
      </c>
      <c r="J667" t="s">
        <v>11437</v>
      </c>
    </row>
    <row r="668" spans="1:10" x14ac:dyDescent="0.25">
      <c r="A668">
        <v>199387</v>
      </c>
      <c r="B668" t="s">
        <v>698</v>
      </c>
      <c r="C668" t="str">
        <f>"9780415284066"</f>
        <v>9780415284066</v>
      </c>
      <c r="D668" t="str">
        <f>"9780203325575"</f>
        <v>9780203325575</v>
      </c>
      <c r="E668" t="s">
        <v>16</v>
      </c>
      <c r="F668" t="s">
        <v>16</v>
      </c>
      <c r="G668" s="1">
        <v>38938</v>
      </c>
      <c r="H668" s="1">
        <v>38990</v>
      </c>
      <c r="I668" t="s">
        <v>12</v>
      </c>
      <c r="J668" t="s">
        <v>11438</v>
      </c>
    </row>
    <row r="669" spans="1:10" x14ac:dyDescent="0.25">
      <c r="A669">
        <v>199400</v>
      </c>
      <c r="B669" t="s">
        <v>699</v>
      </c>
      <c r="C669" t="str">
        <f>"9780415308045"</f>
        <v>9780415308045</v>
      </c>
      <c r="D669" t="str">
        <f>"9780203327715"</f>
        <v>9780203327715</v>
      </c>
      <c r="E669" t="s">
        <v>15</v>
      </c>
      <c r="F669" t="s">
        <v>16</v>
      </c>
      <c r="G669" s="1">
        <v>38254</v>
      </c>
      <c r="H669" s="1">
        <v>41134</v>
      </c>
      <c r="I669" t="s">
        <v>12</v>
      </c>
      <c r="J669" t="s">
        <v>11439</v>
      </c>
    </row>
    <row r="670" spans="1:10" x14ac:dyDescent="0.25">
      <c r="A670">
        <v>199406</v>
      </c>
      <c r="B670" t="s">
        <v>700</v>
      </c>
      <c r="C670" t="str">
        <f>"9780415311212"</f>
        <v>9780415311212</v>
      </c>
      <c r="D670" t="str">
        <f>"9780203309124"</f>
        <v>9780203309124</v>
      </c>
      <c r="E670" t="s">
        <v>15</v>
      </c>
      <c r="F670" t="s">
        <v>16</v>
      </c>
      <c r="G670" s="1">
        <v>38359</v>
      </c>
      <c r="H670" s="1">
        <v>38415</v>
      </c>
      <c r="I670" t="s">
        <v>12</v>
      </c>
      <c r="J670" t="s">
        <v>11440</v>
      </c>
    </row>
    <row r="671" spans="1:10" x14ac:dyDescent="0.25">
      <c r="A671">
        <v>199431</v>
      </c>
      <c r="B671" t="s">
        <v>701</v>
      </c>
      <c r="C671" t="str">
        <f>"9780415328746"</f>
        <v>9780415328746</v>
      </c>
      <c r="D671" t="str">
        <f>"9780203329245"</f>
        <v>9780203329245</v>
      </c>
      <c r="E671" t="s">
        <v>15</v>
      </c>
      <c r="F671" t="s">
        <v>16</v>
      </c>
      <c r="G671" s="1">
        <v>38702</v>
      </c>
      <c r="H671" s="1">
        <v>38776</v>
      </c>
      <c r="I671" t="s">
        <v>12</v>
      </c>
      <c r="J671" t="s">
        <v>11441</v>
      </c>
    </row>
    <row r="672" spans="1:10" x14ac:dyDescent="0.25">
      <c r="A672">
        <v>199435</v>
      </c>
      <c r="B672" t="s">
        <v>702</v>
      </c>
      <c r="C672" t="str">
        <f>"9780415329590"</f>
        <v>9780415329590</v>
      </c>
      <c r="D672" t="str">
        <f>"9780203312025"</f>
        <v>9780203312025</v>
      </c>
      <c r="E672" t="s">
        <v>16</v>
      </c>
      <c r="F672" t="s">
        <v>16</v>
      </c>
      <c r="G672" s="1">
        <v>38601</v>
      </c>
      <c r="H672" s="1">
        <v>39163</v>
      </c>
      <c r="I672" t="s">
        <v>12</v>
      </c>
      <c r="J672" t="s">
        <v>11442</v>
      </c>
    </row>
    <row r="673" spans="1:10" x14ac:dyDescent="0.25">
      <c r="A673">
        <v>199436</v>
      </c>
      <c r="B673" t="s">
        <v>703</v>
      </c>
      <c r="C673" t="str">
        <f>"9780415331265"</f>
        <v>9780415331265</v>
      </c>
      <c r="D673" t="str">
        <f>"9780203341988"</f>
        <v>9780203341988</v>
      </c>
      <c r="E673" t="s">
        <v>15</v>
      </c>
      <c r="F673" t="s">
        <v>16</v>
      </c>
      <c r="G673" s="1">
        <v>38387</v>
      </c>
      <c r="H673" s="1">
        <v>41888</v>
      </c>
      <c r="I673" t="s">
        <v>12</v>
      </c>
      <c r="J673" t="s">
        <v>11443</v>
      </c>
    </row>
    <row r="674" spans="1:10" x14ac:dyDescent="0.25">
      <c r="A674">
        <v>199437</v>
      </c>
      <c r="B674" t="s">
        <v>704</v>
      </c>
      <c r="C674" t="str">
        <f>"9780415331364"</f>
        <v>9780415331364</v>
      </c>
      <c r="D674" t="str">
        <f>"9780203329856"</f>
        <v>9780203329856</v>
      </c>
      <c r="E674" t="s">
        <v>15</v>
      </c>
      <c r="F674" t="s">
        <v>16</v>
      </c>
      <c r="G674" s="1">
        <v>38461</v>
      </c>
      <c r="H674" s="1">
        <v>38665</v>
      </c>
      <c r="I674" t="s">
        <v>12</v>
      </c>
      <c r="J674" t="s">
        <v>11444</v>
      </c>
    </row>
    <row r="675" spans="1:10" x14ac:dyDescent="0.25">
      <c r="A675">
        <v>199438</v>
      </c>
      <c r="B675" t="s">
        <v>705</v>
      </c>
      <c r="C675" t="str">
        <f>"9780415332224"</f>
        <v>9780415332224</v>
      </c>
      <c r="D675" t="str">
        <f>"9780203339640"</f>
        <v>9780203339640</v>
      </c>
      <c r="E675" t="s">
        <v>15</v>
      </c>
      <c r="F675" t="s">
        <v>16</v>
      </c>
      <c r="G675" s="1">
        <v>38454</v>
      </c>
      <c r="H675" s="1">
        <v>38666</v>
      </c>
      <c r="I675" t="s">
        <v>12</v>
      </c>
      <c r="J675" t="s">
        <v>11445</v>
      </c>
    </row>
    <row r="676" spans="1:10" x14ac:dyDescent="0.25">
      <c r="A676">
        <v>199445</v>
      </c>
      <c r="B676" t="s">
        <v>706</v>
      </c>
      <c r="C676" t="str">
        <f>"9780415336079"</f>
        <v>9780415336079</v>
      </c>
      <c r="D676" t="str">
        <f>"9780203340042"</f>
        <v>9780203340042</v>
      </c>
      <c r="E676" t="s">
        <v>15</v>
      </c>
      <c r="F676" t="s">
        <v>16</v>
      </c>
      <c r="G676" s="1">
        <v>38905</v>
      </c>
      <c r="H676" s="1">
        <v>38983</v>
      </c>
      <c r="I676" t="s">
        <v>12</v>
      </c>
      <c r="J676" t="s">
        <v>11446</v>
      </c>
    </row>
    <row r="677" spans="1:10" x14ac:dyDescent="0.25">
      <c r="A677">
        <v>199469</v>
      </c>
      <c r="B677" t="s">
        <v>707</v>
      </c>
      <c r="C677" t="str">
        <f>"9780415342544"</f>
        <v>9780415342544</v>
      </c>
      <c r="D677" t="str">
        <f>"9780203338582"</f>
        <v>9780203338582</v>
      </c>
      <c r="E677" t="s">
        <v>15</v>
      </c>
      <c r="F677" t="s">
        <v>16</v>
      </c>
      <c r="G677" s="1">
        <v>38545</v>
      </c>
      <c r="H677" s="1">
        <v>38798</v>
      </c>
      <c r="I677" t="s">
        <v>12</v>
      </c>
      <c r="J677" t="s">
        <v>11447</v>
      </c>
    </row>
    <row r="678" spans="1:10" x14ac:dyDescent="0.25">
      <c r="A678">
        <v>199475</v>
      </c>
      <c r="B678" t="s">
        <v>708</v>
      </c>
      <c r="C678" t="str">
        <f>"9780415343114"</f>
        <v>9780415343114</v>
      </c>
      <c r="D678" t="str">
        <f>"9780203341308"</f>
        <v>9780203341308</v>
      </c>
      <c r="E678" t="s">
        <v>15</v>
      </c>
      <c r="F678" t="s">
        <v>16</v>
      </c>
      <c r="G678" s="1">
        <v>38532</v>
      </c>
      <c r="H678" s="1">
        <v>38997</v>
      </c>
      <c r="I678" t="s">
        <v>12</v>
      </c>
      <c r="J678" t="s">
        <v>11448</v>
      </c>
    </row>
    <row r="679" spans="1:10" x14ac:dyDescent="0.25">
      <c r="A679">
        <v>199476</v>
      </c>
      <c r="B679" t="s">
        <v>709</v>
      </c>
      <c r="C679" t="str">
        <f>"9780415343510"</f>
        <v>9780415343510</v>
      </c>
      <c r="D679" t="str">
        <f>"9780203324134"</f>
        <v>9780203324134</v>
      </c>
      <c r="E679" t="s">
        <v>15</v>
      </c>
      <c r="F679" t="s">
        <v>16</v>
      </c>
      <c r="G679" s="1">
        <v>38324</v>
      </c>
      <c r="H679" s="1">
        <v>38775</v>
      </c>
      <c r="I679" t="s">
        <v>12</v>
      </c>
      <c r="J679" t="s">
        <v>11449</v>
      </c>
    </row>
    <row r="680" spans="1:10" x14ac:dyDescent="0.25">
      <c r="A680">
        <v>199506</v>
      </c>
      <c r="B680" t="s">
        <v>710</v>
      </c>
      <c r="C680" t="str">
        <f>"9780415345071"</f>
        <v>9780415345071</v>
      </c>
      <c r="D680" t="str">
        <f>"9780203311332"</f>
        <v>9780203311332</v>
      </c>
      <c r="E680" t="s">
        <v>15</v>
      </c>
      <c r="F680" t="s">
        <v>16</v>
      </c>
      <c r="G680" s="1">
        <v>38341</v>
      </c>
      <c r="H680" s="1">
        <v>38697</v>
      </c>
      <c r="I680" t="s">
        <v>12</v>
      </c>
      <c r="J680" t="s">
        <v>11450</v>
      </c>
    </row>
    <row r="681" spans="1:10" x14ac:dyDescent="0.25">
      <c r="A681">
        <v>199527</v>
      </c>
      <c r="B681" t="s">
        <v>711</v>
      </c>
      <c r="C681" t="str">
        <f>"9780415347839"</f>
        <v>9780415347839</v>
      </c>
      <c r="D681" t="str">
        <f>"9780203311462"</f>
        <v>9780203311462</v>
      </c>
      <c r="E681" t="s">
        <v>15</v>
      </c>
      <c r="F681" t="s">
        <v>16</v>
      </c>
      <c r="G681" s="1">
        <v>38359</v>
      </c>
      <c r="H681" s="1">
        <v>38654</v>
      </c>
      <c r="I681" t="s">
        <v>12</v>
      </c>
      <c r="J681" t="s">
        <v>11451</v>
      </c>
    </row>
    <row r="682" spans="1:10" x14ac:dyDescent="0.25">
      <c r="A682">
        <v>199542</v>
      </c>
      <c r="B682" t="s">
        <v>712</v>
      </c>
      <c r="C682" t="str">
        <f>"9780415348157"</f>
        <v>9780415348157</v>
      </c>
      <c r="D682" t="str">
        <f>"9780203311103"</f>
        <v>9780203311103</v>
      </c>
      <c r="E682" t="s">
        <v>15</v>
      </c>
      <c r="F682" t="s">
        <v>16</v>
      </c>
      <c r="G682" s="1">
        <v>38385</v>
      </c>
      <c r="H682" s="1">
        <v>38529</v>
      </c>
      <c r="I682" t="s">
        <v>12</v>
      </c>
      <c r="J682" t="s">
        <v>11452</v>
      </c>
    </row>
    <row r="683" spans="1:10" x14ac:dyDescent="0.25">
      <c r="A683">
        <v>199574</v>
      </c>
      <c r="B683" t="s">
        <v>713</v>
      </c>
      <c r="C683" t="str">
        <f>"9780415349833"</f>
        <v>9780415349833</v>
      </c>
      <c r="D683" t="str">
        <f>"9780203308141"</f>
        <v>9780203308141</v>
      </c>
      <c r="E683" t="s">
        <v>16</v>
      </c>
      <c r="F683" t="s">
        <v>16</v>
      </c>
      <c r="G683" s="1">
        <v>38758</v>
      </c>
      <c r="H683" s="1">
        <v>38680</v>
      </c>
      <c r="I683" t="s">
        <v>12</v>
      </c>
      <c r="J683" t="s">
        <v>11453</v>
      </c>
    </row>
    <row r="684" spans="1:10" x14ac:dyDescent="0.25">
      <c r="A684">
        <v>199592</v>
      </c>
      <c r="B684" t="s">
        <v>714</v>
      </c>
      <c r="C684" t="str">
        <f>"9780415350754"</f>
        <v>9780415350754</v>
      </c>
      <c r="D684" t="str">
        <f>"9780203312353"</f>
        <v>9780203312353</v>
      </c>
      <c r="E684" t="s">
        <v>15</v>
      </c>
      <c r="F684" t="s">
        <v>16</v>
      </c>
      <c r="G684" s="1">
        <v>38509</v>
      </c>
      <c r="H684" s="1">
        <v>38774</v>
      </c>
      <c r="I684" t="s">
        <v>12</v>
      </c>
      <c r="J684" t="s">
        <v>11454</v>
      </c>
    </row>
    <row r="685" spans="1:10" x14ac:dyDescent="0.25">
      <c r="A685">
        <v>199600</v>
      </c>
      <c r="B685" t="s">
        <v>715</v>
      </c>
      <c r="C685" t="str">
        <f>"9780415700030"</f>
        <v>9780415700030</v>
      </c>
      <c r="D685" t="str">
        <f>"9780203311257"</f>
        <v>9780203311257</v>
      </c>
      <c r="E685" t="s">
        <v>15</v>
      </c>
      <c r="F685" t="s">
        <v>16</v>
      </c>
      <c r="G685" s="1">
        <v>38730</v>
      </c>
      <c r="H685" s="1">
        <v>38774</v>
      </c>
      <c r="I685" t="s">
        <v>12</v>
      </c>
      <c r="J685" t="s">
        <v>11455</v>
      </c>
    </row>
    <row r="686" spans="1:10" x14ac:dyDescent="0.25">
      <c r="A686">
        <v>199607</v>
      </c>
      <c r="B686" t="s">
        <v>716</v>
      </c>
      <c r="C686" t="str">
        <f>"9780415700870"</f>
        <v>9780415700870</v>
      </c>
      <c r="D686" t="str">
        <f>"9780203329580"</f>
        <v>9780203329580</v>
      </c>
      <c r="E686" t="s">
        <v>15</v>
      </c>
      <c r="F686" t="s">
        <v>16</v>
      </c>
      <c r="G686" s="1">
        <v>38449</v>
      </c>
      <c r="H686" s="1">
        <v>38778</v>
      </c>
      <c r="I686" t="s">
        <v>12</v>
      </c>
      <c r="J686" t="s">
        <v>11456</v>
      </c>
    </row>
    <row r="687" spans="1:10" x14ac:dyDescent="0.25">
      <c r="A687">
        <v>199649</v>
      </c>
      <c r="B687" t="s">
        <v>717</v>
      </c>
      <c r="C687" t="str">
        <f>"9780415949330"</f>
        <v>9780415949330</v>
      </c>
      <c r="D687" t="str">
        <f>"9780203327531"</f>
        <v>9780203327531</v>
      </c>
      <c r="E687" t="s">
        <v>15</v>
      </c>
      <c r="F687" t="s">
        <v>16</v>
      </c>
      <c r="G687" s="1">
        <v>38210</v>
      </c>
      <c r="H687" s="1">
        <v>38776</v>
      </c>
      <c r="I687" t="s">
        <v>12</v>
      </c>
      <c r="J687" t="s">
        <v>11457</v>
      </c>
    </row>
    <row r="688" spans="1:10" x14ac:dyDescent="0.25">
      <c r="A688">
        <v>199668</v>
      </c>
      <c r="B688" t="s">
        <v>718</v>
      </c>
      <c r="C688" t="str">
        <f>"9780415969109"</f>
        <v>9780415969109</v>
      </c>
      <c r="D688" t="str">
        <f>"9780203313459"</f>
        <v>9780203313459</v>
      </c>
      <c r="E688" t="s">
        <v>15</v>
      </c>
      <c r="F688" t="s">
        <v>16</v>
      </c>
      <c r="G688" s="1">
        <v>38286</v>
      </c>
      <c r="H688" s="1">
        <v>38642</v>
      </c>
      <c r="I688" t="s">
        <v>12</v>
      </c>
      <c r="J688" t="s">
        <v>11458</v>
      </c>
    </row>
    <row r="689" spans="1:10" x14ac:dyDescent="0.25">
      <c r="A689">
        <v>199669</v>
      </c>
      <c r="B689" t="s">
        <v>719</v>
      </c>
      <c r="C689" t="str">
        <f>"9780415969246"</f>
        <v>9780415969246</v>
      </c>
      <c r="D689" t="str">
        <f>"9780203334553"</f>
        <v>9780203334553</v>
      </c>
      <c r="E689" t="s">
        <v>15</v>
      </c>
      <c r="F689" t="s">
        <v>16</v>
      </c>
      <c r="G689" s="1">
        <v>38363</v>
      </c>
      <c r="H689" s="1">
        <v>38698</v>
      </c>
      <c r="I689" t="s">
        <v>12</v>
      </c>
      <c r="J689" t="s">
        <v>11459</v>
      </c>
    </row>
    <row r="690" spans="1:10" x14ac:dyDescent="0.25">
      <c r="A690">
        <v>199727</v>
      </c>
      <c r="B690" t="s">
        <v>720</v>
      </c>
      <c r="C690" t="str">
        <f>"9780714657158"</f>
        <v>9780714657158</v>
      </c>
      <c r="D690" t="str">
        <f>"9780203310045"</f>
        <v>9780203310045</v>
      </c>
      <c r="E690" t="s">
        <v>15</v>
      </c>
      <c r="F690" t="s">
        <v>16</v>
      </c>
      <c r="G690" s="1">
        <v>38702</v>
      </c>
      <c r="H690" s="1">
        <v>38774</v>
      </c>
      <c r="I690" t="s">
        <v>12</v>
      </c>
      <c r="J690" t="s">
        <v>11460</v>
      </c>
    </row>
    <row r="691" spans="1:10" x14ac:dyDescent="0.25">
      <c r="A691">
        <v>199752</v>
      </c>
      <c r="B691" t="s">
        <v>721</v>
      </c>
      <c r="C691" t="str">
        <f>"9780815315605"</f>
        <v>9780815315605</v>
      </c>
      <c r="D691" t="str">
        <f>"9780203306246"</f>
        <v>9780203306246</v>
      </c>
      <c r="E691" t="s">
        <v>15</v>
      </c>
      <c r="F691" t="s">
        <v>16</v>
      </c>
      <c r="G691" s="1">
        <v>34608</v>
      </c>
      <c r="H691" s="1">
        <v>38645</v>
      </c>
      <c r="I691" t="s">
        <v>12</v>
      </c>
      <c r="J691" t="s">
        <v>11461</v>
      </c>
    </row>
    <row r="692" spans="1:10" x14ac:dyDescent="0.25">
      <c r="A692">
        <v>199756</v>
      </c>
      <c r="B692" t="s">
        <v>722</v>
      </c>
      <c r="C692" t="str">
        <f>"9780849319976"</f>
        <v>9780849319976</v>
      </c>
      <c r="D692" t="str">
        <f>"9780203325438"</f>
        <v>9780203325438</v>
      </c>
      <c r="E692" t="s">
        <v>667</v>
      </c>
      <c r="F692" t="s">
        <v>667</v>
      </c>
      <c r="G692" s="1">
        <v>37985</v>
      </c>
      <c r="H692" s="1">
        <v>42340</v>
      </c>
      <c r="I692" t="s">
        <v>12</v>
      </c>
      <c r="J692" t="s">
        <v>11462</v>
      </c>
    </row>
    <row r="693" spans="1:10" x14ac:dyDescent="0.25">
      <c r="A693">
        <v>199770</v>
      </c>
      <c r="B693" t="s">
        <v>723</v>
      </c>
      <c r="C693" t="str">
        <f>"9780863775956"</f>
        <v>9780863775956</v>
      </c>
      <c r="D693" t="str">
        <f>"9780203311851"</f>
        <v>9780203311851</v>
      </c>
      <c r="E693" t="s">
        <v>15</v>
      </c>
      <c r="F693" t="s">
        <v>55</v>
      </c>
      <c r="G693" s="1">
        <v>38186</v>
      </c>
      <c r="H693" s="1">
        <v>40394</v>
      </c>
      <c r="I693" t="s">
        <v>12</v>
      </c>
      <c r="J693" t="s">
        <v>11463</v>
      </c>
    </row>
    <row r="694" spans="1:10" x14ac:dyDescent="0.25">
      <c r="A694">
        <v>199783</v>
      </c>
      <c r="B694" t="s">
        <v>724</v>
      </c>
      <c r="C694" t="str">
        <f>"9781579583910"</f>
        <v>9781579583910</v>
      </c>
      <c r="D694" t="str">
        <f>"9780203319208"</f>
        <v>9780203319208</v>
      </c>
      <c r="E694" t="s">
        <v>15</v>
      </c>
      <c r="F694" t="s">
        <v>16</v>
      </c>
      <c r="G694" s="1">
        <v>38348</v>
      </c>
      <c r="H694" s="1">
        <v>41311</v>
      </c>
      <c r="I694" t="s">
        <v>12</v>
      </c>
      <c r="J694" t="s">
        <v>11464</v>
      </c>
    </row>
    <row r="695" spans="1:10" x14ac:dyDescent="0.25">
      <c r="A695">
        <v>199797</v>
      </c>
      <c r="B695" t="s">
        <v>725</v>
      </c>
      <c r="C695" t="str">
        <f>"9781583919682"</f>
        <v>9781583919682</v>
      </c>
      <c r="D695" t="str">
        <f>"9780203323625"</f>
        <v>9780203323625</v>
      </c>
      <c r="E695" t="s">
        <v>15</v>
      </c>
      <c r="F695" t="s">
        <v>16</v>
      </c>
      <c r="G695" s="1">
        <v>38292</v>
      </c>
      <c r="H695" s="1">
        <v>38419</v>
      </c>
      <c r="I695" t="s">
        <v>12</v>
      </c>
      <c r="J695" t="s">
        <v>11465</v>
      </c>
    </row>
    <row r="696" spans="1:10" x14ac:dyDescent="0.25">
      <c r="A696">
        <v>199802</v>
      </c>
      <c r="B696" t="s">
        <v>726</v>
      </c>
      <c r="C696" t="str">
        <f>"9781841690780"</f>
        <v>9781841690780</v>
      </c>
      <c r="D696" t="str">
        <f>"9780203337974"</f>
        <v>9780203337974</v>
      </c>
      <c r="E696" t="s">
        <v>15</v>
      </c>
      <c r="F696" t="s">
        <v>55</v>
      </c>
      <c r="G696" s="1">
        <v>38201</v>
      </c>
      <c r="H696" s="1">
        <v>38427</v>
      </c>
      <c r="I696" t="s">
        <v>12</v>
      </c>
      <c r="J696" t="s">
        <v>11466</v>
      </c>
    </row>
    <row r="697" spans="1:10" x14ac:dyDescent="0.25">
      <c r="A697">
        <v>199806</v>
      </c>
      <c r="B697" t="s">
        <v>727</v>
      </c>
      <c r="C697" t="str">
        <f>"9781841691886"</f>
        <v>9781841691886</v>
      </c>
      <c r="D697" t="str">
        <f>"9780203307014"</f>
        <v>9780203307014</v>
      </c>
      <c r="E697" t="s">
        <v>15</v>
      </c>
      <c r="F697" t="s">
        <v>55</v>
      </c>
      <c r="G697" s="1">
        <v>37407</v>
      </c>
      <c r="H697" s="1">
        <v>38663</v>
      </c>
      <c r="I697" t="s">
        <v>12</v>
      </c>
      <c r="J697" t="s">
        <v>11467</v>
      </c>
    </row>
    <row r="698" spans="1:10" x14ac:dyDescent="0.25">
      <c r="A698">
        <v>199809</v>
      </c>
      <c r="B698" t="s">
        <v>728</v>
      </c>
      <c r="C698" t="str">
        <f>"9781841693491"</f>
        <v>9781841693491</v>
      </c>
      <c r="D698" t="str">
        <f>"9780203311875"</f>
        <v>9780203311875</v>
      </c>
      <c r="E698" t="s">
        <v>15</v>
      </c>
      <c r="F698" t="s">
        <v>55</v>
      </c>
      <c r="G698" s="1">
        <v>38545</v>
      </c>
      <c r="H698" s="1">
        <v>38654</v>
      </c>
      <c r="I698" t="s">
        <v>12</v>
      </c>
      <c r="J698" t="s">
        <v>11468</v>
      </c>
    </row>
    <row r="699" spans="1:10" x14ac:dyDescent="0.25">
      <c r="A699">
        <v>199812</v>
      </c>
      <c r="B699" t="s">
        <v>729</v>
      </c>
      <c r="C699" t="str">
        <f>"9781841695327"</f>
        <v>9781841695327</v>
      </c>
      <c r="D699" t="str">
        <f>"9780203338704"</f>
        <v>9780203338704</v>
      </c>
      <c r="E699" t="s">
        <v>15</v>
      </c>
      <c r="F699" t="s">
        <v>55</v>
      </c>
      <c r="G699" s="1">
        <v>38322</v>
      </c>
      <c r="H699" s="1">
        <v>38427</v>
      </c>
      <c r="I699" t="s">
        <v>12</v>
      </c>
      <c r="J699" t="s">
        <v>11469</v>
      </c>
    </row>
    <row r="700" spans="1:10" x14ac:dyDescent="0.25">
      <c r="A700">
        <v>199909</v>
      </c>
      <c r="B700" t="s">
        <v>730</v>
      </c>
      <c r="C700" t="str">
        <f>"9780415355568"</f>
        <v>9780415355568</v>
      </c>
      <c r="D700" t="str">
        <f>"9780203001950"</f>
        <v>9780203001950</v>
      </c>
      <c r="E700" t="s">
        <v>15</v>
      </c>
      <c r="F700" t="s">
        <v>16</v>
      </c>
      <c r="G700" s="1">
        <v>38645</v>
      </c>
      <c r="H700" s="1">
        <v>38776</v>
      </c>
      <c r="I700" t="s">
        <v>12</v>
      </c>
      <c r="J700" t="s">
        <v>11470</v>
      </c>
    </row>
    <row r="701" spans="1:10" x14ac:dyDescent="0.25">
      <c r="A701">
        <v>199929</v>
      </c>
      <c r="B701" t="s">
        <v>731</v>
      </c>
      <c r="C701" t="str">
        <f>"9780415148788"</f>
        <v>9780415148788</v>
      </c>
      <c r="D701" t="str">
        <f>"9781134801251"</f>
        <v>9781134801251</v>
      </c>
      <c r="E701" t="s">
        <v>15</v>
      </c>
      <c r="F701" t="s">
        <v>16</v>
      </c>
      <c r="G701" s="1">
        <v>39191</v>
      </c>
      <c r="H701" s="1">
        <v>39170</v>
      </c>
      <c r="I701" t="s">
        <v>12</v>
      </c>
      <c r="J701" t="s">
        <v>11471</v>
      </c>
    </row>
    <row r="702" spans="1:10" x14ac:dyDescent="0.25">
      <c r="A702">
        <v>199935</v>
      </c>
      <c r="B702" t="s">
        <v>732</v>
      </c>
      <c r="C702" t="str">
        <f>"9780415137829"</f>
        <v>9780415137829</v>
      </c>
      <c r="D702" t="str">
        <f>"9780203646007"</f>
        <v>9780203646007</v>
      </c>
      <c r="E702" t="s">
        <v>15</v>
      </c>
      <c r="F702" t="s">
        <v>16</v>
      </c>
      <c r="G702" s="1">
        <v>38329</v>
      </c>
      <c r="H702" s="1">
        <v>38420</v>
      </c>
      <c r="I702" t="s">
        <v>12</v>
      </c>
      <c r="J702" t="s">
        <v>11472</v>
      </c>
    </row>
    <row r="703" spans="1:10" x14ac:dyDescent="0.25">
      <c r="A703">
        <v>199966</v>
      </c>
      <c r="B703" t="s">
        <v>733</v>
      </c>
      <c r="C703" t="str">
        <f>"9780415196918"</f>
        <v>9780415196918</v>
      </c>
      <c r="D703" t="str">
        <f>"9780203644843"</f>
        <v>9780203644843</v>
      </c>
      <c r="E703" t="s">
        <v>15</v>
      </c>
      <c r="F703" t="s">
        <v>16</v>
      </c>
      <c r="G703" s="1">
        <v>38169</v>
      </c>
      <c r="H703" s="1">
        <v>38411</v>
      </c>
      <c r="I703" t="s">
        <v>12</v>
      </c>
      <c r="J703" t="s">
        <v>11473</v>
      </c>
    </row>
    <row r="704" spans="1:10" x14ac:dyDescent="0.25">
      <c r="A704">
        <v>200001</v>
      </c>
      <c r="B704" t="s">
        <v>734</v>
      </c>
      <c r="C704" t="str">
        <f>"9780415221276"</f>
        <v>9780415221276</v>
      </c>
      <c r="D704" t="str">
        <f>"9780203644652"</f>
        <v>9780203644652</v>
      </c>
      <c r="E704" t="s">
        <v>15</v>
      </c>
      <c r="F704" t="s">
        <v>16</v>
      </c>
      <c r="G704" s="1">
        <v>38064</v>
      </c>
      <c r="H704" s="1">
        <v>38478</v>
      </c>
      <c r="I704" t="s">
        <v>12</v>
      </c>
      <c r="J704" t="s">
        <v>11474</v>
      </c>
    </row>
    <row r="705" spans="1:10" x14ac:dyDescent="0.25">
      <c r="A705">
        <v>200002</v>
      </c>
      <c r="B705" t="s">
        <v>735</v>
      </c>
      <c r="C705" t="str">
        <f>"9780415222099"</f>
        <v>9780415222099</v>
      </c>
      <c r="D705" t="str">
        <f>"9780203644645"</f>
        <v>9780203644645</v>
      </c>
      <c r="E705" t="s">
        <v>15</v>
      </c>
      <c r="F705" t="s">
        <v>16</v>
      </c>
      <c r="G705" s="1">
        <v>37254</v>
      </c>
      <c r="H705" s="1">
        <v>39095</v>
      </c>
      <c r="I705" t="s">
        <v>12</v>
      </c>
      <c r="J705" t="s">
        <v>11475</v>
      </c>
    </row>
    <row r="706" spans="1:10" x14ac:dyDescent="0.25">
      <c r="A706">
        <v>200003</v>
      </c>
      <c r="B706" t="s">
        <v>736</v>
      </c>
      <c r="C706" t="str">
        <f>"9780415222211"</f>
        <v>9780415222211</v>
      </c>
      <c r="D706" t="str">
        <f>"9780203644614"</f>
        <v>9780203644614</v>
      </c>
      <c r="E706" t="s">
        <v>15</v>
      </c>
      <c r="F706" t="s">
        <v>16</v>
      </c>
      <c r="G706" s="1">
        <v>38085</v>
      </c>
      <c r="H706" s="1">
        <v>38169</v>
      </c>
      <c r="I706" t="s">
        <v>12</v>
      </c>
      <c r="J706" t="s">
        <v>11476</v>
      </c>
    </row>
    <row r="707" spans="1:10" x14ac:dyDescent="0.25">
      <c r="A707">
        <v>200025</v>
      </c>
      <c r="B707" t="s">
        <v>737</v>
      </c>
      <c r="C707" t="str">
        <f>"9780415241298"</f>
        <v>9780415241298</v>
      </c>
      <c r="D707" t="str">
        <f>"9780203645062"</f>
        <v>9780203645062</v>
      </c>
      <c r="E707" t="s">
        <v>15</v>
      </c>
      <c r="F707" t="s">
        <v>16</v>
      </c>
      <c r="G707" s="1">
        <v>38394</v>
      </c>
      <c r="H707" s="1">
        <v>38771</v>
      </c>
      <c r="I707" t="s">
        <v>12</v>
      </c>
      <c r="J707" t="s">
        <v>11477</v>
      </c>
    </row>
    <row r="708" spans="1:10" x14ac:dyDescent="0.25">
      <c r="A708">
        <v>200027</v>
      </c>
      <c r="B708" t="s">
        <v>738</v>
      </c>
      <c r="C708" t="str">
        <f>"9780415242349"</f>
        <v>9780415242349</v>
      </c>
      <c r="D708" t="str">
        <f>"9780203482834"</f>
        <v>9780203482834</v>
      </c>
      <c r="E708" t="s">
        <v>15</v>
      </c>
      <c r="F708" t="s">
        <v>16</v>
      </c>
      <c r="G708" s="1">
        <v>38288</v>
      </c>
      <c r="H708" s="1">
        <v>38418</v>
      </c>
      <c r="I708" t="s">
        <v>12</v>
      </c>
      <c r="J708" t="s">
        <v>11478</v>
      </c>
    </row>
    <row r="709" spans="1:10" x14ac:dyDescent="0.25">
      <c r="A709">
        <v>200048</v>
      </c>
      <c r="B709" t="s">
        <v>739</v>
      </c>
      <c r="C709" t="str">
        <f>"9780415251723"</f>
        <v>9780415251723</v>
      </c>
      <c r="D709" t="str">
        <f>"9781482267761"</f>
        <v>9781482267761</v>
      </c>
      <c r="E709" t="s">
        <v>15</v>
      </c>
      <c r="F709" t="s">
        <v>139</v>
      </c>
      <c r="G709" s="1">
        <v>38337</v>
      </c>
      <c r="H709" s="1">
        <v>38782</v>
      </c>
      <c r="I709" t="s">
        <v>12</v>
      </c>
      <c r="J709" t="s">
        <v>11479</v>
      </c>
    </row>
    <row r="710" spans="1:10" x14ac:dyDescent="0.25">
      <c r="A710">
        <v>200049</v>
      </c>
      <c r="B710" t="s">
        <v>740</v>
      </c>
      <c r="C710" t="str">
        <f>"9780415252263"</f>
        <v>9780415252263</v>
      </c>
      <c r="D710" t="str">
        <f>"9780203647394"</f>
        <v>9780203647394</v>
      </c>
      <c r="E710" t="s">
        <v>15</v>
      </c>
      <c r="F710" t="s">
        <v>16</v>
      </c>
      <c r="G710" s="1">
        <v>38036</v>
      </c>
      <c r="H710" s="1">
        <v>38771</v>
      </c>
      <c r="I710" t="s">
        <v>12</v>
      </c>
      <c r="J710" t="s">
        <v>11480</v>
      </c>
    </row>
    <row r="711" spans="1:10" x14ac:dyDescent="0.25">
      <c r="A711">
        <v>200064</v>
      </c>
      <c r="B711" t="s">
        <v>741</v>
      </c>
      <c r="C711" t="str">
        <f>"9780415259309"</f>
        <v>9780415259309</v>
      </c>
      <c r="D711" t="str">
        <f>"9780203646090"</f>
        <v>9780203646090</v>
      </c>
      <c r="E711" t="s">
        <v>15</v>
      </c>
      <c r="F711" t="s">
        <v>16</v>
      </c>
      <c r="G711" s="1">
        <v>37239</v>
      </c>
      <c r="H711" s="1">
        <v>38427</v>
      </c>
      <c r="I711" t="s">
        <v>12</v>
      </c>
      <c r="J711" t="s">
        <v>11481</v>
      </c>
    </row>
    <row r="712" spans="1:10" x14ac:dyDescent="0.25">
      <c r="A712">
        <v>200075</v>
      </c>
      <c r="B712" t="s">
        <v>742</v>
      </c>
      <c r="C712" t="str">
        <f>"9780415263214"</f>
        <v>9780415263214</v>
      </c>
      <c r="D712" t="str">
        <f>"9780203646717"</f>
        <v>9780203646717</v>
      </c>
      <c r="E712" t="s">
        <v>15</v>
      </c>
      <c r="F712" t="s">
        <v>16</v>
      </c>
      <c r="G712" s="1">
        <v>38153</v>
      </c>
      <c r="H712" s="1">
        <v>38666</v>
      </c>
      <c r="I712" t="s">
        <v>12</v>
      </c>
      <c r="J712" t="s">
        <v>11482</v>
      </c>
    </row>
    <row r="713" spans="1:10" x14ac:dyDescent="0.25">
      <c r="A713">
        <v>200093</v>
      </c>
      <c r="B713" t="s">
        <v>743</v>
      </c>
      <c r="C713" t="str">
        <f>"9780415268844"</f>
        <v>9780415268844</v>
      </c>
      <c r="D713" t="str">
        <f>"9780203640005"</f>
        <v>9780203640005</v>
      </c>
      <c r="E713" t="s">
        <v>15</v>
      </c>
      <c r="F713" t="s">
        <v>16</v>
      </c>
      <c r="G713" s="1">
        <v>38257</v>
      </c>
      <c r="H713" s="1">
        <v>40577</v>
      </c>
      <c r="I713" t="s">
        <v>12</v>
      </c>
      <c r="J713" t="s">
        <v>11483</v>
      </c>
    </row>
    <row r="714" spans="1:10" x14ac:dyDescent="0.25">
      <c r="A714">
        <v>200110</v>
      </c>
      <c r="B714" t="s">
        <v>744</v>
      </c>
      <c r="C714" t="str">
        <f>"9780415274104"</f>
        <v>9780415274104</v>
      </c>
      <c r="D714" t="str">
        <f>"9780203642597"</f>
        <v>9780203642597</v>
      </c>
      <c r="E714" t="s">
        <v>16</v>
      </c>
      <c r="F714" t="s">
        <v>16</v>
      </c>
      <c r="G714" s="1">
        <v>38302</v>
      </c>
      <c r="H714" s="1">
        <v>38930</v>
      </c>
      <c r="I714" t="s">
        <v>12</v>
      </c>
      <c r="J714" t="s">
        <v>11484</v>
      </c>
    </row>
    <row r="715" spans="1:10" x14ac:dyDescent="0.25">
      <c r="A715">
        <v>200123</v>
      </c>
      <c r="B715" t="s">
        <v>745</v>
      </c>
      <c r="C715" t="str">
        <f>"9780415275941"</f>
        <v>9780415275941</v>
      </c>
      <c r="D715" t="str">
        <f>"9780203642405"</f>
        <v>9780203642405</v>
      </c>
      <c r="E715" t="s">
        <v>15</v>
      </c>
      <c r="F715" t="s">
        <v>16</v>
      </c>
      <c r="G715" s="1">
        <v>38509</v>
      </c>
      <c r="H715" s="1">
        <v>38665</v>
      </c>
      <c r="I715" t="s">
        <v>12</v>
      </c>
      <c r="J715" t="s">
        <v>11485</v>
      </c>
    </row>
    <row r="716" spans="1:10" x14ac:dyDescent="0.25">
      <c r="A716">
        <v>200127</v>
      </c>
      <c r="B716" t="s">
        <v>746</v>
      </c>
      <c r="C716" t="str">
        <f>"9780415277549"</f>
        <v>9780415277549</v>
      </c>
      <c r="D716" t="str">
        <f>"9780203642375"</f>
        <v>9780203642375</v>
      </c>
      <c r="E716" t="s">
        <v>16</v>
      </c>
      <c r="F716" t="s">
        <v>16</v>
      </c>
      <c r="G716" s="1">
        <v>38702</v>
      </c>
      <c r="H716" s="1">
        <v>38778</v>
      </c>
      <c r="I716" t="s">
        <v>12</v>
      </c>
      <c r="J716" t="s">
        <v>11486</v>
      </c>
    </row>
    <row r="717" spans="1:10" x14ac:dyDescent="0.25">
      <c r="A717">
        <v>200128</v>
      </c>
      <c r="B717" t="s">
        <v>747</v>
      </c>
      <c r="C717" t="str">
        <f>"9780415278003"</f>
        <v>9780415278003</v>
      </c>
      <c r="D717" t="str">
        <f>"9780203642368"</f>
        <v>9780203642368</v>
      </c>
      <c r="E717" t="s">
        <v>15</v>
      </c>
      <c r="F717" t="s">
        <v>16</v>
      </c>
      <c r="G717" s="1">
        <v>38698</v>
      </c>
      <c r="H717" s="1">
        <v>38796</v>
      </c>
      <c r="I717" t="s">
        <v>12</v>
      </c>
      <c r="J717" t="s">
        <v>11487</v>
      </c>
    </row>
    <row r="718" spans="1:10" x14ac:dyDescent="0.25">
      <c r="A718">
        <v>200134</v>
      </c>
      <c r="B718" t="s">
        <v>749</v>
      </c>
      <c r="C718" t="str">
        <f>"9780415280617"</f>
        <v>9780415280617</v>
      </c>
      <c r="D718" t="str">
        <f>"9780203481561"</f>
        <v>9780203481561</v>
      </c>
      <c r="E718" t="s">
        <v>15</v>
      </c>
      <c r="F718" t="s">
        <v>16</v>
      </c>
      <c r="G718" s="1">
        <v>38862</v>
      </c>
      <c r="H718" s="1">
        <v>38997</v>
      </c>
      <c r="I718" t="s">
        <v>12</v>
      </c>
      <c r="J718" t="s">
        <v>11488</v>
      </c>
    </row>
    <row r="719" spans="1:10" x14ac:dyDescent="0.25">
      <c r="A719">
        <v>200149</v>
      </c>
      <c r="B719" t="s">
        <v>750</v>
      </c>
      <c r="C719" t="str">
        <f>"9780415284042"</f>
        <v>9780415284042</v>
      </c>
      <c r="D719" t="str">
        <f>"9780203642702"</f>
        <v>9780203642702</v>
      </c>
      <c r="E719" t="s">
        <v>15</v>
      </c>
      <c r="F719" t="s">
        <v>16</v>
      </c>
      <c r="G719" s="1">
        <v>38201</v>
      </c>
      <c r="H719" s="1">
        <v>38655</v>
      </c>
      <c r="I719" t="s">
        <v>12</v>
      </c>
      <c r="J719" t="s">
        <v>11489</v>
      </c>
    </row>
    <row r="720" spans="1:10" x14ac:dyDescent="0.25">
      <c r="A720">
        <v>200151</v>
      </c>
      <c r="B720" t="s">
        <v>751</v>
      </c>
      <c r="C720" t="str">
        <f>"9780415284271"</f>
        <v>9780415284271</v>
      </c>
      <c r="D720" t="str">
        <f>"9780203642337"</f>
        <v>9780203642337</v>
      </c>
      <c r="E720" t="s">
        <v>15</v>
      </c>
      <c r="F720" t="s">
        <v>16</v>
      </c>
      <c r="G720" s="1">
        <v>38048</v>
      </c>
      <c r="H720" s="1">
        <v>38169</v>
      </c>
      <c r="I720" t="s">
        <v>12</v>
      </c>
      <c r="J720" t="s">
        <v>11490</v>
      </c>
    </row>
    <row r="721" spans="1:10" x14ac:dyDescent="0.25">
      <c r="A721">
        <v>200162</v>
      </c>
      <c r="B721" t="s">
        <v>752</v>
      </c>
      <c r="C721" t="str">
        <f>"9780415287548"</f>
        <v>9780415287548</v>
      </c>
      <c r="D721" t="str">
        <f>"9780203644102"</f>
        <v>9780203644102</v>
      </c>
      <c r="E721" t="s">
        <v>15</v>
      </c>
      <c r="F721" t="s">
        <v>16</v>
      </c>
      <c r="G721" s="1">
        <v>38047</v>
      </c>
      <c r="H721" s="1">
        <v>38169</v>
      </c>
      <c r="I721" t="s">
        <v>12</v>
      </c>
      <c r="J721" t="s">
        <v>11491</v>
      </c>
    </row>
    <row r="722" spans="1:10" x14ac:dyDescent="0.25">
      <c r="A722">
        <v>200180</v>
      </c>
      <c r="B722" t="s">
        <v>753</v>
      </c>
      <c r="C722" t="str">
        <f>"9780415290586"</f>
        <v>9780415290586</v>
      </c>
      <c r="D722" t="str">
        <f>"9780203644416"</f>
        <v>9780203644416</v>
      </c>
      <c r="E722" t="s">
        <v>15</v>
      </c>
      <c r="F722" t="s">
        <v>16</v>
      </c>
      <c r="G722" s="1">
        <v>38117</v>
      </c>
      <c r="H722" s="1">
        <v>38635</v>
      </c>
      <c r="I722" t="s">
        <v>12</v>
      </c>
      <c r="J722" t="s">
        <v>11492</v>
      </c>
    </row>
    <row r="723" spans="1:10" x14ac:dyDescent="0.25">
      <c r="A723">
        <v>200194</v>
      </c>
      <c r="B723" t="s">
        <v>754</v>
      </c>
      <c r="C723" t="str">
        <f>"9780415297844"</f>
        <v>9780415297844</v>
      </c>
      <c r="D723" t="str">
        <f>"9780203644225"</f>
        <v>9780203644225</v>
      </c>
      <c r="E723" t="s">
        <v>15</v>
      </c>
      <c r="F723" t="s">
        <v>16</v>
      </c>
      <c r="G723" s="1">
        <v>38231</v>
      </c>
      <c r="H723" s="1">
        <v>38663</v>
      </c>
      <c r="I723" t="s">
        <v>12</v>
      </c>
      <c r="J723" t="s">
        <v>11493</v>
      </c>
    </row>
    <row r="724" spans="1:10" x14ac:dyDescent="0.25">
      <c r="A724">
        <v>200205</v>
      </c>
      <c r="B724" t="s">
        <v>755</v>
      </c>
      <c r="C724" t="str">
        <f>"9780415299534"</f>
        <v>9780415299534</v>
      </c>
      <c r="D724" t="str">
        <f>"9780203536919"</f>
        <v>9780203536919</v>
      </c>
      <c r="E724" t="s">
        <v>16</v>
      </c>
      <c r="F724" t="s">
        <v>16</v>
      </c>
      <c r="G724" s="1">
        <v>38281</v>
      </c>
      <c r="H724" s="1">
        <v>38930</v>
      </c>
      <c r="I724" t="s">
        <v>12</v>
      </c>
      <c r="J724" t="s">
        <v>11494</v>
      </c>
    </row>
    <row r="725" spans="1:10" x14ac:dyDescent="0.25">
      <c r="A725">
        <v>200237</v>
      </c>
      <c r="B725" t="s">
        <v>756</v>
      </c>
      <c r="C725" t="str">
        <f>"9780415303934"</f>
        <v>9780415303934</v>
      </c>
      <c r="D725" t="str">
        <f>"9780203426968"</f>
        <v>9780203426968</v>
      </c>
      <c r="E725" t="s">
        <v>15</v>
      </c>
      <c r="F725" t="s">
        <v>16</v>
      </c>
      <c r="G725" s="1">
        <v>37945</v>
      </c>
      <c r="H725" s="1">
        <v>38411</v>
      </c>
      <c r="I725" t="s">
        <v>12</v>
      </c>
      <c r="J725" t="s">
        <v>11495</v>
      </c>
    </row>
    <row r="726" spans="1:10" x14ac:dyDescent="0.25">
      <c r="A726">
        <v>200254</v>
      </c>
      <c r="B726" t="s">
        <v>757</v>
      </c>
      <c r="C726" t="str">
        <f>"9780415305303"</f>
        <v>9780415305303</v>
      </c>
      <c r="D726" t="str">
        <f>"9780203694602"</f>
        <v>9780203694602</v>
      </c>
      <c r="E726" t="s">
        <v>15</v>
      </c>
      <c r="F726" t="s">
        <v>16</v>
      </c>
      <c r="G726" s="1">
        <v>38666</v>
      </c>
      <c r="H726" s="1">
        <v>38776</v>
      </c>
      <c r="I726" t="s">
        <v>12</v>
      </c>
      <c r="J726" t="s">
        <v>11496</v>
      </c>
    </row>
    <row r="727" spans="1:10" x14ac:dyDescent="0.25">
      <c r="A727">
        <v>200318</v>
      </c>
      <c r="B727" t="s">
        <v>758</v>
      </c>
      <c r="C727" t="str">
        <f>"9780415310475"</f>
        <v>9780415310475</v>
      </c>
      <c r="D727" t="str">
        <f>"9780203417096"</f>
        <v>9780203417096</v>
      </c>
      <c r="E727" t="s">
        <v>15</v>
      </c>
      <c r="F727" t="s">
        <v>16</v>
      </c>
      <c r="G727" s="1">
        <v>39147</v>
      </c>
      <c r="H727" s="1">
        <v>39309</v>
      </c>
      <c r="I727" t="s">
        <v>12</v>
      </c>
      <c r="J727" t="s">
        <v>11497</v>
      </c>
    </row>
    <row r="728" spans="1:10" x14ac:dyDescent="0.25">
      <c r="A728">
        <v>200332</v>
      </c>
      <c r="B728" t="s">
        <v>759</v>
      </c>
      <c r="C728" t="str">
        <f>"9780415311571"</f>
        <v>9780415311571</v>
      </c>
      <c r="D728" t="str">
        <f>"9780203462430"</f>
        <v>9780203462430</v>
      </c>
      <c r="E728" t="s">
        <v>15</v>
      </c>
      <c r="F728" t="s">
        <v>16</v>
      </c>
      <c r="G728" s="1">
        <v>38789</v>
      </c>
      <c r="H728" s="1">
        <v>38818</v>
      </c>
      <c r="I728" t="s">
        <v>12</v>
      </c>
      <c r="J728" t="s">
        <v>11498</v>
      </c>
    </row>
    <row r="729" spans="1:10" x14ac:dyDescent="0.25">
      <c r="A729">
        <v>200352</v>
      </c>
      <c r="B729" t="s">
        <v>760</v>
      </c>
      <c r="C729" t="str">
        <f>"9780415312714"</f>
        <v>9780415312714</v>
      </c>
      <c r="D729" t="str">
        <f>"9780203491829"</f>
        <v>9780203491829</v>
      </c>
      <c r="E729" t="s">
        <v>15</v>
      </c>
      <c r="F729" t="s">
        <v>16</v>
      </c>
      <c r="G729" s="1">
        <v>38223</v>
      </c>
      <c r="H729" s="1">
        <v>38429</v>
      </c>
      <c r="I729" t="s">
        <v>12</v>
      </c>
      <c r="J729" t="s">
        <v>11499</v>
      </c>
    </row>
    <row r="730" spans="1:10" x14ac:dyDescent="0.25">
      <c r="A730">
        <v>200358</v>
      </c>
      <c r="B730" t="s">
        <v>761</v>
      </c>
      <c r="C730" t="str">
        <f>"9780415314138"</f>
        <v>9780415314138</v>
      </c>
      <c r="D730" t="str">
        <f>"9780203498590"</f>
        <v>9780203498590</v>
      </c>
      <c r="E730" t="s">
        <v>15</v>
      </c>
      <c r="F730" t="s">
        <v>16</v>
      </c>
      <c r="G730" s="1">
        <v>38215</v>
      </c>
      <c r="H730" s="1">
        <v>38410</v>
      </c>
      <c r="I730" t="s">
        <v>12</v>
      </c>
      <c r="J730" t="s">
        <v>11500</v>
      </c>
    </row>
    <row r="731" spans="1:10" x14ac:dyDescent="0.25">
      <c r="A731">
        <v>200368</v>
      </c>
      <c r="B731" t="s">
        <v>762</v>
      </c>
      <c r="C731" t="str">
        <f>"9780415314718"</f>
        <v>9780415314718</v>
      </c>
      <c r="D731" t="str">
        <f>"9780203561218"</f>
        <v>9780203561218</v>
      </c>
      <c r="E731" t="s">
        <v>15</v>
      </c>
      <c r="F731" t="s">
        <v>16</v>
      </c>
      <c r="G731" s="1">
        <v>37985</v>
      </c>
      <c r="H731" s="1">
        <v>38410</v>
      </c>
      <c r="I731" t="s">
        <v>12</v>
      </c>
      <c r="J731" t="s">
        <v>11501</v>
      </c>
    </row>
    <row r="732" spans="1:10" x14ac:dyDescent="0.25">
      <c r="A732">
        <v>200411</v>
      </c>
      <c r="B732" t="s">
        <v>763</v>
      </c>
      <c r="C732" t="str">
        <f>"9780415317672"</f>
        <v>9780415317672</v>
      </c>
      <c r="D732" t="str">
        <f>"9780203594070"</f>
        <v>9780203594070</v>
      </c>
      <c r="E732" t="s">
        <v>15</v>
      </c>
      <c r="F732" t="s">
        <v>16</v>
      </c>
      <c r="G732" s="1">
        <v>38212</v>
      </c>
      <c r="H732" s="1">
        <v>38309</v>
      </c>
      <c r="I732" t="s">
        <v>12</v>
      </c>
      <c r="J732" t="s">
        <v>11502</v>
      </c>
    </row>
    <row r="733" spans="1:10" x14ac:dyDescent="0.25">
      <c r="A733">
        <v>200412</v>
      </c>
      <c r="B733" t="s">
        <v>764</v>
      </c>
      <c r="C733" t="str">
        <f>"9780415317733"</f>
        <v>9780415317733</v>
      </c>
      <c r="D733" t="str">
        <f>"9780203499368"</f>
        <v>9780203499368</v>
      </c>
      <c r="E733" t="s">
        <v>15</v>
      </c>
      <c r="F733" t="s">
        <v>139</v>
      </c>
      <c r="G733" s="1">
        <v>38541</v>
      </c>
      <c r="H733" s="1">
        <v>42340</v>
      </c>
      <c r="I733" t="s">
        <v>12</v>
      </c>
      <c r="J733" t="s">
        <v>11503</v>
      </c>
    </row>
    <row r="734" spans="1:10" x14ac:dyDescent="0.25">
      <c r="A734">
        <v>200432</v>
      </c>
      <c r="B734" t="s">
        <v>765</v>
      </c>
      <c r="C734" t="str">
        <f>"9780415319010"</f>
        <v>9780415319010</v>
      </c>
      <c r="D734" t="str">
        <f>"9780203619315"</f>
        <v>9780203619315</v>
      </c>
      <c r="E734" t="s">
        <v>15</v>
      </c>
      <c r="F734" t="s">
        <v>16</v>
      </c>
      <c r="G734" s="1">
        <v>38819</v>
      </c>
      <c r="H734" s="1">
        <v>40509</v>
      </c>
      <c r="I734" t="s">
        <v>12</v>
      </c>
      <c r="J734" t="s">
        <v>11504</v>
      </c>
    </row>
    <row r="735" spans="1:10" x14ac:dyDescent="0.25">
      <c r="A735">
        <v>200443</v>
      </c>
      <c r="B735" t="s">
        <v>766</v>
      </c>
      <c r="C735" t="str">
        <f>"9780415319645"</f>
        <v>9780415319645</v>
      </c>
      <c r="D735" t="str">
        <f>"9780203625484"</f>
        <v>9780203625484</v>
      </c>
      <c r="E735" t="s">
        <v>15</v>
      </c>
      <c r="F735" t="s">
        <v>16</v>
      </c>
      <c r="G735" s="1">
        <v>38071</v>
      </c>
      <c r="H735" s="1">
        <v>38169</v>
      </c>
      <c r="I735" t="s">
        <v>12</v>
      </c>
      <c r="J735" t="s">
        <v>11505</v>
      </c>
    </row>
    <row r="736" spans="1:10" x14ac:dyDescent="0.25">
      <c r="A736">
        <v>200452</v>
      </c>
      <c r="B736" t="s">
        <v>767</v>
      </c>
      <c r="C736" t="str">
        <f>"9780415320481"</f>
        <v>9780415320481</v>
      </c>
      <c r="D736" t="str">
        <f>"9780203014448"</f>
        <v>9780203014448</v>
      </c>
      <c r="E736" t="s">
        <v>16</v>
      </c>
      <c r="F736" t="s">
        <v>16</v>
      </c>
      <c r="G736" s="1">
        <v>38373</v>
      </c>
      <c r="H736" s="1">
        <v>38531</v>
      </c>
      <c r="I736" t="s">
        <v>12</v>
      </c>
      <c r="J736" t="s">
        <v>11506</v>
      </c>
    </row>
    <row r="737" spans="1:10" x14ac:dyDescent="0.25">
      <c r="A737">
        <v>200459</v>
      </c>
      <c r="B737" t="s">
        <v>768</v>
      </c>
      <c r="C737" t="str">
        <f>"9780415321266"</f>
        <v>9780415321266</v>
      </c>
      <c r="D737" t="str">
        <f>"9780203073711"</f>
        <v>9780203073711</v>
      </c>
      <c r="E737" t="s">
        <v>15</v>
      </c>
      <c r="F737" t="s">
        <v>16</v>
      </c>
      <c r="G737" s="1">
        <v>38215</v>
      </c>
      <c r="H737" s="1">
        <v>41877</v>
      </c>
      <c r="I737" t="s">
        <v>12</v>
      </c>
      <c r="J737" t="s">
        <v>11507</v>
      </c>
    </row>
    <row r="738" spans="1:10" x14ac:dyDescent="0.25">
      <c r="A738">
        <v>200464</v>
      </c>
      <c r="B738" t="s">
        <v>769</v>
      </c>
      <c r="C738" t="str">
        <f>"9780415321587"</f>
        <v>9780415321587</v>
      </c>
      <c r="D738" t="str">
        <f>"9780203097649"</f>
        <v>9780203097649</v>
      </c>
      <c r="E738" t="s">
        <v>15</v>
      </c>
      <c r="F738" t="s">
        <v>16</v>
      </c>
      <c r="G738" s="1">
        <v>38147</v>
      </c>
      <c r="H738" s="1">
        <v>39087</v>
      </c>
      <c r="I738" t="s">
        <v>12</v>
      </c>
      <c r="J738" t="s">
        <v>11508</v>
      </c>
    </row>
    <row r="739" spans="1:10" x14ac:dyDescent="0.25">
      <c r="A739">
        <v>200473</v>
      </c>
      <c r="B739" t="s">
        <v>770</v>
      </c>
      <c r="C739" t="str">
        <f>"9780415321945"</f>
        <v>9780415321945</v>
      </c>
      <c r="D739" t="str">
        <f>"9780203299661"</f>
        <v>9780203299661</v>
      </c>
      <c r="E739" t="s">
        <v>15</v>
      </c>
      <c r="F739" t="s">
        <v>16</v>
      </c>
      <c r="G739" s="1">
        <v>38117</v>
      </c>
      <c r="H739" s="1">
        <v>38595</v>
      </c>
      <c r="I739" t="s">
        <v>12</v>
      </c>
      <c r="J739" t="s">
        <v>11509</v>
      </c>
    </row>
    <row r="740" spans="1:10" x14ac:dyDescent="0.25">
      <c r="A740">
        <v>200479</v>
      </c>
      <c r="B740" t="s">
        <v>771</v>
      </c>
      <c r="C740" t="str">
        <f>"9780415322140"</f>
        <v>9780415322140</v>
      </c>
      <c r="D740" t="str">
        <f>"9780203299913"</f>
        <v>9780203299913</v>
      </c>
      <c r="E740" t="s">
        <v>15</v>
      </c>
      <c r="F740" t="s">
        <v>16</v>
      </c>
      <c r="G740" s="1">
        <v>38702</v>
      </c>
      <c r="H740" s="1">
        <v>38803</v>
      </c>
      <c r="I740" t="s">
        <v>12</v>
      </c>
      <c r="J740" t="s">
        <v>11510</v>
      </c>
    </row>
    <row r="741" spans="1:10" x14ac:dyDescent="0.25">
      <c r="A741">
        <v>200501</v>
      </c>
      <c r="B741" t="s">
        <v>772</v>
      </c>
      <c r="C741" t="str">
        <f>"9780415323093"</f>
        <v>9780415323093</v>
      </c>
      <c r="D741" t="str">
        <f>"9780203300725"</f>
        <v>9780203300725</v>
      </c>
      <c r="E741" t="s">
        <v>15</v>
      </c>
      <c r="F741" t="s">
        <v>16</v>
      </c>
      <c r="G741" s="1">
        <v>38837</v>
      </c>
      <c r="H741" s="1">
        <v>39474</v>
      </c>
      <c r="I741" t="s">
        <v>12</v>
      </c>
      <c r="J741" t="s">
        <v>11511</v>
      </c>
    </row>
    <row r="742" spans="1:10" x14ac:dyDescent="0.25">
      <c r="A742">
        <v>200526</v>
      </c>
      <c r="B742" t="s">
        <v>773</v>
      </c>
      <c r="C742" t="str">
        <f>"9780415324038"</f>
        <v>9780415324038</v>
      </c>
      <c r="D742" t="str">
        <f>"9780203356852"</f>
        <v>9780203356852</v>
      </c>
      <c r="E742" t="s">
        <v>15</v>
      </c>
      <c r="F742" t="s">
        <v>16</v>
      </c>
      <c r="G742" s="1">
        <v>38338</v>
      </c>
      <c r="H742" s="1">
        <v>38771</v>
      </c>
      <c r="I742" t="s">
        <v>12</v>
      </c>
      <c r="J742" t="s">
        <v>11512</v>
      </c>
    </row>
    <row r="743" spans="1:10" x14ac:dyDescent="0.25">
      <c r="A743">
        <v>200543</v>
      </c>
      <c r="B743" t="s">
        <v>774</v>
      </c>
      <c r="C743" t="str">
        <f>"9780415324915"</f>
        <v>9780415324915</v>
      </c>
      <c r="D743" t="str">
        <f>"9780203358030"</f>
        <v>9780203358030</v>
      </c>
      <c r="E743" t="s">
        <v>15</v>
      </c>
      <c r="F743" t="s">
        <v>16</v>
      </c>
      <c r="G743" s="1">
        <v>38105</v>
      </c>
      <c r="H743" s="1">
        <v>38169</v>
      </c>
      <c r="I743" t="s">
        <v>12</v>
      </c>
      <c r="J743" t="s">
        <v>11513</v>
      </c>
    </row>
    <row r="744" spans="1:10" x14ac:dyDescent="0.25">
      <c r="A744">
        <v>200545</v>
      </c>
      <c r="B744" t="s">
        <v>775</v>
      </c>
      <c r="C744" t="str">
        <f>"9780415324946"</f>
        <v>9780415324946</v>
      </c>
      <c r="D744" t="str">
        <f>"9780203358061"</f>
        <v>9780203358061</v>
      </c>
      <c r="E744" t="s">
        <v>15</v>
      </c>
      <c r="F744" t="s">
        <v>16</v>
      </c>
      <c r="G744" s="1">
        <v>38223</v>
      </c>
      <c r="H744" s="1">
        <v>38834</v>
      </c>
      <c r="I744" t="s">
        <v>12</v>
      </c>
      <c r="J744" t="s">
        <v>11514</v>
      </c>
    </row>
    <row r="745" spans="1:10" x14ac:dyDescent="0.25">
      <c r="A745">
        <v>200563</v>
      </c>
      <c r="B745" t="s">
        <v>776</v>
      </c>
      <c r="C745" t="str">
        <f>"9780415326568"</f>
        <v>9780415326568</v>
      </c>
      <c r="D745" t="str">
        <f>"9780203238875"</f>
        <v>9780203238875</v>
      </c>
      <c r="E745" t="s">
        <v>15</v>
      </c>
      <c r="F745" t="s">
        <v>16</v>
      </c>
      <c r="G745" s="1">
        <v>38153</v>
      </c>
      <c r="H745" s="1">
        <v>38668</v>
      </c>
      <c r="I745" t="s">
        <v>12</v>
      </c>
      <c r="J745" t="s">
        <v>11515</v>
      </c>
    </row>
    <row r="746" spans="1:10" x14ac:dyDescent="0.25">
      <c r="A746">
        <v>200592</v>
      </c>
      <c r="B746" t="s">
        <v>777</v>
      </c>
      <c r="C746" t="str">
        <f>"9780415328760"</f>
        <v>9780415328760</v>
      </c>
      <c r="D746" t="str">
        <f>"9780203391020"</f>
        <v>9780203391020</v>
      </c>
      <c r="E746" t="s">
        <v>15</v>
      </c>
      <c r="F746" t="s">
        <v>16</v>
      </c>
      <c r="G746" s="1">
        <v>38056</v>
      </c>
      <c r="H746" s="1">
        <v>38169</v>
      </c>
      <c r="I746" t="s">
        <v>12</v>
      </c>
      <c r="J746" t="s">
        <v>11516</v>
      </c>
    </row>
    <row r="747" spans="1:10" x14ac:dyDescent="0.25">
      <c r="A747">
        <v>200600</v>
      </c>
      <c r="B747" t="s">
        <v>778</v>
      </c>
      <c r="C747" t="str">
        <f>"9780415329163"</f>
        <v>9780415329163</v>
      </c>
      <c r="D747" t="str">
        <f>"9780203391235"</f>
        <v>9780203391235</v>
      </c>
      <c r="E747" t="s">
        <v>15</v>
      </c>
      <c r="F747" t="s">
        <v>16</v>
      </c>
      <c r="G747" s="1">
        <v>38231</v>
      </c>
      <c r="H747" s="1">
        <v>38428</v>
      </c>
      <c r="I747" t="s">
        <v>12</v>
      </c>
      <c r="J747" t="s">
        <v>11517</v>
      </c>
    </row>
    <row r="748" spans="1:10" x14ac:dyDescent="0.25">
      <c r="A748">
        <v>200602</v>
      </c>
      <c r="B748" t="s">
        <v>779</v>
      </c>
      <c r="C748" t="str">
        <f>"9780415329231"</f>
        <v>9780415329231</v>
      </c>
      <c r="D748" t="str">
        <f>"9780203641774"</f>
        <v>9780203641774</v>
      </c>
      <c r="E748" t="s">
        <v>15</v>
      </c>
      <c r="F748" t="s">
        <v>16</v>
      </c>
      <c r="G748" s="1">
        <v>38338</v>
      </c>
      <c r="H748" s="1">
        <v>38647</v>
      </c>
      <c r="I748" t="s">
        <v>12</v>
      </c>
      <c r="J748" t="s">
        <v>11518</v>
      </c>
    </row>
    <row r="749" spans="1:10" x14ac:dyDescent="0.25">
      <c r="A749">
        <v>200605</v>
      </c>
      <c r="B749" t="s">
        <v>780</v>
      </c>
      <c r="C749" t="str">
        <f>"9780415329415"</f>
        <v>9780415329415</v>
      </c>
      <c r="D749" t="str">
        <f>"9780203391310"</f>
        <v>9780203391310</v>
      </c>
      <c r="E749" t="s">
        <v>15</v>
      </c>
      <c r="F749" t="s">
        <v>16</v>
      </c>
      <c r="G749" s="1">
        <v>38496</v>
      </c>
      <c r="H749" s="1">
        <v>38668</v>
      </c>
      <c r="I749" t="s">
        <v>12</v>
      </c>
      <c r="J749" t="s">
        <v>11519</v>
      </c>
    </row>
    <row r="750" spans="1:10" x14ac:dyDescent="0.25">
      <c r="A750">
        <v>200625</v>
      </c>
      <c r="B750" t="s">
        <v>781</v>
      </c>
      <c r="C750" t="str">
        <f>"9780415331401"</f>
        <v>9780415331401</v>
      </c>
      <c r="D750" t="str">
        <f>"9780203392508"</f>
        <v>9780203392508</v>
      </c>
      <c r="E750" t="s">
        <v>15</v>
      </c>
      <c r="F750" t="s">
        <v>16</v>
      </c>
      <c r="G750" s="1">
        <v>38174</v>
      </c>
      <c r="H750" s="1">
        <v>38169</v>
      </c>
      <c r="I750" t="s">
        <v>12</v>
      </c>
      <c r="J750" t="s">
        <v>11520</v>
      </c>
    </row>
    <row r="751" spans="1:10" x14ac:dyDescent="0.25">
      <c r="A751">
        <v>200626</v>
      </c>
      <c r="B751" t="s">
        <v>782</v>
      </c>
      <c r="C751" t="str">
        <f>"9780415331425"</f>
        <v>9780415331425</v>
      </c>
      <c r="D751" t="str">
        <f>"9780203392515"</f>
        <v>9780203392515</v>
      </c>
      <c r="E751" t="s">
        <v>15</v>
      </c>
      <c r="F751" t="s">
        <v>16</v>
      </c>
      <c r="G751" s="1">
        <v>38056</v>
      </c>
      <c r="H751" s="1">
        <v>38169</v>
      </c>
      <c r="I751" t="s">
        <v>12</v>
      </c>
      <c r="J751" t="s">
        <v>11521</v>
      </c>
    </row>
    <row r="752" spans="1:10" x14ac:dyDescent="0.25">
      <c r="A752">
        <v>200632</v>
      </c>
      <c r="B752" t="s">
        <v>783</v>
      </c>
      <c r="C752" t="str">
        <f>"9780415332040"</f>
        <v>9780415332040</v>
      </c>
      <c r="D752" t="str">
        <f>"9780203400302"</f>
        <v>9780203400302</v>
      </c>
      <c r="E752" t="s">
        <v>15</v>
      </c>
      <c r="F752" t="s">
        <v>16</v>
      </c>
      <c r="G752" s="1">
        <v>38223</v>
      </c>
      <c r="H752" s="1">
        <v>38427</v>
      </c>
      <c r="I752" t="s">
        <v>12</v>
      </c>
      <c r="J752" t="s">
        <v>11522</v>
      </c>
    </row>
    <row r="753" spans="1:10" x14ac:dyDescent="0.25">
      <c r="A753">
        <v>200658</v>
      </c>
      <c r="B753" t="s">
        <v>784</v>
      </c>
      <c r="C753" t="str">
        <f>"9780415333641"</f>
        <v>9780415333641</v>
      </c>
      <c r="D753" t="str">
        <f>"9780203414002"</f>
        <v>9780203414002</v>
      </c>
      <c r="E753" t="s">
        <v>15</v>
      </c>
      <c r="F753" t="s">
        <v>16</v>
      </c>
      <c r="G753" s="1">
        <v>38777</v>
      </c>
      <c r="H753" s="1">
        <v>41289</v>
      </c>
      <c r="I753" t="s">
        <v>12</v>
      </c>
      <c r="J753" t="s">
        <v>11523</v>
      </c>
    </row>
    <row r="754" spans="1:10" x14ac:dyDescent="0.25">
      <c r="A754">
        <v>200659</v>
      </c>
      <c r="B754" t="s">
        <v>785</v>
      </c>
      <c r="C754" t="str">
        <f>"9780415333658"</f>
        <v>9780415333658</v>
      </c>
      <c r="D754" t="str">
        <f>"9780203413883"</f>
        <v>9780203413883</v>
      </c>
      <c r="E754" t="s">
        <v>15</v>
      </c>
      <c r="F754" t="s">
        <v>16</v>
      </c>
      <c r="G754" s="1">
        <v>38215</v>
      </c>
      <c r="H754" s="1">
        <v>38310</v>
      </c>
      <c r="I754" t="s">
        <v>12</v>
      </c>
      <c r="J754" t="s">
        <v>11524</v>
      </c>
    </row>
    <row r="755" spans="1:10" x14ac:dyDescent="0.25">
      <c r="A755">
        <v>200660</v>
      </c>
      <c r="B755" t="s">
        <v>786</v>
      </c>
      <c r="C755" t="str">
        <f>"9780415333665"</f>
        <v>9780415333665</v>
      </c>
      <c r="D755" t="str">
        <f>"9780203413890"</f>
        <v>9780203413890</v>
      </c>
      <c r="E755" t="s">
        <v>15</v>
      </c>
      <c r="F755" t="s">
        <v>16</v>
      </c>
      <c r="G755" s="1">
        <v>38230</v>
      </c>
      <c r="H755" s="1">
        <v>38411</v>
      </c>
      <c r="I755" t="s">
        <v>12</v>
      </c>
      <c r="J755" t="s">
        <v>11525</v>
      </c>
    </row>
    <row r="756" spans="1:10" x14ac:dyDescent="0.25">
      <c r="A756">
        <v>200665</v>
      </c>
      <c r="B756" t="s">
        <v>787</v>
      </c>
      <c r="C756" t="str">
        <f>"9780415333900"</f>
        <v>9780415333900</v>
      </c>
      <c r="D756" t="str">
        <f>"9780203413869"</f>
        <v>9780203413869</v>
      </c>
      <c r="E756" t="s">
        <v>15</v>
      </c>
      <c r="F756" t="s">
        <v>16</v>
      </c>
      <c r="G756" s="1">
        <v>39090</v>
      </c>
      <c r="H756" s="1">
        <v>39309</v>
      </c>
      <c r="I756" t="s">
        <v>12</v>
      </c>
      <c r="J756" t="s">
        <v>11526</v>
      </c>
    </row>
    <row r="757" spans="1:10" x14ac:dyDescent="0.25">
      <c r="A757">
        <v>200675</v>
      </c>
      <c r="B757" t="s">
        <v>788</v>
      </c>
      <c r="C757" t="str">
        <f>"9780415334242"</f>
        <v>9780415334242</v>
      </c>
      <c r="D757" t="str">
        <f>"9781134314348"</f>
        <v>9781134314348</v>
      </c>
      <c r="E757" t="s">
        <v>15</v>
      </c>
      <c r="F757" t="s">
        <v>16</v>
      </c>
      <c r="G757" s="1">
        <v>38288</v>
      </c>
      <c r="H757" s="1">
        <v>38666</v>
      </c>
      <c r="I757" t="s">
        <v>12</v>
      </c>
      <c r="J757" t="s">
        <v>11527</v>
      </c>
    </row>
    <row r="758" spans="1:10" x14ac:dyDescent="0.25">
      <c r="A758">
        <v>200676</v>
      </c>
      <c r="B758" t="s">
        <v>789</v>
      </c>
      <c r="C758" t="str">
        <f>"9780415334402"</f>
        <v>9780415334402</v>
      </c>
      <c r="D758" t="str">
        <f>"9780203366875"</f>
        <v>9780203366875</v>
      </c>
      <c r="E758" t="s">
        <v>15</v>
      </c>
      <c r="F758" t="s">
        <v>16</v>
      </c>
      <c r="G758" s="1">
        <v>38560</v>
      </c>
      <c r="H758" s="1">
        <v>38665</v>
      </c>
      <c r="I758" t="s">
        <v>12</v>
      </c>
      <c r="J758" t="s">
        <v>11528</v>
      </c>
    </row>
    <row r="759" spans="1:10" x14ac:dyDescent="0.25">
      <c r="A759">
        <v>200679</v>
      </c>
      <c r="B759" t="s">
        <v>790</v>
      </c>
      <c r="C759" t="str">
        <f>"9780415334686"</f>
        <v>9780415334686</v>
      </c>
      <c r="D759" t="str">
        <f>"9780203417225"</f>
        <v>9780203417225</v>
      </c>
      <c r="E759" t="s">
        <v>15</v>
      </c>
      <c r="F759" t="s">
        <v>16</v>
      </c>
      <c r="G759" s="1">
        <v>38891</v>
      </c>
      <c r="H759" s="1">
        <v>38943</v>
      </c>
      <c r="I759" t="s">
        <v>12</v>
      </c>
      <c r="J759" t="s">
        <v>11529</v>
      </c>
    </row>
    <row r="760" spans="1:10" x14ac:dyDescent="0.25">
      <c r="A760">
        <v>200695</v>
      </c>
      <c r="B760" t="s">
        <v>791</v>
      </c>
      <c r="C760" t="str">
        <f>"9780415335997"</f>
        <v>9780415335997</v>
      </c>
      <c r="D760" t="str">
        <f>"9780203420539"</f>
        <v>9780203420539</v>
      </c>
      <c r="E760" t="s">
        <v>15</v>
      </c>
      <c r="F760" t="s">
        <v>16</v>
      </c>
      <c r="G760" s="1">
        <v>38155</v>
      </c>
      <c r="H760" s="1">
        <v>38308</v>
      </c>
      <c r="I760" t="s">
        <v>12</v>
      </c>
      <c r="J760" t="s">
        <v>11530</v>
      </c>
    </row>
    <row r="761" spans="1:10" x14ac:dyDescent="0.25">
      <c r="A761">
        <v>200696</v>
      </c>
      <c r="B761" t="s">
        <v>792</v>
      </c>
      <c r="C761" t="str">
        <f>"9780415336031"</f>
        <v>9780415336031</v>
      </c>
      <c r="D761" t="str">
        <f>"9780203420645"</f>
        <v>9780203420645</v>
      </c>
      <c r="E761" t="s">
        <v>15</v>
      </c>
      <c r="F761" t="s">
        <v>16</v>
      </c>
      <c r="G761" s="1">
        <v>38232</v>
      </c>
      <c r="H761" s="1">
        <v>40875</v>
      </c>
      <c r="I761" t="s">
        <v>12</v>
      </c>
      <c r="J761" t="s">
        <v>11531</v>
      </c>
    </row>
    <row r="762" spans="1:10" x14ac:dyDescent="0.25">
      <c r="A762">
        <v>200706</v>
      </c>
      <c r="B762" t="s">
        <v>793</v>
      </c>
      <c r="C762" t="str">
        <f>"9780415337762"</f>
        <v>9780415337762</v>
      </c>
      <c r="D762" t="str">
        <f>"9780203448076"</f>
        <v>9780203448076</v>
      </c>
      <c r="E762" t="s">
        <v>15</v>
      </c>
      <c r="F762" t="s">
        <v>16</v>
      </c>
      <c r="G762" s="1">
        <v>38496</v>
      </c>
      <c r="H762" s="1">
        <v>38698</v>
      </c>
      <c r="I762" t="s">
        <v>12</v>
      </c>
      <c r="J762" t="s">
        <v>11532</v>
      </c>
    </row>
    <row r="763" spans="1:10" x14ac:dyDescent="0.25">
      <c r="A763">
        <v>200711</v>
      </c>
      <c r="B763" t="s">
        <v>794</v>
      </c>
      <c r="C763" t="str">
        <f>"9780415338677"</f>
        <v>9780415338677</v>
      </c>
      <c r="D763" t="str">
        <f>"9780203446317"</f>
        <v>9780203446317</v>
      </c>
      <c r="E763" t="s">
        <v>15</v>
      </c>
      <c r="F763" t="s">
        <v>16</v>
      </c>
      <c r="G763" s="1">
        <v>38324</v>
      </c>
      <c r="H763" s="1">
        <v>38411</v>
      </c>
      <c r="I763" t="s">
        <v>12</v>
      </c>
      <c r="J763" t="s">
        <v>11533</v>
      </c>
    </row>
    <row r="764" spans="1:10" x14ac:dyDescent="0.25">
      <c r="A764">
        <v>200712</v>
      </c>
      <c r="B764" t="s">
        <v>795</v>
      </c>
      <c r="C764" t="str">
        <f>"9780415338714"</f>
        <v>9780415338714</v>
      </c>
      <c r="D764" t="str">
        <f>"9780203694633"</f>
        <v>9780203694633</v>
      </c>
      <c r="E764" t="s">
        <v>15</v>
      </c>
      <c r="F764" t="s">
        <v>16</v>
      </c>
      <c r="G764" s="1">
        <v>38322</v>
      </c>
      <c r="H764" s="1">
        <v>38775</v>
      </c>
      <c r="I764" t="s">
        <v>12</v>
      </c>
      <c r="J764" t="s">
        <v>11534</v>
      </c>
    </row>
    <row r="765" spans="1:10" x14ac:dyDescent="0.25">
      <c r="A765">
        <v>200716</v>
      </c>
      <c r="B765" t="s">
        <v>796</v>
      </c>
      <c r="C765" t="str">
        <f>"9780415339391"</f>
        <v>9780415339391</v>
      </c>
      <c r="D765" t="str">
        <f>"9780203448984"</f>
        <v>9780203448984</v>
      </c>
      <c r="E765" t="s">
        <v>15</v>
      </c>
      <c r="F765" t="s">
        <v>16</v>
      </c>
      <c r="G765" s="1">
        <v>39248</v>
      </c>
      <c r="H765" s="1">
        <v>39309</v>
      </c>
      <c r="I765" t="s">
        <v>12</v>
      </c>
      <c r="J765" t="s">
        <v>11535</v>
      </c>
    </row>
    <row r="766" spans="1:10" x14ac:dyDescent="0.25">
      <c r="A766">
        <v>200725</v>
      </c>
      <c r="B766" t="s">
        <v>797</v>
      </c>
      <c r="C766" t="str">
        <f>"9780415339650"</f>
        <v>9780415339650</v>
      </c>
      <c r="D766" t="str">
        <f>"9780203449424"</f>
        <v>9780203449424</v>
      </c>
      <c r="E766" t="s">
        <v>15</v>
      </c>
      <c r="F766" t="s">
        <v>16</v>
      </c>
      <c r="G766" s="1">
        <v>39030</v>
      </c>
      <c r="H766" s="1">
        <v>38818</v>
      </c>
      <c r="I766" t="s">
        <v>12</v>
      </c>
      <c r="J766" t="s">
        <v>11536</v>
      </c>
    </row>
    <row r="767" spans="1:10" x14ac:dyDescent="0.25">
      <c r="A767">
        <v>200726</v>
      </c>
      <c r="B767" t="s">
        <v>798</v>
      </c>
      <c r="C767" t="str">
        <f>"9780415339681"</f>
        <v>9780415339681</v>
      </c>
      <c r="D767" t="str">
        <f>"9780203449233"</f>
        <v>9780203449233</v>
      </c>
      <c r="E767" t="s">
        <v>15</v>
      </c>
      <c r="F767" t="s">
        <v>16</v>
      </c>
      <c r="G767" s="1">
        <v>38341</v>
      </c>
      <c r="H767" s="1">
        <v>38636</v>
      </c>
      <c r="I767" t="s">
        <v>12</v>
      </c>
      <c r="J767" t="s">
        <v>11537</v>
      </c>
    </row>
    <row r="768" spans="1:10" x14ac:dyDescent="0.25">
      <c r="A768">
        <v>200742</v>
      </c>
      <c r="B768" t="s">
        <v>799</v>
      </c>
      <c r="C768" t="str">
        <f>"9780415340755"</f>
        <v>9780415340755</v>
      </c>
      <c r="D768" t="str">
        <f>"9780203463000"</f>
        <v>9780203463000</v>
      </c>
      <c r="E768" t="s">
        <v>15</v>
      </c>
      <c r="F768" t="s">
        <v>16</v>
      </c>
      <c r="G768" s="1">
        <v>38509</v>
      </c>
      <c r="H768" s="1">
        <v>38666</v>
      </c>
      <c r="I768" t="s">
        <v>12</v>
      </c>
      <c r="J768" t="s">
        <v>11538</v>
      </c>
    </row>
    <row r="769" spans="1:10" x14ac:dyDescent="0.25">
      <c r="A769">
        <v>200745</v>
      </c>
      <c r="B769" t="s">
        <v>800</v>
      </c>
      <c r="C769" t="str">
        <f>"9780415340960"</f>
        <v>9780415340960</v>
      </c>
      <c r="D769" t="str">
        <f>"9780203463352"</f>
        <v>9780203463352</v>
      </c>
      <c r="E769" t="s">
        <v>15</v>
      </c>
      <c r="F769" t="s">
        <v>16</v>
      </c>
      <c r="G769" s="1">
        <v>38120</v>
      </c>
      <c r="H769" s="1">
        <v>38413</v>
      </c>
      <c r="I769" t="s">
        <v>12</v>
      </c>
      <c r="J769" t="s">
        <v>11539</v>
      </c>
    </row>
    <row r="770" spans="1:10" x14ac:dyDescent="0.25">
      <c r="A770">
        <v>200773</v>
      </c>
      <c r="B770" t="s">
        <v>801</v>
      </c>
      <c r="C770" t="str">
        <f>"9780415343701"</f>
        <v>9780415343701</v>
      </c>
      <c r="D770" t="str">
        <f>"9780203639627"</f>
        <v>9780203639627</v>
      </c>
      <c r="E770" t="s">
        <v>15</v>
      </c>
      <c r="F770" t="s">
        <v>16</v>
      </c>
      <c r="G770" s="1">
        <v>38938</v>
      </c>
      <c r="H770" s="1">
        <v>38947</v>
      </c>
      <c r="I770" t="s">
        <v>12</v>
      </c>
      <c r="J770" t="s">
        <v>11540</v>
      </c>
    </row>
    <row r="771" spans="1:10" x14ac:dyDescent="0.25">
      <c r="A771">
        <v>200788</v>
      </c>
      <c r="B771" t="s">
        <v>802</v>
      </c>
      <c r="C771" t="str">
        <f>"9780415369367"</f>
        <v>9780415369367</v>
      </c>
      <c r="D771" t="str">
        <f>"9780203643433"</f>
        <v>9780203643433</v>
      </c>
      <c r="E771" t="s">
        <v>15</v>
      </c>
      <c r="F771" t="s">
        <v>16</v>
      </c>
      <c r="G771" s="1">
        <v>38826</v>
      </c>
      <c r="H771" s="1">
        <v>38948</v>
      </c>
      <c r="I771" t="s">
        <v>12</v>
      </c>
      <c r="J771" t="s">
        <v>11541</v>
      </c>
    </row>
    <row r="772" spans="1:10" x14ac:dyDescent="0.25">
      <c r="A772">
        <v>200796</v>
      </c>
      <c r="B772" t="s">
        <v>803</v>
      </c>
      <c r="C772" t="str">
        <f>"9780415700078"</f>
        <v>9780415700078</v>
      </c>
      <c r="D772" t="str">
        <f>"9780203799956"</f>
        <v>9780203799956</v>
      </c>
      <c r="E772" t="s">
        <v>15</v>
      </c>
      <c r="F772" t="s">
        <v>16</v>
      </c>
      <c r="G772" s="1">
        <v>38359</v>
      </c>
      <c r="H772" s="1">
        <v>39997</v>
      </c>
      <c r="I772" t="s">
        <v>12</v>
      </c>
      <c r="J772" t="s">
        <v>11542</v>
      </c>
    </row>
    <row r="773" spans="1:10" x14ac:dyDescent="0.25">
      <c r="A773">
        <v>200803</v>
      </c>
      <c r="B773" t="s">
        <v>804</v>
      </c>
      <c r="C773" t="str">
        <f>"9780415700320"</f>
        <v>9780415700320</v>
      </c>
      <c r="D773" t="str">
        <f>"9780203799819"</f>
        <v>9780203799819</v>
      </c>
      <c r="E773" t="s">
        <v>15</v>
      </c>
      <c r="F773" t="s">
        <v>16</v>
      </c>
      <c r="G773" s="1">
        <v>38189</v>
      </c>
      <c r="H773" s="1">
        <v>38308</v>
      </c>
      <c r="I773" t="s">
        <v>12</v>
      </c>
      <c r="J773" t="s">
        <v>11543</v>
      </c>
    </row>
    <row r="774" spans="1:10" x14ac:dyDescent="0.25">
      <c r="A774">
        <v>200822</v>
      </c>
      <c r="B774" t="s">
        <v>805</v>
      </c>
      <c r="C774" t="str">
        <f>"9780415940269"</f>
        <v>9780415940269</v>
      </c>
      <c r="D774" t="str">
        <f>"9780203643891"</f>
        <v>9780203643891</v>
      </c>
      <c r="E774" t="s">
        <v>15</v>
      </c>
      <c r="F774" t="s">
        <v>16</v>
      </c>
      <c r="G774" s="1">
        <v>39461</v>
      </c>
      <c r="H774" s="1">
        <v>39475</v>
      </c>
      <c r="I774" t="s">
        <v>12</v>
      </c>
      <c r="J774" t="s">
        <v>11544</v>
      </c>
    </row>
    <row r="775" spans="1:10" x14ac:dyDescent="0.25">
      <c r="A775">
        <v>200870</v>
      </c>
      <c r="B775" t="s">
        <v>806</v>
      </c>
      <c r="C775" t="str">
        <f>"9780415971294"</f>
        <v>9780415971294</v>
      </c>
      <c r="D775" t="str">
        <f>"9780203641781"</f>
        <v>9780203641781</v>
      </c>
      <c r="E775" t="s">
        <v>15</v>
      </c>
      <c r="F775" t="s">
        <v>16</v>
      </c>
      <c r="G775" s="1">
        <v>38334</v>
      </c>
      <c r="H775" s="1">
        <v>38697</v>
      </c>
      <c r="I775" t="s">
        <v>12</v>
      </c>
      <c r="J775" t="s">
        <v>11545</v>
      </c>
    </row>
    <row r="776" spans="1:10" x14ac:dyDescent="0.25">
      <c r="A776">
        <v>200874</v>
      </c>
      <c r="B776" t="s">
        <v>807</v>
      </c>
      <c r="C776" t="str">
        <f>"9780419250302"</f>
        <v>9780419250302</v>
      </c>
      <c r="D776" t="str">
        <f>"9780203642252"</f>
        <v>9780203642252</v>
      </c>
      <c r="E776" t="s">
        <v>144</v>
      </c>
      <c r="F776" t="s">
        <v>153</v>
      </c>
      <c r="G776" s="1">
        <v>38702</v>
      </c>
      <c r="H776" s="1">
        <v>38837</v>
      </c>
      <c r="I776" t="s">
        <v>12</v>
      </c>
      <c r="J776" t="s">
        <v>11546</v>
      </c>
    </row>
    <row r="777" spans="1:10" x14ac:dyDescent="0.25">
      <c r="A777">
        <v>200880</v>
      </c>
      <c r="B777" t="s">
        <v>808</v>
      </c>
      <c r="C777" t="str">
        <f>"9780700710171"</f>
        <v>9780700710171</v>
      </c>
      <c r="D777" t="str">
        <f>"9780203641705"</f>
        <v>9780203641705</v>
      </c>
      <c r="E777" t="s">
        <v>15</v>
      </c>
      <c r="F777" t="s">
        <v>16</v>
      </c>
      <c r="G777" s="1">
        <v>38288</v>
      </c>
      <c r="H777" s="1">
        <v>38775</v>
      </c>
      <c r="I777" t="s">
        <v>12</v>
      </c>
      <c r="J777" t="s">
        <v>11547</v>
      </c>
    </row>
    <row r="778" spans="1:10" x14ac:dyDescent="0.25">
      <c r="A778">
        <v>200898</v>
      </c>
      <c r="B778" t="s">
        <v>809</v>
      </c>
      <c r="C778" t="str">
        <f>"9780700715862"</f>
        <v>9780700715862</v>
      </c>
      <c r="D778" t="str">
        <f>"9780203641903"</f>
        <v>9780203641903</v>
      </c>
      <c r="E778" t="s">
        <v>15</v>
      </c>
      <c r="F778" t="s">
        <v>16</v>
      </c>
      <c r="G778" s="1">
        <v>38364</v>
      </c>
      <c r="H778" s="1">
        <v>38418</v>
      </c>
      <c r="I778" t="s">
        <v>12</v>
      </c>
      <c r="J778" t="s">
        <v>11548</v>
      </c>
    </row>
    <row r="779" spans="1:10" x14ac:dyDescent="0.25">
      <c r="A779">
        <v>200902</v>
      </c>
      <c r="B779" t="s">
        <v>810</v>
      </c>
      <c r="C779" t="str">
        <f>"9780700717385"</f>
        <v>9780700717385</v>
      </c>
      <c r="D779" t="str">
        <f>"9780203642795"</f>
        <v>9780203642795</v>
      </c>
      <c r="E779" t="s">
        <v>15</v>
      </c>
      <c r="F779" t="s">
        <v>16</v>
      </c>
      <c r="G779" s="1">
        <v>37491</v>
      </c>
      <c r="H779" s="1">
        <v>38635</v>
      </c>
      <c r="I779" t="s">
        <v>12</v>
      </c>
      <c r="J779" t="s">
        <v>11549</v>
      </c>
    </row>
    <row r="780" spans="1:10" x14ac:dyDescent="0.25">
      <c r="A780">
        <v>200916</v>
      </c>
      <c r="B780" t="s">
        <v>811</v>
      </c>
      <c r="C780" t="str">
        <f>"9780714653006"</f>
        <v>9780714653006</v>
      </c>
      <c r="D780" t="str">
        <f>"9780203496251"</f>
        <v>9780203496251</v>
      </c>
      <c r="E780" t="s">
        <v>15</v>
      </c>
      <c r="F780" t="s">
        <v>16</v>
      </c>
      <c r="G780" s="1">
        <v>37679</v>
      </c>
      <c r="H780" s="1">
        <v>38666</v>
      </c>
      <c r="I780" t="s">
        <v>12</v>
      </c>
      <c r="J780" t="s">
        <v>11550</v>
      </c>
    </row>
    <row r="781" spans="1:10" x14ac:dyDescent="0.25">
      <c r="A781">
        <v>200976</v>
      </c>
      <c r="B781" t="s">
        <v>812</v>
      </c>
      <c r="C781" t="str">
        <f>"9780714654973"</f>
        <v>9780714654973</v>
      </c>
      <c r="D781" t="str">
        <f>"9780203502044"</f>
        <v>9780203502044</v>
      </c>
      <c r="E781" t="s">
        <v>15</v>
      </c>
      <c r="F781" t="s">
        <v>16</v>
      </c>
      <c r="G781" s="1">
        <v>37803</v>
      </c>
      <c r="H781" s="1">
        <v>38668</v>
      </c>
      <c r="I781" t="s">
        <v>12</v>
      </c>
      <c r="J781" t="s">
        <v>11551</v>
      </c>
    </row>
    <row r="782" spans="1:10" x14ac:dyDescent="0.25">
      <c r="A782">
        <v>200984</v>
      </c>
      <c r="B782" t="s">
        <v>813</v>
      </c>
      <c r="C782" t="str">
        <f>"9780714655499"</f>
        <v>9780714655499</v>
      </c>
      <c r="D782" t="str">
        <f>"9780203499290"</f>
        <v>9780203499290</v>
      </c>
      <c r="E782" t="s">
        <v>15</v>
      </c>
      <c r="F782" t="s">
        <v>16</v>
      </c>
      <c r="G782" s="1">
        <v>38035</v>
      </c>
      <c r="H782" s="1">
        <v>38797</v>
      </c>
      <c r="I782" t="s">
        <v>12</v>
      </c>
      <c r="J782" t="s">
        <v>11552</v>
      </c>
    </row>
    <row r="783" spans="1:10" x14ac:dyDescent="0.25">
      <c r="A783">
        <v>200990</v>
      </c>
      <c r="B783" t="s">
        <v>814</v>
      </c>
      <c r="C783" t="str">
        <f>"9780714655826"</f>
        <v>9780714655826</v>
      </c>
      <c r="D783" t="str">
        <f>"9780203646083"</f>
        <v>9780203646083</v>
      </c>
      <c r="E783" t="s">
        <v>15</v>
      </c>
      <c r="F783" t="s">
        <v>16</v>
      </c>
      <c r="G783" s="1">
        <v>38183</v>
      </c>
      <c r="H783" s="1">
        <v>38169</v>
      </c>
      <c r="I783" t="s">
        <v>12</v>
      </c>
      <c r="J783" t="s">
        <v>11553</v>
      </c>
    </row>
    <row r="784" spans="1:10" x14ac:dyDescent="0.25">
      <c r="A784">
        <v>201016</v>
      </c>
      <c r="B784" t="s">
        <v>815</v>
      </c>
      <c r="C784" t="str">
        <f>"9780849319532"</f>
        <v>9780849319532</v>
      </c>
      <c r="D784" t="str">
        <f>"9780203507353"</f>
        <v>9780203507353</v>
      </c>
      <c r="E784" t="s">
        <v>667</v>
      </c>
      <c r="F784" t="s">
        <v>667</v>
      </c>
      <c r="G784" s="1">
        <v>37949</v>
      </c>
      <c r="H784" s="1">
        <v>42103</v>
      </c>
      <c r="I784" t="s">
        <v>12</v>
      </c>
      <c r="J784" t="s">
        <v>11554</v>
      </c>
    </row>
    <row r="785" spans="1:10" x14ac:dyDescent="0.25">
      <c r="A785">
        <v>201023</v>
      </c>
      <c r="B785" t="s">
        <v>816</v>
      </c>
      <c r="C785" t="str">
        <f>"9780863776588"</f>
        <v>9780863776588</v>
      </c>
      <c r="D785" t="str">
        <f>"9780203647554"</f>
        <v>9780203647554</v>
      </c>
      <c r="E785" t="s">
        <v>15</v>
      </c>
      <c r="F785" t="s">
        <v>55</v>
      </c>
      <c r="G785" s="1">
        <v>38450</v>
      </c>
      <c r="H785" s="1">
        <v>38602</v>
      </c>
      <c r="I785" t="s">
        <v>12</v>
      </c>
      <c r="J785" t="s">
        <v>11555</v>
      </c>
    </row>
    <row r="786" spans="1:10" x14ac:dyDescent="0.25">
      <c r="A786">
        <v>201037</v>
      </c>
      <c r="B786" t="s">
        <v>817</v>
      </c>
      <c r="C786" t="str">
        <f>"9781583912171"</f>
        <v>9781583912171</v>
      </c>
      <c r="D786" t="str">
        <f>"9781135453343"</f>
        <v>9781135453343</v>
      </c>
      <c r="E786" t="s">
        <v>15</v>
      </c>
      <c r="F786" t="s">
        <v>16</v>
      </c>
      <c r="G786" s="1">
        <v>38085</v>
      </c>
      <c r="H786" s="1">
        <v>42334</v>
      </c>
      <c r="I786" t="s">
        <v>12</v>
      </c>
      <c r="J786" t="s">
        <v>11556</v>
      </c>
    </row>
    <row r="787" spans="1:10" x14ac:dyDescent="0.25">
      <c r="A787">
        <v>201044</v>
      </c>
      <c r="B787" t="s">
        <v>818</v>
      </c>
      <c r="C787" t="str">
        <f>"9781583918609"</f>
        <v>9781583918609</v>
      </c>
      <c r="D787" t="str">
        <f>"9780203448861"</f>
        <v>9780203448861</v>
      </c>
      <c r="E787" t="s">
        <v>15</v>
      </c>
      <c r="F787" t="s">
        <v>16</v>
      </c>
      <c r="G787" s="1">
        <v>38155</v>
      </c>
      <c r="H787" s="1">
        <v>38522</v>
      </c>
      <c r="I787" t="s">
        <v>12</v>
      </c>
      <c r="J787" t="s">
        <v>11557</v>
      </c>
    </row>
    <row r="788" spans="1:10" x14ac:dyDescent="0.25">
      <c r="A788">
        <v>201050</v>
      </c>
      <c r="B788" t="s">
        <v>819</v>
      </c>
      <c r="C788" t="str">
        <f>"9781583919729"</f>
        <v>9781583919729</v>
      </c>
      <c r="D788" t="str">
        <f>"9780203462904"</f>
        <v>9780203462904</v>
      </c>
      <c r="E788" t="s">
        <v>15</v>
      </c>
      <c r="F788" t="s">
        <v>16</v>
      </c>
      <c r="G788" s="1">
        <v>38124</v>
      </c>
      <c r="H788" s="1">
        <v>39087</v>
      </c>
      <c r="I788" t="s">
        <v>12</v>
      </c>
      <c r="J788" t="s">
        <v>11558</v>
      </c>
    </row>
    <row r="789" spans="1:10" x14ac:dyDescent="0.25">
      <c r="A789">
        <v>201051</v>
      </c>
      <c r="B789" t="s">
        <v>820</v>
      </c>
      <c r="C789" t="str">
        <f>"9781583919903"</f>
        <v>9781583919903</v>
      </c>
      <c r="D789" t="str">
        <f>"9780203506035"</f>
        <v>9780203506035</v>
      </c>
      <c r="E789" t="s">
        <v>821</v>
      </c>
      <c r="F789" t="s">
        <v>821</v>
      </c>
      <c r="G789" s="1">
        <v>37959</v>
      </c>
      <c r="H789" s="1">
        <v>39163</v>
      </c>
      <c r="I789" t="s">
        <v>12</v>
      </c>
      <c r="J789" t="s">
        <v>11559</v>
      </c>
    </row>
    <row r="790" spans="1:10" x14ac:dyDescent="0.25">
      <c r="A790">
        <v>201055</v>
      </c>
      <c r="B790" t="s">
        <v>822</v>
      </c>
      <c r="C790" t="str">
        <f>"9781841690452"</f>
        <v>9781841690452</v>
      </c>
      <c r="D790" t="str">
        <f>"9780203644966"</f>
        <v>9780203644966</v>
      </c>
      <c r="E790" t="s">
        <v>15</v>
      </c>
      <c r="F790" t="s">
        <v>55</v>
      </c>
      <c r="G790" s="1">
        <v>38315</v>
      </c>
      <c r="H790" s="1">
        <v>38642</v>
      </c>
      <c r="I790" t="s">
        <v>12</v>
      </c>
      <c r="J790" t="s">
        <v>11560</v>
      </c>
    </row>
    <row r="791" spans="1:10" x14ac:dyDescent="0.25">
      <c r="A791">
        <v>201059</v>
      </c>
      <c r="B791" t="s">
        <v>823</v>
      </c>
      <c r="C791" t="str">
        <f>"9781841692234"</f>
        <v>9781841692234</v>
      </c>
      <c r="D791" t="str">
        <f>"9780203647110"</f>
        <v>9780203647110</v>
      </c>
      <c r="E791" t="s">
        <v>15</v>
      </c>
      <c r="F791" t="s">
        <v>55</v>
      </c>
      <c r="G791" s="1">
        <v>38491</v>
      </c>
      <c r="H791" s="1">
        <v>38602</v>
      </c>
      <c r="I791" t="s">
        <v>12</v>
      </c>
      <c r="J791" t="s">
        <v>11561</v>
      </c>
    </row>
    <row r="792" spans="1:10" x14ac:dyDescent="0.25">
      <c r="A792">
        <v>201060</v>
      </c>
      <c r="B792" t="s">
        <v>824</v>
      </c>
      <c r="C792" t="str">
        <f>"9781841695204"</f>
        <v>9781841695204</v>
      </c>
      <c r="D792" t="str">
        <f>"9780203462119"</f>
        <v>9780203462119</v>
      </c>
      <c r="E792" t="s">
        <v>15</v>
      </c>
      <c r="F792" t="s">
        <v>55</v>
      </c>
      <c r="G792" s="1">
        <v>38141</v>
      </c>
      <c r="H792" s="1">
        <v>38666</v>
      </c>
      <c r="I792" t="s">
        <v>12</v>
      </c>
      <c r="J792" t="s">
        <v>11562</v>
      </c>
    </row>
    <row r="793" spans="1:10" x14ac:dyDescent="0.25">
      <c r="A793">
        <v>201061</v>
      </c>
      <c r="B793" t="s">
        <v>825</v>
      </c>
      <c r="C793" t="str">
        <f>"9781841692944"</f>
        <v>9781841692944</v>
      </c>
      <c r="D793" t="str">
        <f>"9780203391099"</f>
        <v>9780203391099</v>
      </c>
      <c r="E793" t="s">
        <v>15</v>
      </c>
      <c r="F793" t="s">
        <v>55</v>
      </c>
      <c r="G793" s="1">
        <v>38001</v>
      </c>
      <c r="H793" s="1">
        <v>38454</v>
      </c>
      <c r="I793" t="s">
        <v>12</v>
      </c>
      <c r="J793" t="s">
        <v>11563</v>
      </c>
    </row>
    <row r="794" spans="1:10" x14ac:dyDescent="0.25">
      <c r="A794">
        <v>201064</v>
      </c>
      <c r="B794" t="s">
        <v>826</v>
      </c>
      <c r="C794" t="str">
        <f>"9781841693545"</f>
        <v>9781841693545</v>
      </c>
      <c r="D794" t="str">
        <f>"9780203449226"</f>
        <v>9780203449226</v>
      </c>
      <c r="E794" t="s">
        <v>15</v>
      </c>
      <c r="F794" t="s">
        <v>55</v>
      </c>
      <c r="G794" s="1">
        <v>38338</v>
      </c>
      <c r="H794" s="1">
        <v>38491</v>
      </c>
      <c r="I794" t="s">
        <v>12</v>
      </c>
      <c r="J794" t="s">
        <v>11564</v>
      </c>
    </row>
    <row r="795" spans="1:10" x14ac:dyDescent="0.25">
      <c r="A795">
        <v>201138</v>
      </c>
      <c r="B795" t="s">
        <v>827</v>
      </c>
      <c r="C795" t="str">
        <f>"9781850007173"</f>
        <v>9781850007173</v>
      </c>
      <c r="D795" t="str">
        <f>"9780203639924"</f>
        <v>9780203639924</v>
      </c>
      <c r="E795" t="s">
        <v>15</v>
      </c>
      <c r="F795" t="s">
        <v>16</v>
      </c>
      <c r="G795" s="1">
        <v>33329</v>
      </c>
      <c r="H795" s="1">
        <v>38588</v>
      </c>
      <c r="I795" t="s">
        <v>12</v>
      </c>
      <c r="J795" t="s">
        <v>11565</v>
      </c>
    </row>
    <row r="796" spans="1:10" x14ac:dyDescent="0.25">
      <c r="A796">
        <v>201148</v>
      </c>
      <c r="B796" t="s">
        <v>828</v>
      </c>
      <c r="C796" t="str">
        <f>"9780415400671"</f>
        <v>9780415400671</v>
      </c>
      <c r="D796" t="str">
        <f>"9780203645376"</f>
        <v>9780203645376</v>
      </c>
      <c r="E796" t="s">
        <v>15</v>
      </c>
      <c r="F796" t="s">
        <v>16</v>
      </c>
      <c r="G796" s="1">
        <v>38201</v>
      </c>
      <c r="H796" s="1">
        <v>38776</v>
      </c>
      <c r="I796" t="s">
        <v>12</v>
      </c>
      <c r="J796" t="s">
        <v>11566</v>
      </c>
    </row>
    <row r="797" spans="1:10" x14ac:dyDescent="0.25">
      <c r="A797">
        <v>201186</v>
      </c>
      <c r="B797" t="s">
        <v>829</v>
      </c>
      <c r="C797" t="str">
        <f>"9780415237178"</f>
        <v>9780415237178</v>
      </c>
      <c r="D797" t="str">
        <f>"9780203005682"</f>
        <v>9780203005682</v>
      </c>
      <c r="E797" t="s">
        <v>15</v>
      </c>
      <c r="F797" t="s">
        <v>16</v>
      </c>
      <c r="G797" s="1">
        <v>36913</v>
      </c>
      <c r="H797" s="1">
        <v>38770</v>
      </c>
      <c r="I797" t="s">
        <v>12</v>
      </c>
      <c r="J797" t="s">
        <v>11567</v>
      </c>
    </row>
    <row r="798" spans="1:10" x14ac:dyDescent="0.25">
      <c r="A798">
        <v>201209</v>
      </c>
      <c r="B798" t="s">
        <v>830</v>
      </c>
      <c r="C798" t="str">
        <f>"9780415328609"</f>
        <v>9780415328609</v>
      </c>
      <c r="D798" t="str">
        <f>"9780203005675"</f>
        <v>9780203005675</v>
      </c>
      <c r="E798" t="s">
        <v>15</v>
      </c>
      <c r="F798" t="s">
        <v>16</v>
      </c>
      <c r="G798" s="1">
        <v>38358</v>
      </c>
      <c r="H798" s="1">
        <v>38684</v>
      </c>
      <c r="I798" t="s">
        <v>12</v>
      </c>
      <c r="J798" t="s">
        <v>11568</v>
      </c>
    </row>
    <row r="799" spans="1:10" x14ac:dyDescent="0.25">
      <c r="A799">
        <v>201213</v>
      </c>
      <c r="B799" t="s">
        <v>831</v>
      </c>
      <c r="C799" t="str">
        <f>"9780415336222"</f>
        <v>9780415336222</v>
      </c>
      <c r="D799" t="str">
        <f>"9780203005071"</f>
        <v>9780203005071</v>
      </c>
      <c r="E799" t="s">
        <v>15</v>
      </c>
      <c r="F799" t="s">
        <v>16</v>
      </c>
      <c r="G799" s="1">
        <v>38384</v>
      </c>
      <c r="H799" s="1">
        <v>40037</v>
      </c>
      <c r="I799" t="s">
        <v>12</v>
      </c>
      <c r="J799" t="s">
        <v>11569</v>
      </c>
    </row>
    <row r="800" spans="1:10" x14ac:dyDescent="0.25">
      <c r="A800">
        <v>201226</v>
      </c>
      <c r="B800" t="s">
        <v>832</v>
      </c>
      <c r="C800" t="str">
        <f>"9780415700719"</f>
        <v>9780415700719</v>
      </c>
      <c r="D800" t="str">
        <f>"9780203005804"</f>
        <v>9780203005804</v>
      </c>
      <c r="E800" t="s">
        <v>16</v>
      </c>
      <c r="F800" t="s">
        <v>16</v>
      </c>
      <c r="G800" s="1">
        <v>38730</v>
      </c>
      <c r="H800" s="1">
        <v>38819</v>
      </c>
      <c r="I800" t="s">
        <v>12</v>
      </c>
      <c r="J800" t="s">
        <v>11570</v>
      </c>
    </row>
    <row r="801" spans="1:10" x14ac:dyDescent="0.25">
      <c r="A801">
        <v>201273</v>
      </c>
      <c r="B801" t="s">
        <v>833</v>
      </c>
      <c r="C801" t="str">
        <f>"9780415250900"</f>
        <v>9780415250900</v>
      </c>
      <c r="D801" t="str">
        <f>"9780203000540"</f>
        <v>9780203000540</v>
      </c>
      <c r="E801" t="s">
        <v>15</v>
      </c>
      <c r="F801" t="s">
        <v>16</v>
      </c>
      <c r="G801" s="1">
        <v>37490</v>
      </c>
      <c r="H801" s="1">
        <v>41877</v>
      </c>
      <c r="I801" t="s">
        <v>12</v>
      </c>
      <c r="J801" t="s">
        <v>11571</v>
      </c>
    </row>
    <row r="802" spans="1:10" x14ac:dyDescent="0.25">
      <c r="A802">
        <v>201287</v>
      </c>
      <c r="B802" t="s">
        <v>834</v>
      </c>
      <c r="C802" t="str">
        <f>"9780863775147"</f>
        <v>9780863775147</v>
      </c>
      <c r="D802" t="str">
        <f>"9780203346754"</f>
        <v>9780203346754</v>
      </c>
      <c r="E802" t="s">
        <v>15</v>
      </c>
      <c r="F802" t="s">
        <v>16</v>
      </c>
      <c r="G802" s="1">
        <v>35827</v>
      </c>
      <c r="H802" s="1">
        <v>38596</v>
      </c>
      <c r="I802" t="s">
        <v>12</v>
      </c>
      <c r="J802" t="s">
        <v>11572</v>
      </c>
    </row>
    <row r="803" spans="1:10" x14ac:dyDescent="0.25">
      <c r="A803">
        <v>201328</v>
      </c>
      <c r="B803" t="s">
        <v>835</v>
      </c>
      <c r="C803" t="str">
        <f>"9780415359184"</f>
        <v>9780415359184</v>
      </c>
      <c r="D803" t="str">
        <f>"9780203007310"</f>
        <v>9780203007310</v>
      </c>
      <c r="E803" t="s">
        <v>15</v>
      </c>
      <c r="F803" t="s">
        <v>16</v>
      </c>
      <c r="G803" s="1">
        <v>38814</v>
      </c>
      <c r="H803" s="1">
        <v>38868</v>
      </c>
      <c r="I803" t="s">
        <v>12</v>
      </c>
      <c r="J803" t="s">
        <v>11573</v>
      </c>
    </row>
    <row r="804" spans="1:10" x14ac:dyDescent="0.25">
      <c r="A804">
        <v>201334</v>
      </c>
      <c r="B804" t="s">
        <v>836</v>
      </c>
      <c r="C804" t="str">
        <f>"9780415360029"</f>
        <v>9780415360029</v>
      </c>
      <c r="D804" t="str">
        <f>"9780203008157"</f>
        <v>9780203008157</v>
      </c>
      <c r="E804" t="s">
        <v>15</v>
      </c>
      <c r="F804" t="s">
        <v>16</v>
      </c>
      <c r="G804" s="1">
        <v>38923</v>
      </c>
      <c r="H804" s="1">
        <v>38960</v>
      </c>
      <c r="I804" t="s">
        <v>12</v>
      </c>
      <c r="J804" t="s">
        <v>11574</v>
      </c>
    </row>
    <row r="805" spans="1:10" x14ac:dyDescent="0.25">
      <c r="A805">
        <v>201347</v>
      </c>
      <c r="B805" t="s">
        <v>837</v>
      </c>
      <c r="C805" t="str">
        <f>"9780415252881"</f>
        <v>9780415252881</v>
      </c>
      <c r="D805" t="str">
        <f>"9780203001448"</f>
        <v>9780203001448</v>
      </c>
      <c r="E805" t="s">
        <v>15</v>
      </c>
      <c r="F805" t="s">
        <v>16</v>
      </c>
      <c r="G805" s="1">
        <v>38350</v>
      </c>
      <c r="H805" s="1">
        <v>38795</v>
      </c>
      <c r="I805" t="s">
        <v>12</v>
      </c>
      <c r="J805" t="s">
        <v>11575</v>
      </c>
    </row>
    <row r="806" spans="1:10" x14ac:dyDescent="0.25">
      <c r="A806">
        <v>201350</v>
      </c>
      <c r="B806" t="s">
        <v>838</v>
      </c>
      <c r="C806" t="str">
        <f>"9780415360043"</f>
        <v>9780415360043</v>
      </c>
      <c r="D806" t="str">
        <f>"9780203008133"</f>
        <v>9780203008133</v>
      </c>
      <c r="E806" t="s">
        <v>15</v>
      </c>
      <c r="F806" t="s">
        <v>16</v>
      </c>
      <c r="G806" s="1">
        <v>38905</v>
      </c>
      <c r="H806" s="1">
        <v>38942</v>
      </c>
      <c r="I806" t="s">
        <v>12</v>
      </c>
      <c r="J806" t="s">
        <v>11576</v>
      </c>
    </row>
    <row r="807" spans="1:10" x14ac:dyDescent="0.25">
      <c r="A807">
        <v>201372</v>
      </c>
      <c r="B807" t="s">
        <v>839</v>
      </c>
      <c r="C807" t="str">
        <f>"9780521773331"</f>
        <v>9780521773331</v>
      </c>
      <c r="D807" t="str">
        <f>"9780511049897"</f>
        <v>9780511049897</v>
      </c>
      <c r="E807" t="s">
        <v>18</v>
      </c>
      <c r="F807" t="s">
        <v>18</v>
      </c>
      <c r="G807" s="1">
        <v>36692</v>
      </c>
      <c r="H807" s="1">
        <v>38300</v>
      </c>
      <c r="I807" t="s">
        <v>12</v>
      </c>
      <c r="J807" t="s">
        <v>11577</v>
      </c>
    </row>
    <row r="808" spans="1:10" x14ac:dyDescent="0.25">
      <c r="A808">
        <v>201411</v>
      </c>
      <c r="B808" t="s">
        <v>840</v>
      </c>
      <c r="C808" t="str">
        <f>"9780521782210"</f>
        <v>9780521782210</v>
      </c>
      <c r="D808" t="str">
        <f>"9780511156151"</f>
        <v>9780511156151</v>
      </c>
      <c r="E808" t="s">
        <v>18</v>
      </c>
      <c r="F808" t="s">
        <v>18</v>
      </c>
      <c r="G808" s="1">
        <v>36941</v>
      </c>
      <c r="H808" s="1">
        <v>38169</v>
      </c>
      <c r="I808" t="s">
        <v>12</v>
      </c>
      <c r="J808" t="s">
        <v>11578</v>
      </c>
    </row>
    <row r="809" spans="1:10" x14ac:dyDescent="0.25">
      <c r="A809">
        <v>201452</v>
      </c>
      <c r="B809" t="s">
        <v>841</v>
      </c>
      <c r="C809" t="str">
        <f>"9780521791137"</f>
        <v>9780521791137</v>
      </c>
      <c r="D809" t="str">
        <f>"9780511154591"</f>
        <v>9780511154591</v>
      </c>
      <c r="E809" t="s">
        <v>18</v>
      </c>
      <c r="F809" t="s">
        <v>18</v>
      </c>
      <c r="G809" s="1">
        <v>37165</v>
      </c>
      <c r="H809" s="1">
        <v>38169</v>
      </c>
      <c r="I809" t="s">
        <v>12</v>
      </c>
      <c r="J809" t="s">
        <v>11579</v>
      </c>
    </row>
    <row r="810" spans="1:10" x14ac:dyDescent="0.25">
      <c r="A810">
        <v>201510</v>
      </c>
      <c r="B810" t="s">
        <v>842</v>
      </c>
      <c r="C810" t="str">
        <f>"9780521593083"</f>
        <v>9780521593083</v>
      </c>
      <c r="D810" t="str">
        <f>"9780511152016"</f>
        <v>9780511152016</v>
      </c>
      <c r="E810" t="s">
        <v>18</v>
      </c>
      <c r="F810" t="s">
        <v>18</v>
      </c>
      <c r="G810" s="1">
        <v>36559</v>
      </c>
      <c r="H810" s="1">
        <v>38279</v>
      </c>
      <c r="I810" t="s">
        <v>12</v>
      </c>
      <c r="J810" t="s">
        <v>11580</v>
      </c>
    </row>
    <row r="811" spans="1:10" x14ac:dyDescent="0.25">
      <c r="A811">
        <v>201522</v>
      </c>
      <c r="B811" t="s">
        <v>843</v>
      </c>
      <c r="C811" t="str">
        <f>"9780521573177"</f>
        <v>9780521573177</v>
      </c>
      <c r="D811" t="str">
        <f>"9780511158193"</f>
        <v>9780511158193</v>
      </c>
      <c r="E811" t="s">
        <v>18</v>
      </c>
      <c r="F811" t="s">
        <v>18</v>
      </c>
      <c r="G811" s="1">
        <v>37693</v>
      </c>
      <c r="H811" s="1">
        <v>38169</v>
      </c>
      <c r="I811" t="s">
        <v>12</v>
      </c>
      <c r="J811" t="s">
        <v>11581</v>
      </c>
    </row>
    <row r="812" spans="1:10" x14ac:dyDescent="0.25">
      <c r="A812">
        <v>201523</v>
      </c>
      <c r="B812" t="s">
        <v>844</v>
      </c>
      <c r="C812" t="str">
        <f>"9780521561198"</f>
        <v>9780521561198</v>
      </c>
      <c r="D812" t="str">
        <f>"9780511152986"</f>
        <v>9780511152986</v>
      </c>
      <c r="E812" t="s">
        <v>18</v>
      </c>
      <c r="F812" t="s">
        <v>18</v>
      </c>
      <c r="G812" s="1">
        <v>37074</v>
      </c>
      <c r="H812" s="1">
        <v>38169</v>
      </c>
      <c r="I812" t="s">
        <v>12</v>
      </c>
      <c r="J812" t="s">
        <v>11582</v>
      </c>
    </row>
    <row r="813" spans="1:10" x14ac:dyDescent="0.25">
      <c r="A813">
        <v>201682</v>
      </c>
      <c r="B813" t="s">
        <v>845</v>
      </c>
      <c r="C813" t="str">
        <f>"9780521771405"</f>
        <v>9780521771405</v>
      </c>
      <c r="D813" t="str">
        <f>"9780511150456"</f>
        <v>9780511150456</v>
      </c>
      <c r="E813" t="s">
        <v>18</v>
      </c>
      <c r="F813" t="s">
        <v>18</v>
      </c>
      <c r="G813" s="1">
        <v>36685</v>
      </c>
      <c r="H813" s="1">
        <v>38169</v>
      </c>
      <c r="I813" t="s">
        <v>12</v>
      </c>
      <c r="J813" t="s">
        <v>11583</v>
      </c>
    </row>
    <row r="814" spans="1:10" x14ac:dyDescent="0.25">
      <c r="A814">
        <v>201744</v>
      </c>
      <c r="B814" t="s">
        <v>846</v>
      </c>
      <c r="C814" t="str">
        <f>"9780521621564"</f>
        <v>9780521621564</v>
      </c>
      <c r="D814" t="str">
        <f>"9780511147845"</f>
        <v>9780511147845</v>
      </c>
      <c r="E814" t="s">
        <v>18</v>
      </c>
      <c r="F814" t="s">
        <v>18</v>
      </c>
      <c r="G814" s="1">
        <v>37462</v>
      </c>
      <c r="H814" s="1">
        <v>38169</v>
      </c>
      <c r="I814" t="s">
        <v>12</v>
      </c>
      <c r="J814" t="s">
        <v>11584</v>
      </c>
    </row>
    <row r="815" spans="1:10" x14ac:dyDescent="0.25">
      <c r="A815">
        <v>201813</v>
      </c>
      <c r="B815" t="s">
        <v>847</v>
      </c>
      <c r="C815" t="str">
        <f>"9780521793032"</f>
        <v>9780521793032</v>
      </c>
      <c r="D815" t="str">
        <f>"9780511158292"</f>
        <v>9780511158292</v>
      </c>
      <c r="E815" t="s">
        <v>18</v>
      </c>
      <c r="F815" t="s">
        <v>18</v>
      </c>
      <c r="G815" s="1">
        <v>37637</v>
      </c>
      <c r="H815" s="1">
        <v>38169</v>
      </c>
      <c r="I815" t="s">
        <v>12</v>
      </c>
      <c r="J815" t="s">
        <v>11585</v>
      </c>
    </row>
    <row r="816" spans="1:10" x14ac:dyDescent="0.25">
      <c r="A816">
        <v>201877</v>
      </c>
      <c r="B816" t="s">
        <v>848</v>
      </c>
      <c r="C816" t="str">
        <f>"9780521801584"</f>
        <v>9780521801584</v>
      </c>
      <c r="D816" t="str">
        <f>"9780511152900"</f>
        <v>9780511152900</v>
      </c>
      <c r="E816" t="s">
        <v>18</v>
      </c>
      <c r="F816" t="s">
        <v>18</v>
      </c>
      <c r="G816" s="1">
        <v>37074</v>
      </c>
      <c r="H816" s="1">
        <v>38169</v>
      </c>
      <c r="I816" t="s">
        <v>12</v>
      </c>
      <c r="J816" t="s">
        <v>11586</v>
      </c>
    </row>
    <row r="817" spans="1:10" x14ac:dyDescent="0.25">
      <c r="A817">
        <v>201883</v>
      </c>
      <c r="B817" t="s">
        <v>849</v>
      </c>
      <c r="C817" t="str">
        <f>"9780521661775"</f>
        <v>9780521661775</v>
      </c>
      <c r="D817" t="str">
        <f>"9780511149764"</f>
        <v>9780511149764</v>
      </c>
      <c r="E817" t="s">
        <v>18</v>
      </c>
      <c r="F817" t="s">
        <v>18</v>
      </c>
      <c r="G817" s="1">
        <v>36468</v>
      </c>
      <c r="H817" s="1">
        <v>38279</v>
      </c>
      <c r="I817" t="s">
        <v>12</v>
      </c>
      <c r="J817" t="s">
        <v>11587</v>
      </c>
    </row>
    <row r="818" spans="1:10" x14ac:dyDescent="0.25">
      <c r="A818">
        <v>201922</v>
      </c>
      <c r="B818" t="s">
        <v>850</v>
      </c>
      <c r="C818" t="str">
        <f>"9780521661324"</f>
        <v>9780521661324</v>
      </c>
      <c r="D818" t="str">
        <f>"9780511156106"</f>
        <v>9780511156106</v>
      </c>
      <c r="E818" t="s">
        <v>18</v>
      </c>
      <c r="F818" t="s">
        <v>18</v>
      </c>
      <c r="G818" s="1">
        <v>36783</v>
      </c>
      <c r="H818" s="1">
        <v>38169</v>
      </c>
      <c r="I818" t="s">
        <v>12</v>
      </c>
      <c r="J818" t="s">
        <v>11588</v>
      </c>
    </row>
    <row r="819" spans="1:10" x14ac:dyDescent="0.25">
      <c r="A819">
        <v>201948</v>
      </c>
      <c r="B819" t="s">
        <v>851</v>
      </c>
      <c r="C819" t="str">
        <f>"9780521584418"</f>
        <v>9780521584418</v>
      </c>
      <c r="D819" t="str">
        <f>"9780511148613"</f>
        <v>9780511148613</v>
      </c>
      <c r="E819" t="s">
        <v>18</v>
      </c>
      <c r="F819" t="s">
        <v>18</v>
      </c>
      <c r="G819" s="1">
        <v>37581</v>
      </c>
      <c r="H819" s="1">
        <v>38169</v>
      </c>
      <c r="I819" t="s">
        <v>12</v>
      </c>
      <c r="J819" t="s">
        <v>11589</v>
      </c>
    </row>
    <row r="820" spans="1:10" x14ac:dyDescent="0.25">
      <c r="A820">
        <v>201972</v>
      </c>
      <c r="B820" t="s">
        <v>852</v>
      </c>
      <c r="C820" t="str">
        <f>"9780521631693"</f>
        <v>9780521631693</v>
      </c>
      <c r="D820" t="str">
        <f>"9780511155888"</f>
        <v>9780511155888</v>
      </c>
      <c r="E820" t="s">
        <v>18</v>
      </c>
      <c r="F820" t="s">
        <v>18</v>
      </c>
      <c r="G820" s="1">
        <v>36370</v>
      </c>
      <c r="H820" s="1">
        <v>38169</v>
      </c>
      <c r="I820" t="s">
        <v>12</v>
      </c>
      <c r="J820" t="s">
        <v>11590</v>
      </c>
    </row>
    <row r="821" spans="1:10" x14ac:dyDescent="0.25">
      <c r="A821">
        <v>201978</v>
      </c>
      <c r="B821" t="s">
        <v>853</v>
      </c>
      <c r="C821" t="str">
        <f>"9780521781114"</f>
        <v>9780521781114</v>
      </c>
      <c r="D821" t="str">
        <f>"9780511152344"</f>
        <v>9780511152344</v>
      </c>
      <c r="E821" t="s">
        <v>18</v>
      </c>
      <c r="F821" t="s">
        <v>18</v>
      </c>
      <c r="G821" s="1">
        <v>36831</v>
      </c>
      <c r="H821" s="1">
        <v>38169</v>
      </c>
      <c r="I821" t="s">
        <v>12</v>
      </c>
      <c r="J821" t="s">
        <v>11591</v>
      </c>
    </row>
    <row r="822" spans="1:10" x14ac:dyDescent="0.25">
      <c r="A822">
        <v>202017</v>
      </c>
      <c r="B822" t="s">
        <v>854</v>
      </c>
      <c r="C822" t="str">
        <f>"9780521803397"</f>
        <v>9780521803397</v>
      </c>
      <c r="D822" t="str">
        <f>"9780511157103"</f>
        <v>9780511157103</v>
      </c>
      <c r="E822" t="s">
        <v>18</v>
      </c>
      <c r="F822" t="s">
        <v>18</v>
      </c>
      <c r="G822" s="1">
        <v>37329</v>
      </c>
      <c r="H822" s="1">
        <v>41766</v>
      </c>
      <c r="I822" t="s">
        <v>12</v>
      </c>
      <c r="J822" t="s">
        <v>11592</v>
      </c>
    </row>
    <row r="823" spans="1:10" x14ac:dyDescent="0.25">
      <c r="A823">
        <v>202028</v>
      </c>
      <c r="B823" t="s">
        <v>855</v>
      </c>
      <c r="C823" t="str">
        <f>"9780521661584"</f>
        <v>9780521661584</v>
      </c>
      <c r="D823" t="str">
        <f>"9780511154317"</f>
        <v>9780511154317</v>
      </c>
      <c r="E823" t="s">
        <v>18</v>
      </c>
      <c r="F823" t="s">
        <v>18</v>
      </c>
      <c r="G823" s="1">
        <v>37154</v>
      </c>
      <c r="H823" s="1">
        <v>38169</v>
      </c>
      <c r="I823" t="s">
        <v>12</v>
      </c>
      <c r="J823" t="s">
        <v>11593</v>
      </c>
    </row>
    <row r="824" spans="1:10" x14ac:dyDescent="0.25">
      <c r="A824">
        <v>202070</v>
      </c>
      <c r="B824" t="s">
        <v>856</v>
      </c>
      <c r="C824" t="str">
        <f>"9780521806848"</f>
        <v>9780521806848</v>
      </c>
      <c r="D824" t="str">
        <f>"9780511156625"</f>
        <v>9780511156625</v>
      </c>
      <c r="E824" t="s">
        <v>18</v>
      </c>
      <c r="F824" t="s">
        <v>18</v>
      </c>
      <c r="G824" s="1">
        <v>37280</v>
      </c>
      <c r="H824" s="1">
        <v>38169</v>
      </c>
      <c r="I824" t="s">
        <v>12</v>
      </c>
      <c r="J824" t="s">
        <v>11594</v>
      </c>
    </row>
    <row r="825" spans="1:10" x14ac:dyDescent="0.25">
      <c r="A825">
        <v>202072</v>
      </c>
      <c r="B825" t="s">
        <v>857</v>
      </c>
      <c r="C825" t="str">
        <f>"9780521808798"</f>
        <v>9780521808798</v>
      </c>
      <c r="D825" t="str">
        <f>"9780511157691"</f>
        <v>9780511157691</v>
      </c>
      <c r="E825" t="s">
        <v>18</v>
      </c>
      <c r="F825" t="s">
        <v>18</v>
      </c>
      <c r="G825" s="1">
        <v>37420</v>
      </c>
      <c r="H825" s="1">
        <v>38169</v>
      </c>
      <c r="I825" t="s">
        <v>12</v>
      </c>
      <c r="J825" t="s">
        <v>11595</v>
      </c>
    </row>
    <row r="826" spans="1:10" x14ac:dyDescent="0.25">
      <c r="A826">
        <v>202073</v>
      </c>
      <c r="B826" t="s">
        <v>858</v>
      </c>
      <c r="C826" t="str">
        <f>"9780521808385"</f>
        <v>9780521808385</v>
      </c>
      <c r="D826" t="str">
        <f>"9780511155673"</f>
        <v>9780511155673</v>
      </c>
      <c r="E826" t="s">
        <v>18</v>
      </c>
      <c r="F826" t="s">
        <v>18</v>
      </c>
      <c r="G826" s="1">
        <v>37238</v>
      </c>
      <c r="H826" s="1">
        <v>38169</v>
      </c>
      <c r="I826" t="s">
        <v>12</v>
      </c>
      <c r="J826" t="s">
        <v>11596</v>
      </c>
    </row>
    <row r="827" spans="1:10" x14ac:dyDescent="0.25">
      <c r="A827">
        <v>202082</v>
      </c>
      <c r="B827" t="s">
        <v>859</v>
      </c>
      <c r="C827" t="str">
        <f>"9780521812245"</f>
        <v>9780521812245</v>
      </c>
      <c r="D827" t="str">
        <f>"9780511157561"</f>
        <v>9780511157561</v>
      </c>
      <c r="E827" t="s">
        <v>18</v>
      </c>
      <c r="F827" t="s">
        <v>18</v>
      </c>
      <c r="G827" s="1">
        <v>37378</v>
      </c>
      <c r="H827" s="1">
        <v>38169</v>
      </c>
      <c r="I827" t="s">
        <v>12</v>
      </c>
      <c r="J827" t="s">
        <v>11597</v>
      </c>
    </row>
    <row r="828" spans="1:10" x14ac:dyDescent="0.25">
      <c r="A828">
        <v>202147</v>
      </c>
      <c r="B828" t="s">
        <v>860</v>
      </c>
      <c r="C828" t="str">
        <f>"9780521806428"</f>
        <v>9780521806428</v>
      </c>
      <c r="D828" t="str">
        <f>"9780511148378"</f>
        <v>9780511148378</v>
      </c>
      <c r="E828" t="s">
        <v>18</v>
      </c>
      <c r="F828" t="s">
        <v>18</v>
      </c>
      <c r="G828" s="1">
        <v>37553</v>
      </c>
      <c r="H828" s="1">
        <v>38169</v>
      </c>
      <c r="I828" t="s">
        <v>12</v>
      </c>
      <c r="J828" t="s">
        <v>11598</v>
      </c>
    </row>
    <row r="829" spans="1:10" x14ac:dyDescent="0.25">
      <c r="A829">
        <v>202177</v>
      </c>
      <c r="B829" t="s">
        <v>861</v>
      </c>
      <c r="C829" t="str">
        <f>"9780521640497"</f>
        <v>9780521640497</v>
      </c>
      <c r="D829" t="str">
        <f>"9780511150968"</f>
        <v>9780511150968</v>
      </c>
      <c r="E829" t="s">
        <v>18</v>
      </c>
      <c r="F829" t="s">
        <v>18</v>
      </c>
      <c r="G829" s="1">
        <v>36573</v>
      </c>
      <c r="H829" s="1">
        <v>38169</v>
      </c>
      <c r="I829" t="s">
        <v>12</v>
      </c>
      <c r="J829" t="s">
        <v>11599</v>
      </c>
    </row>
    <row r="830" spans="1:10" x14ac:dyDescent="0.25">
      <c r="A830">
        <v>202209</v>
      </c>
      <c r="B830" t="s">
        <v>862</v>
      </c>
      <c r="C830" t="str">
        <f>"9780521813396"</f>
        <v>9780521813396</v>
      </c>
      <c r="D830" t="str">
        <f>"9780511147982"</f>
        <v>9780511147982</v>
      </c>
      <c r="E830" t="s">
        <v>18</v>
      </c>
      <c r="F830" t="s">
        <v>18</v>
      </c>
      <c r="G830" s="1">
        <v>37483</v>
      </c>
      <c r="H830" s="1">
        <v>38169</v>
      </c>
      <c r="I830" t="s">
        <v>12</v>
      </c>
      <c r="J830" t="s">
        <v>11600</v>
      </c>
    </row>
    <row r="831" spans="1:10" x14ac:dyDescent="0.25">
      <c r="A831">
        <v>202227</v>
      </c>
      <c r="B831" t="s">
        <v>863</v>
      </c>
      <c r="C831" t="str">
        <f>"9780521812337"</f>
        <v>9780521812337</v>
      </c>
      <c r="D831" t="str">
        <f>"9780511157882"</f>
        <v>9780511157882</v>
      </c>
      <c r="E831" t="s">
        <v>18</v>
      </c>
      <c r="F831" t="s">
        <v>18</v>
      </c>
      <c r="G831" s="1">
        <v>37504</v>
      </c>
      <c r="H831" s="1">
        <v>38169</v>
      </c>
      <c r="I831" t="s">
        <v>12</v>
      </c>
      <c r="J831" t="s">
        <v>11601</v>
      </c>
    </row>
    <row r="832" spans="1:10" x14ac:dyDescent="0.25">
      <c r="A832">
        <v>202237</v>
      </c>
      <c r="B832" t="s">
        <v>864</v>
      </c>
      <c r="C832" t="str">
        <f>"9780521791977"</f>
        <v>9780521791977</v>
      </c>
      <c r="D832" t="str">
        <f>"9780511153723"</f>
        <v>9780511153723</v>
      </c>
      <c r="E832" t="s">
        <v>18</v>
      </c>
      <c r="F832" t="s">
        <v>18</v>
      </c>
      <c r="G832" s="1">
        <v>36955</v>
      </c>
      <c r="H832" s="1">
        <v>38169</v>
      </c>
      <c r="I832" t="s">
        <v>12</v>
      </c>
      <c r="J832" t="s">
        <v>11602</v>
      </c>
    </row>
    <row r="833" spans="1:10" x14ac:dyDescent="0.25">
      <c r="A833">
        <v>202243</v>
      </c>
      <c r="B833" t="s">
        <v>865</v>
      </c>
      <c r="C833" t="str">
        <f>"9780521660822"</f>
        <v>9780521660822</v>
      </c>
      <c r="D833" t="str">
        <f>"9780511153204"</f>
        <v>9780511153204</v>
      </c>
      <c r="E833" t="s">
        <v>18</v>
      </c>
      <c r="F833" t="s">
        <v>18</v>
      </c>
      <c r="G833" s="1">
        <v>36753</v>
      </c>
      <c r="H833" s="1">
        <v>38169</v>
      </c>
      <c r="I833" t="s">
        <v>12</v>
      </c>
      <c r="J833" t="s">
        <v>11603</v>
      </c>
    </row>
    <row r="834" spans="1:10" x14ac:dyDescent="0.25">
      <c r="A834">
        <v>202297</v>
      </c>
      <c r="B834" t="s">
        <v>866</v>
      </c>
      <c r="C834" t="str">
        <f>"9780521814904"</f>
        <v>9780521814904</v>
      </c>
      <c r="D834" t="str">
        <f>"9780511202506"</f>
        <v>9780511202506</v>
      </c>
      <c r="E834" t="s">
        <v>18</v>
      </c>
      <c r="F834" t="s">
        <v>18</v>
      </c>
      <c r="G834" s="1">
        <v>37530</v>
      </c>
      <c r="H834" s="1">
        <v>38279</v>
      </c>
      <c r="I834" t="s">
        <v>12</v>
      </c>
      <c r="J834" t="s">
        <v>11604</v>
      </c>
    </row>
    <row r="835" spans="1:10" x14ac:dyDescent="0.25">
      <c r="A835">
        <v>202302</v>
      </c>
      <c r="B835" t="s">
        <v>867</v>
      </c>
      <c r="C835" t="str">
        <f>"9780521810302"</f>
        <v>9780521810302</v>
      </c>
      <c r="D835" t="str">
        <f>"9780511148798"</f>
        <v>9780511148798</v>
      </c>
      <c r="E835" t="s">
        <v>18</v>
      </c>
      <c r="F835" t="s">
        <v>18</v>
      </c>
      <c r="G835" s="1">
        <v>37651</v>
      </c>
      <c r="H835" s="1">
        <v>38169</v>
      </c>
      <c r="I835" t="s">
        <v>12</v>
      </c>
      <c r="J835" t="s">
        <v>11605</v>
      </c>
    </row>
    <row r="836" spans="1:10" x14ac:dyDescent="0.25">
      <c r="A836">
        <v>202316</v>
      </c>
      <c r="B836" t="s">
        <v>868</v>
      </c>
      <c r="C836" t="str">
        <f>"9780521801096"</f>
        <v>9780521801096</v>
      </c>
      <c r="D836" t="str">
        <f>"9780511157400"</f>
        <v>9780511157400</v>
      </c>
      <c r="E836" t="s">
        <v>18</v>
      </c>
      <c r="F836" t="s">
        <v>18</v>
      </c>
      <c r="G836" s="1">
        <v>37375</v>
      </c>
      <c r="H836" s="1">
        <v>38169</v>
      </c>
      <c r="I836" t="s">
        <v>12</v>
      </c>
      <c r="J836" t="s">
        <v>11606</v>
      </c>
    </row>
    <row r="837" spans="1:10" x14ac:dyDescent="0.25">
      <c r="A837">
        <v>202318</v>
      </c>
      <c r="B837" t="s">
        <v>869</v>
      </c>
      <c r="C837" t="str">
        <f>"9780521792677"</f>
        <v>9780521792677</v>
      </c>
      <c r="D837" t="str">
        <f>"9780511157516"</f>
        <v>9780511157516</v>
      </c>
      <c r="E837" t="s">
        <v>18</v>
      </c>
      <c r="F837" t="s">
        <v>18</v>
      </c>
      <c r="G837" s="1">
        <v>37431</v>
      </c>
      <c r="H837" s="1">
        <v>38169</v>
      </c>
      <c r="I837" t="s">
        <v>12</v>
      </c>
      <c r="J837" t="s">
        <v>11607</v>
      </c>
    </row>
    <row r="838" spans="1:10" x14ac:dyDescent="0.25">
      <c r="A838">
        <v>202354</v>
      </c>
      <c r="B838" t="s">
        <v>870</v>
      </c>
      <c r="C838" t="str">
        <f>"9780521460972"</f>
        <v>9780521460972</v>
      </c>
      <c r="D838" t="str">
        <f>"9780511157479"</f>
        <v>9780511157479</v>
      </c>
      <c r="E838" t="s">
        <v>18</v>
      </c>
      <c r="F838" t="s">
        <v>18</v>
      </c>
      <c r="G838" s="1">
        <v>37396</v>
      </c>
      <c r="H838" s="1">
        <v>38169</v>
      </c>
      <c r="I838" t="s">
        <v>12</v>
      </c>
      <c r="J838" t="s">
        <v>11608</v>
      </c>
    </row>
    <row r="839" spans="1:10" x14ac:dyDescent="0.25">
      <c r="A839">
        <v>202355</v>
      </c>
      <c r="B839" t="s">
        <v>871</v>
      </c>
      <c r="C839" t="str">
        <f>"9780521803359"</f>
        <v>9780521803359</v>
      </c>
      <c r="D839" t="str">
        <f>"9780511153693"</f>
        <v>9780511153693</v>
      </c>
      <c r="E839" t="s">
        <v>18</v>
      </c>
      <c r="F839" t="s">
        <v>18</v>
      </c>
      <c r="G839" s="1">
        <v>37123</v>
      </c>
      <c r="H839" s="1">
        <v>38169</v>
      </c>
      <c r="I839" t="s">
        <v>12</v>
      </c>
      <c r="J839" t="s">
        <v>11609</v>
      </c>
    </row>
    <row r="840" spans="1:10" x14ac:dyDescent="0.25">
      <c r="A840">
        <v>202391</v>
      </c>
      <c r="B840" t="s">
        <v>872</v>
      </c>
      <c r="C840" t="str">
        <f>"9780521819121"</f>
        <v>9780521819121</v>
      </c>
      <c r="D840" t="str">
        <f>"9780511157936"</f>
        <v>9780511157936</v>
      </c>
      <c r="E840" t="s">
        <v>18</v>
      </c>
      <c r="F840" t="s">
        <v>18</v>
      </c>
      <c r="G840" s="1">
        <v>37693</v>
      </c>
      <c r="H840" s="1">
        <v>38169</v>
      </c>
      <c r="I840" t="s">
        <v>12</v>
      </c>
      <c r="J840" t="s">
        <v>11610</v>
      </c>
    </row>
    <row r="841" spans="1:10" x14ac:dyDescent="0.25">
      <c r="A841">
        <v>202421</v>
      </c>
      <c r="B841" t="s">
        <v>873</v>
      </c>
      <c r="C841" t="str">
        <f>"9780521572804"</f>
        <v>9780521572804</v>
      </c>
      <c r="D841" t="str">
        <f>"9780511157998"</f>
        <v>9780511157998</v>
      </c>
      <c r="E841" t="s">
        <v>18</v>
      </c>
      <c r="F841" t="s">
        <v>18</v>
      </c>
      <c r="G841" s="1">
        <v>37448</v>
      </c>
      <c r="H841" s="1">
        <v>38169</v>
      </c>
      <c r="I841" t="s">
        <v>12</v>
      </c>
      <c r="J841" t="s">
        <v>11611</v>
      </c>
    </row>
    <row r="842" spans="1:10" x14ac:dyDescent="0.25">
      <c r="A842">
        <v>203613</v>
      </c>
      <c r="B842" t="s">
        <v>874</v>
      </c>
      <c r="C842" t="str">
        <f>"9780333651254"</f>
        <v>9780333651254</v>
      </c>
      <c r="D842" t="str">
        <f>"9780333985038"</f>
        <v>9780333985038</v>
      </c>
      <c r="E842" t="s">
        <v>875</v>
      </c>
      <c r="F842" t="s">
        <v>876</v>
      </c>
      <c r="G842" s="1">
        <v>36741</v>
      </c>
      <c r="H842" s="1">
        <v>38368</v>
      </c>
      <c r="I842" t="s">
        <v>12</v>
      </c>
      <c r="J842" t="s">
        <v>11612</v>
      </c>
    </row>
    <row r="843" spans="1:10" x14ac:dyDescent="0.25">
      <c r="A843">
        <v>203640</v>
      </c>
      <c r="B843" t="s">
        <v>877</v>
      </c>
      <c r="C843" t="str">
        <f>"9780333802083"</f>
        <v>9780333802083</v>
      </c>
      <c r="D843" t="str">
        <f>"9781403914347"</f>
        <v>9781403914347</v>
      </c>
      <c r="E843" t="s">
        <v>875</v>
      </c>
      <c r="F843" t="s">
        <v>876</v>
      </c>
      <c r="G843" s="1">
        <v>37543</v>
      </c>
      <c r="H843" s="1">
        <v>38169</v>
      </c>
      <c r="I843" t="s">
        <v>12</v>
      </c>
      <c r="J843" t="s">
        <v>11613</v>
      </c>
    </row>
    <row r="844" spans="1:10" x14ac:dyDescent="0.25">
      <c r="A844">
        <v>203698</v>
      </c>
      <c r="B844" t="s">
        <v>878</v>
      </c>
      <c r="C844" t="str">
        <f>"9780333717387"</f>
        <v>9780333717387</v>
      </c>
      <c r="D844" t="str">
        <f>"9780333993811"</f>
        <v>9780333993811</v>
      </c>
      <c r="E844" t="s">
        <v>875</v>
      </c>
      <c r="F844" t="s">
        <v>876</v>
      </c>
      <c r="G844" s="1">
        <v>36602</v>
      </c>
      <c r="H844" s="1">
        <v>40737</v>
      </c>
      <c r="I844" t="s">
        <v>12</v>
      </c>
      <c r="J844" t="s">
        <v>11614</v>
      </c>
    </row>
    <row r="845" spans="1:10" x14ac:dyDescent="0.25">
      <c r="A845">
        <v>203726</v>
      </c>
      <c r="B845" t="s">
        <v>879</v>
      </c>
      <c r="C845" t="str">
        <f>"9780333966167"</f>
        <v>9780333966167</v>
      </c>
      <c r="D845" t="str">
        <f>"9781403907172"</f>
        <v>9781403907172</v>
      </c>
      <c r="E845" t="s">
        <v>875</v>
      </c>
      <c r="F845" t="s">
        <v>876</v>
      </c>
      <c r="G845" s="1">
        <v>37208</v>
      </c>
      <c r="H845" s="1">
        <v>38169</v>
      </c>
      <c r="I845" t="s">
        <v>12</v>
      </c>
      <c r="J845" t="s">
        <v>11615</v>
      </c>
    </row>
    <row r="846" spans="1:10" x14ac:dyDescent="0.25">
      <c r="A846">
        <v>203741</v>
      </c>
      <c r="B846" t="s">
        <v>880</v>
      </c>
      <c r="C846" t="str">
        <f>"9780333921623"</f>
        <v>9780333921623</v>
      </c>
      <c r="D846" t="str">
        <f>"9781403920171"</f>
        <v>9781403920171</v>
      </c>
      <c r="E846" t="s">
        <v>875</v>
      </c>
      <c r="F846" t="s">
        <v>876</v>
      </c>
      <c r="G846" s="1">
        <v>37159</v>
      </c>
      <c r="H846" s="1">
        <v>38169</v>
      </c>
      <c r="I846" t="s">
        <v>12</v>
      </c>
      <c r="J846" t="s">
        <v>11616</v>
      </c>
    </row>
    <row r="847" spans="1:10" x14ac:dyDescent="0.25">
      <c r="A847">
        <v>203772</v>
      </c>
      <c r="B847" t="s">
        <v>881</v>
      </c>
      <c r="C847" t="str">
        <f>"9780333998403"</f>
        <v>9780333998403</v>
      </c>
      <c r="D847" t="str">
        <f>"9781403943712"</f>
        <v>9781403943712</v>
      </c>
      <c r="E847" t="s">
        <v>875</v>
      </c>
      <c r="F847" t="s">
        <v>876</v>
      </c>
      <c r="G847" s="1">
        <v>37852</v>
      </c>
      <c r="H847" s="1">
        <v>38169</v>
      </c>
      <c r="I847" t="s">
        <v>12</v>
      </c>
      <c r="J847" t="s">
        <v>11617</v>
      </c>
    </row>
    <row r="848" spans="1:10" x14ac:dyDescent="0.25">
      <c r="A848">
        <v>203818</v>
      </c>
      <c r="B848" t="s">
        <v>882</v>
      </c>
      <c r="C848" t="str">
        <f>"9780333760338"</f>
        <v>9780333760338</v>
      </c>
      <c r="D848" t="str">
        <f>"9780333985144"</f>
        <v>9780333985144</v>
      </c>
      <c r="E848" t="s">
        <v>875</v>
      </c>
      <c r="F848" t="s">
        <v>876</v>
      </c>
      <c r="G848" s="1">
        <v>36822</v>
      </c>
      <c r="H848" s="1">
        <v>40737</v>
      </c>
      <c r="I848" t="s">
        <v>12</v>
      </c>
      <c r="J848" t="s">
        <v>11618</v>
      </c>
    </row>
    <row r="849" spans="1:10" x14ac:dyDescent="0.25">
      <c r="A849">
        <v>203950</v>
      </c>
      <c r="B849" t="s">
        <v>883</v>
      </c>
      <c r="C849" t="str">
        <f>"9781403918925"</f>
        <v>9781403918925</v>
      </c>
      <c r="D849" t="str">
        <f>"9781403914408"</f>
        <v>9781403914408</v>
      </c>
      <c r="E849" t="s">
        <v>875</v>
      </c>
      <c r="F849" t="s">
        <v>876</v>
      </c>
      <c r="G849" s="1">
        <v>37552</v>
      </c>
      <c r="H849" s="1">
        <v>38169</v>
      </c>
      <c r="I849" t="s">
        <v>12</v>
      </c>
      <c r="J849" t="s">
        <v>11619</v>
      </c>
    </row>
    <row r="850" spans="1:10" x14ac:dyDescent="0.25">
      <c r="A850">
        <v>204078</v>
      </c>
      <c r="B850" t="s">
        <v>884</v>
      </c>
      <c r="C850" t="str">
        <f>"9780333770436"</f>
        <v>9780333770436</v>
      </c>
      <c r="D850" t="str">
        <f>"9781403948229"</f>
        <v>9781403948229</v>
      </c>
      <c r="E850" t="s">
        <v>875</v>
      </c>
      <c r="F850" t="s">
        <v>876</v>
      </c>
      <c r="G850" s="1">
        <v>37826</v>
      </c>
      <c r="H850" s="1">
        <v>38169</v>
      </c>
      <c r="I850" t="s">
        <v>12</v>
      </c>
      <c r="J850" t="s">
        <v>11620</v>
      </c>
    </row>
    <row r="851" spans="1:10" x14ac:dyDescent="0.25">
      <c r="A851">
        <v>204118</v>
      </c>
      <c r="B851" t="s">
        <v>885</v>
      </c>
      <c r="C851" t="str">
        <f>"9781853596544"</f>
        <v>9781853596544</v>
      </c>
      <c r="D851" t="str">
        <f>"9781853596568"</f>
        <v>9781853596568</v>
      </c>
      <c r="E851" t="s">
        <v>886</v>
      </c>
      <c r="F851" t="s">
        <v>887</v>
      </c>
      <c r="G851" s="1">
        <v>37764</v>
      </c>
      <c r="H851" s="1">
        <v>38455</v>
      </c>
      <c r="I851" t="s">
        <v>12</v>
      </c>
      <c r="J851" t="s">
        <v>11621</v>
      </c>
    </row>
    <row r="852" spans="1:10" x14ac:dyDescent="0.25">
      <c r="A852">
        <v>210586</v>
      </c>
      <c r="B852" t="s">
        <v>888</v>
      </c>
      <c r="C852" t="str">
        <f>"9780953985630"</f>
        <v>9780953985630</v>
      </c>
      <c r="D852" t="str">
        <f>"9781433702006"</f>
        <v>9781433702006</v>
      </c>
      <c r="E852" t="s">
        <v>889</v>
      </c>
      <c r="F852" t="s">
        <v>889</v>
      </c>
      <c r="G852" s="1">
        <v>36973</v>
      </c>
      <c r="H852" s="1">
        <v>38987</v>
      </c>
      <c r="I852" t="s">
        <v>12</v>
      </c>
      <c r="J852" t="s">
        <v>11622</v>
      </c>
    </row>
    <row r="853" spans="1:10" x14ac:dyDescent="0.25">
      <c r="A853">
        <v>214049</v>
      </c>
      <c r="B853" t="s">
        <v>890</v>
      </c>
      <c r="C853" t="str">
        <f>"9781853596872"</f>
        <v>9781853596872</v>
      </c>
      <c r="D853" t="str">
        <f>"9781853596889"</f>
        <v>9781853596889</v>
      </c>
      <c r="E853" t="s">
        <v>886</v>
      </c>
      <c r="F853" t="s">
        <v>887</v>
      </c>
      <c r="G853" s="1">
        <v>38062</v>
      </c>
      <c r="H853" s="1">
        <v>38534</v>
      </c>
      <c r="I853" t="s">
        <v>12</v>
      </c>
      <c r="J853" t="s">
        <v>11623</v>
      </c>
    </row>
    <row r="854" spans="1:10" x14ac:dyDescent="0.25">
      <c r="A854">
        <v>214050</v>
      </c>
      <c r="B854" t="s">
        <v>891</v>
      </c>
      <c r="C854" t="str">
        <f>"9781853597183"</f>
        <v>9781853597183</v>
      </c>
      <c r="D854" t="str">
        <f>"9781853597190"</f>
        <v>9781853597190</v>
      </c>
      <c r="E854" t="s">
        <v>886</v>
      </c>
      <c r="F854" t="s">
        <v>887</v>
      </c>
      <c r="G854" s="1">
        <v>38062</v>
      </c>
      <c r="H854" s="1">
        <v>38534</v>
      </c>
      <c r="I854" t="s">
        <v>12</v>
      </c>
      <c r="J854" t="s">
        <v>11624</v>
      </c>
    </row>
    <row r="855" spans="1:10" x14ac:dyDescent="0.25">
      <c r="A855">
        <v>214054</v>
      </c>
      <c r="B855" t="s">
        <v>892</v>
      </c>
      <c r="C855" t="str">
        <f>"9781853597534"</f>
        <v>9781853597534</v>
      </c>
      <c r="D855" t="str">
        <f>"9781853597541"</f>
        <v>9781853597541</v>
      </c>
      <c r="E855" t="s">
        <v>886</v>
      </c>
      <c r="F855" t="s">
        <v>887</v>
      </c>
      <c r="G855" s="1">
        <v>38091</v>
      </c>
      <c r="H855" s="1">
        <v>38583</v>
      </c>
      <c r="I855" t="s">
        <v>12</v>
      </c>
      <c r="J855" t="s">
        <v>11625</v>
      </c>
    </row>
    <row r="856" spans="1:10" x14ac:dyDescent="0.25">
      <c r="A856">
        <v>214451</v>
      </c>
      <c r="B856" t="s">
        <v>893</v>
      </c>
      <c r="C856" t="str">
        <f>"9781841695242"</f>
        <v>9781841695242</v>
      </c>
      <c r="D856" t="str">
        <f>"9780203497388"</f>
        <v>9780203497388</v>
      </c>
      <c r="E856" t="s">
        <v>15</v>
      </c>
      <c r="F856" t="s">
        <v>55</v>
      </c>
      <c r="G856" s="1">
        <v>38190</v>
      </c>
      <c r="H856" s="1">
        <v>39168</v>
      </c>
      <c r="I856" t="s">
        <v>12</v>
      </c>
      <c r="J856" t="s">
        <v>11626</v>
      </c>
    </row>
    <row r="857" spans="1:10" x14ac:dyDescent="0.25">
      <c r="A857">
        <v>214454</v>
      </c>
      <c r="B857" t="s">
        <v>894</v>
      </c>
      <c r="C857" t="str">
        <f>"9780415342629"</f>
        <v>9780415342629</v>
      </c>
      <c r="D857" t="str">
        <f>"9780203314609"</f>
        <v>9780203314609</v>
      </c>
      <c r="E857" t="s">
        <v>15</v>
      </c>
      <c r="F857" t="s">
        <v>16</v>
      </c>
      <c r="G857" s="1">
        <v>38257</v>
      </c>
      <c r="H857" s="1">
        <v>41134</v>
      </c>
      <c r="I857" t="s">
        <v>12</v>
      </c>
      <c r="J857" t="s">
        <v>11627</v>
      </c>
    </row>
    <row r="858" spans="1:10" x14ac:dyDescent="0.25">
      <c r="A858">
        <v>214528</v>
      </c>
      <c r="B858" t="s">
        <v>895</v>
      </c>
      <c r="C858" t="str">
        <f>"9780415945929"</f>
        <v>9780415945929</v>
      </c>
      <c r="D858" t="str">
        <f>"9780203008881"</f>
        <v>9780203008881</v>
      </c>
      <c r="E858" t="s">
        <v>15</v>
      </c>
      <c r="F858" t="s">
        <v>16</v>
      </c>
      <c r="G858" s="1">
        <v>37902</v>
      </c>
      <c r="H858" s="1">
        <v>38595</v>
      </c>
      <c r="I858" t="s">
        <v>12</v>
      </c>
      <c r="J858" t="s">
        <v>11628</v>
      </c>
    </row>
    <row r="859" spans="1:10" x14ac:dyDescent="0.25">
      <c r="A859">
        <v>214536</v>
      </c>
      <c r="B859" t="s">
        <v>896</v>
      </c>
      <c r="C859" t="str">
        <f>"9780714649276"</f>
        <v>9780714649276</v>
      </c>
      <c r="D859" t="str">
        <f>"9780203011317"</f>
        <v>9780203011317</v>
      </c>
      <c r="E859" t="s">
        <v>15</v>
      </c>
      <c r="F859" t="s">
        <v>16</v>
      </c>
      <c r="G859" s="1">
        <v>37286</v>
      </c>
      <c r="H859" s="1">
        <v>38667</v>
      </c>
      <c r="I859" t="s">
        <v>12</v>
      </c>
      <c r="J859" t="s">
        <v>11629</v>
      </c>
    </row>
    <row r="860" spans="1:10" x14ac:dyDescent="0.25">
      <c r="A860">
        <v>214537</v>
      </c>
      <c r="B860" t="s">
        <v>897</v>
      </c>
      <c r="C860" t="str">
        <f>"9780714648385"</f>
        <v>9780714648385</v>
      </c>
      <c r="D860" t="str">
        <f>"9780203010662"</f>
        <v>9780203010662</v>
      </c>
      <c r="E860" t="s">
        <v>15</v>
      </c>
      <c r="F860" t="s">
        <v>16</v>
      </c>
      <c r="G860" s="1">
        <v>36647</v>
      </c>
      <c r="H860" s="1">
        <v>39168</v>
      </c>
      <c r="I860" t="s">
        <v>12</v>
      </c>
      <c r="J860" t="s">
        <v>11630</v>
      </c>
    </row>
    <row r="861" spans="1:10" x14ac:dyDescent="0.25">
      <c r="A861">
        <v>214538</v>
      </c>
      <c r="B861" t="s">
        <v>898</v>
      </c>
      <c r="C861" t="str">
        <f>"9780714652252"</f>
        <v>9780714652252</v>
      </c>
      <c r="D861" t="str">
        <f>"9780203009260"</f>
        <v>9780203009260</v>
      </c>
      <c r="E861" t="s">
        <v>15</v>
      </c>
      <c r="F861" t="s">
        <v>16</v>
      </c>
      <c r="G861" s="1">
        <v>38254</v>
      </c>
      <c r="H861" s="1">
        <v>38472</v>
      </c>
      <c r="I861" t="s">
        <v>12</v>
      </c>
      <c r="J861" t="s">
        <v>11631</v>
      </c>
    </row>
    <row r="862" spans="1:10" x14ac:dyDescent="0.25">
      <c r="A862">
        <v>214552</v>
      </c>
      <c r="B862" t="s">
        <v>899</v>
      </c>
      <c r="C862" t="str">
        <f>"9780714651859"</f>
        <v>9780714651859</v>
      </c>
      <c r="D862" t="str">
        <f>"9780203010921"</f>
        <v>9780203010921</v>
      </c>
      <c r="E862" t="s">
        <v>15</v>
      </c>
      <c r="F862" t="s">
        <v>16</v>
      </c>
      <c r="G862" s="1">
        <v>38183</v>
      </c>
      <c r="H862" s="1">
        <v>38464</v>
      </c>
      <c r="I862" t="s">
        <v>12</v>
      </c>
      <c r="J862" t="s">
        <v>11632</v>
      </c>
    </row>
    <row r="863" spans="1:10" x14ac:dyDescent="0.25">
      <c r="A863">
        <v>214558</v>
      </c>
      <c r="B863" t="s">
        <v>900</v>
      </c>
      <c r="C863" t="str">
        <f>"9780714654027"</f>
        <v>9780714654027</v>
      </c>
      <c r="D863" t="str">
        <f>"9780203011485"</f>
        <v>9780203011485</v>
      </c>
      <c r="E863" t="s">
        <v>15</v>
      </c>
      <c r="F863" t="s">
        <v>16</v>
      </c>
      <c r="G863" s="1">
        <v>37712</v>
      </c>
      <c r="H863" s="1">
        <v>38669</v>
      </c>
      <c r="I863" t="s">
        <v>12</v>
      </c>
      <c r="J863" t="s">
        <v>11633</v>
      </c>
    </row>
    <row r="864" spans="1:10" x14ac:dyDescent="0.25">
      <c r="A864">
        <v>214601</v>
      </c>
      <c r="B864" t="s">
        <v>901</v>
      </c>
      <c r="C864" t="str">
        <f>"9780849312939"</f>
        <v>9780849312939</v>
      </c>
      <c r="D864" t="str">
        <f>"9781420058307"</f>
        <v>9781420058307</v>
      </c>
      <c r="E864" t="s">
        <v>15</v>
      </c>
      <c r="F864" t="s">
        <v>139</v>
      </c>
      <c r="G864" s="1">
        <v>37678</v>
      </c>
      <c r="H864" s="1">
        <v>41553</v>
      </c>
      <c r="I864" t="s">
        <v>12</v>
      </c>
      <c r="J864" t="s">
        <v>11634</v>
      </c>
    </row>
    <row r="865" spans="1:10" x14ac:dyDescent="0.25">
      <c r="A865">
        <v>214666</v>
      </c>
      <c r="B865" t="s">
        <v>902</v>
      </c>
      <c r="C865" t="str">
        <f>"9781584883494"</f>
        <v>9781584883494</v>
      </c>
      <c r="D865" t="str">
        <f>"9780203008775"</f>
        <v>9780203008775</v>
      </c>
      <c r="E865" t="s">
        <v>15</v>
      </c>
      <c r="F865" t="s">
        <v>679</v>
      </c>
      <c r="G865" s="1">
        <v>37708</v>
      </c>
      <c r="H865" s="1">
        <v>40037</v>
      </c>
      <c r="I865" t="s">
        <v>12</v>
      </c>
      <c r="J865" t="s">
        <v>11635</v>
      </c>
    </row>
    <row r="866" spans="1:10" x14ac:dyDescent="0.25">
      <c r="A866">
        <v>214706</v>
      </c>
      <c r="B866" t="s">
        <v>903</v>
      </c>
      <c r="C866" t="str">
        <f>"9780415257770"</f>
        <v>9780415257770</v>
      </c>
      <c r="D866" t="str">
        <f>"9780203018712"</f>
        <v>9780203018712</v>
      </c>
      <c r="E866" t="s">
        <v>15</v>
      </c>
      <c r="F866" t="s">
        <v>16</v>
      </c>
      <c r="G866" s="1">
        <v>37127</v>
      </c>
      <c r="H866" s="1">
        <v>38484</v>
      </c>
      <c r="I866" t="s">
        <v>12</v>
      </c>
      <c r="J866" t="s">
        <v>11636</v>
      </c>
    </row>
    <row r="867" spans="1:10" x14ac:dyDescent="0.25">
      <c r="A867">
        <v>214708</v>
      </c>
      <c r="B867" t="s">
        <v>904</v>
      </c>
      <c r="C867" t="str">
        <f>"9780415262521"</f>
        <v>9780415262521</v>
      </c>
      <c r="D867" t="str">
        <f>"9780203018651"</f>
        <v>9780203018651</v>
      </c>
      <c r="E867" t="s">
        <v>15</v>
      </c>
      <c r="F867" t="s">
        <v>16</v>
      </c>
      <c r="G867" s="1">
        <v>37497</v>
      </c>
      <c r="H867" s="1">
        <v>38817</v>
      </c>
      <c r="I867" t="s">
        <v>12</v>
      </c>
      <c r="J867" t="s">
        <v>11637</v>
      </c>
    </row>
    <row r="868" spans="1:10" x14ac:dyDescent="0.25">
      <c r="A868">
        <v>214713</v>
      </c>
      <c r="B868" t="s">
        <v>905</v>
      </c>
      <c r="C868" t="str">
        <f>"9780415282444"</f>
        <v>9780415282444</v>
      </c>
      <c r="D868" t="str">
        <f>"9780203022672"</f>
        <v>9780203022672</v>
      </c>
      <c r="E868" t="s">
        <v>15</v>
      </c>
      <c r="F868" t="s">
        <v>16</v>
      </c>
      <c r="G868" s="1">
        <v>38730</v>
      </c>
      <c r="H868" s="1">
        <v>38771</v>
      </c>
      <c r="I868" t="s">
        <v>12</v>
      </c>
      <c r="J868" t="s">
        <v>11638</v>
      </c>
    </row>
    <row r="869" spans="1:10" x14ac:dyDescent="0.25">
      <c r="A869">
        <v>214719</v>
      </c>
      <c r="B869" t="s">
        <v>906</v>
      </c>
      <c r="C869" t="str">
        <f>"9780415312653"</f>
        <v>9780415312653</v>
      </c>
      <c r="D869" t="str">
        <f>"9780203022788"</f>
        <v>9780203022788</v>
      </c>
      <c r="E869" t="s">
        <v>15</v>
      </c>
      <c r="F869" t="s">
        <v>16</v>
      </c>
      <c r="G869" s="1">
        <v>38617</v>
      </c>
      <c r="H869" s="1">
        <v>38817</v>
      </c>
      <c r="I869" t="s">
        <v>12</v>
      </c>
      <c r="J869" t="s">
        <v>11639</v>
      </c>
    </row>
    <row r="870" spans="1:10" x14ac:dyDescent="0.25">
      <c r="A870">
        <v>214737</v>
      </c>
      <c r="B870" t="s">
        <v>907</v>
      </c>
      <c r="C870" t="str">
        <f>"9780415328128"</f>
        <v>9780415328128</v>
      </c>
      <c r="D870" t="str">
        <f>"9780203022214"</f>
        <v>9780203022214</v>
      </c>
      <c r="E870" t="s">
        <v>16</v>
      </c>
      <c r="F870" t="s">
        <v>16</v>
      </c>
      <c r="G870" s="1">
        <v>38456</v>
      </c>
      <c r="H870" s="1">
        <v>38819</v>
      </c>
      <c r="I870" t="s">
        <v>12</v>
      </c>
      <c r="J870" t="s">
        <v>11640</v>
      </c>
    </row>
    <row r="871" spans="1:10" x14ac:dyDescent="0.25">
      <c r="A871">
        <v>214738</v>
      </c>
      <c r="B871" t="s">
        <v>908</v>
      </c>
      <c r="C871" t="str">
        <f>"9780415328210"</f>
        <v>9780415328210</v>
      </c>
      <c r="D871" t="str">
        <f>"9780203022221"</f>
        <v>9780203022221</v>
      </c>
      <c r="E871" t="s">
        <v>15</v>
      </c>
      <c r="F871" t="s">
        <v>16</v>
      </c>
      <c r="G871" s="1">
        <v>38552</v>
      </c>
      <c r="H871" s="1">
        <v>38817</v>
      </c>
      <c r="I871" t="s">
        <v>12</v>
      </c>
      <c r="J871" t="s">
        <v>11641</v>
      </c>
    </row>
    <row r="872" spans="1:10" x14ac:dyDescent="0.25">
      <c r="A872">
        <v>214739</v>
      </c>
      <c r="B872" t="s">
        <v>909</v>
      </c>
      <c r="C872" t="str">
        <f>"9780415329040"</f>
        <v>9780415329040</v>
      </c>
      <c r="D872" t="str">
        <f>"9780203391174"</f>
        <v>9780203391174</v>
      </c>
      <c r="E872" t="s">
        <v>15</v>
      </c>
      <c r="F872" t="s">
        <v>16</v>
      </c>
      <c r="G872" s="1">
        <v>38545</v>
      </c>
      <c r="H872" s="1">
        <v>38665</v>
      </c>
      <c r="I872" t="s">
        <v>12</v>
      </c>
      <c r="J872" t="s">
        <v>11642</v>
      </c>
    </row>
    <row r="873" spans="1:10" x14ac:dyDescent="0.25">
      <c r="A873">
        <v>214753</v>
      </c>
      <c r="B873" t="s">
        <v>910</v>
      </c>
      <c r="C873" t="str">
        <f>"9780415338363"</f>
        <v>9780415338363</v>
      </c>
      <c r="D873" t="str">
        <f>"9780203023068"</f>
        <v>9780203023068</v>
      </c>
      <c r="E873" t="s">
        <v>15</v>
      </c>
      <c r="F873" t="s">
        <v>16</v>
      </c>
      <c r="G873" s="1">
        <v>38394</v>
      </c>
      <c r="H873" s="1">
        <v>41260</v>
      </c>
      <c r="I873" t="s">
        <v>12</v>
      </c>
      <c r="J873" t="s">
        <v>11643</v>
      </c>
    </row>
    <row r="874" spans="1:10" x14ac:dyDescent="0.25">
      <c r="A874">
        <v>214759</v>
      </c>
      <c r="B874" t="s">
        <v>911</v>
      </c>
      <c r="C874" t="str">
        <f>"9780415341776"</f>
        <v>9780415341776</v>
      </c>
      <c r="D874" t="str">
        <f>"9780203023495"</f>
        <v>9780203023495</v>
      </c>
      <c r="E874" t="s">
        <v>15</v>
      </c>
      <c r="F874" t="s">
        <v>16</v>
      </c>
      <c r="G874" s="1">
        <v>38573</v>
      </c>
      <c r="H874" s="1">
        <v>38666</v>
      </c>
      <c r="I874" t="s">
        <v>12</v>
      </c>
      <c r="J874" t="s">
        <v>11644</v>
      </c>
    </row>
    <row r="875" spans="1:10" x14ac:dyDescent="0.25">
      <c r="A875">
        <v>214761</v>
      </c>
      <c r="B875" t="s">
        <v>912</v>
      </c>
      <c r="C875" t="str">
        <f>"9780415341837"</f>
        <v>9780415341837</v>
      </c>
      <c r="D875" t="str">
        <f>"9780203023501"</f>
        <v>9780203023501</v>
      </c>
      <c r="E875" t="s">
        <v>15</v>
      </c>
      <c r="F875" t="s">
        <v>16</v>
      </c>
      <c r="G875" s="1">
        <v>38547</v>
      </c>
      <c r="H875" s="1">
        <v>40037</v>
      </c>
      <c r="I875" t="s">
        <v>12</v>
      </c>
      <c r="J875" t="s">
        <v>11645</v>
      </c>
    </row>
    <row r="876" spans="1:10" x14ac:dyDescent="0.25">
      <c r="A876">
        <v>214766</v>
      </c>
      <c r="B876" t="s">
        <v>913</v>
      </c>
      <c r="C876" t="str">
        <f>"9780415344289"</f>
        <v>9780415344289</v>
      </c>
      <c r="D876" t="str">
        <f>"9780203023570"</f>
        <v>9780203023570</v>
      </c>
      <c r="E876" t="s">
        <v>15</v>
      </c>
      <c r="F876" t="s">
        <v>16</v>
      </c>
      <c r="G876" s="1">
        <v>39388</v>
      </c>
      <c r="H876" s="1">
        <v>41877</v>
      </c>
      <c r="I876" t="s">
        <v>12</v>
      </c>
      <c r="J876" t="s">
        <v>11646</v>
      </c>
    </row>
    <row r="877" spans="1:10" x14ac:dyDescent="0.25">
      <c r="A877">
        <v>214771</v>
      </c>
      <c r="B877" t="s">
        <v>914</v>
      </c>
      <c r="C877" t="str">
        <f>"9780415345019"</f>
        <v>9780415345019</v>
      </c>
      <c r="D877" t="str">
        <f>"9780203023655"</f>
        <v>9780203023655</v>
      </c>
      <c r="E877" t="s">
        <v>15</v>
      </c>
      <c r="F877" t="s">
        <v>16</v>
      </c>
      <c r="G877" s="1">
        <v>38741</v>
      </c>
      <c r="H877" s="1">
        <v>38664</v>
      </c>
      <c r="I877" t="s">
        <v>12</v>
      </c>
      <c r="J877" t="s">
        <v>11647</v>
      </c>
    </row>
    <row r="878" spans="1:10" x14ac:dyDescent="0.25">
      <c r="A878">
        <v>214776</v>
      </c>
      <c r="B878" t="s">
        <v>915</v>
      </c>
      <c r="C878" t="str">
        <f>"9780415346634"</f>
        <v>9780415346634</v>
      </c>
      <c r="D878" t="str">
        <f>"9780203023785"</f>
        <v>9780203023785</v>
      </c>
      <c r="E878" t="s">
        <v>15</v>
      </c>
      <c r="F878" t="s">
        <v>16</v>
      </c>
      <c r="G878" s="1">
        <v>38488</v>
      </c>
      <c r="H878" s="1">
        <v>38654</v>
      </c>
      <c r="I878" t="s">
        <v>12</v>
      </c>
      <c r="J878" t="s">
        <v>11648</v>
      </c>
    </row>
    <row r="879" spans="1:10" x14ac:dyDescent="0.25">
      <c r="A879">
        <v>214780</v>
      </c>
      <c r="B879" t="s">
        <v>916</v>
      </c>
      <c r="C879" t="str">
        <f>"9780415349000"</f>
        <v>9780415349000</v>
      </c>
      <c r="D879" t="str">
        <f>"9780203023846"</f>
        <v>9780203023846</v>
      </c>
      <c r="E879" t="s">
        <v>15</v>
      </c>
      <c r="F879" t="s">
        <v>16</v>
      </c>
      <c r="G879" s="1">
        <v>38574</v>
      </c>
      <c r="H879" s="1">
        <v>39168</v>
      </c>
      <c r="I879" t="s">
        <v>12</v>
      </c>
      <c r="J879" t="s">
        <v>11649</v>
      </c>
    </row>
    <row r="880" spans="1:10" x14ac:dyDescent="0.25">
      <c r="A880">
        <v>214782</v>
      </c>
      <c r="B880" t="s">
        <v>917</v>
      </c>
      <c r="C880" t="str">
        <f>"9780415349154"</f>
        <v>9780415349154</v>
      </c>
      <c r="D880" t="str">
        <f>"9780203695319"</f>
        <v>9780203695319</v>
      </c>
      <c r="E880" t="s">
        <v>15</v>
      </c>
      <c r="F880" t="s">
        <v>16</v>
      </c>
      <c r="G880" s="1">
        <v>38509</v>
      </c>
      <c r="H880" s="1">
        <v>38657</v>
      </c>
      <c r="I880" t="s">
        <v>12</v>
      </c>
      <c r="J880" t="s">
        <v>11650</v>
      </c>
    </row>
    <row r="881" spans="1:10" x14ac:dyDescent="0.25">
      <c r="A881">
        <v>214787</v>
      </c>
      <c r="B881" t="s">
        <v>918</v>
      </c>
      <c r="C881" t="str">
        <f>"9780415349956"</f>
        <v>9780415349956</v>
      </c>
      <c r="D881" t="str">
        <f>"9780203023112"</f>
        <v>9780203023112</v>
      </c>
      <c r="E881" t="s">
        <v>15</v>
      </c>
      <c r="F881" t="s">
        <v>16</v>
      </c>
      <c r="G881" s="1">
        <v>38461</v>
      </c>
      <c r="H881" s="1">
        <v>38594</v>
      </c>
      <c r="I881" t="s">
        <v>12</v>
      </c>
      <c r="J881" t="s">
        <v>11651</v>
      </c>
    </row>
    <row r="882" spans="1:10" x14ac:dyDescent="0.25">
      <c r="A882">
        <v>214791</v>
      </c>
      <c r="B882" t="s">
        <v>919</v>
      </c>
      <c r="C882" t="str">
        <f>"9780415350747"</f>
        <v>9780415350747</v>
      </c>
      <c r="D882" t="str">
        <f>"9780203023198"</f>
        <v>9780203023198</v>
      </c>
      <c r="E882" t="s">
        <v>15</v>
      </c>
      <c r="F882" t="s">
        <v>16</v>
      </c>
      <c r="G882" s="1">
        <v>38461</v>
      </c>
      <c r="H882" s="1">
        <v>38817</v>
      </c>
      <c r="I882" t="s">
        <v>12</v>
      </c>
      <c r="J882" t="s">
        <v>11652</v>
      </c>
    </row>
    <row r="883" spans="1:10" x14ac:dyDescent="0.25">
      <c r="A883">
        <v>214792</v>
      </c>
      <c r="B883" t="s">
        <v>920</v>
      </c>
      <c r="C883" t="str">
        <f>"9780415350891"</f>
        <v>9780415350891</v>
      </c>
      <c r="D883" t="str">
        <f>"9780203023211"</f>
        <v>9780203023211</v>
      </c>
      <c r="E883" t="s">
        <v>15</v>
      </c>
      <c r="F883" t="s">
        <v>16</v>
      </c>
      <c r="G883" s="1">
        <v>38496</v>
      </c>
      <c r="H883" s="1">
        <v>38817</v>
      </c>
      <c r="I883" t="s">
        <v>12</v>
      </c>
      <c r="J883" t="s">
        <v>11653</v>
      </c>
    </row>
    <row r="884" spans="1:10" x14ac:dyDescent="0.25">
      <c r="A884">
        <v>214793</v>
      </c>
      <c r="B884" t="s">
        <v>921</v>
      </c>
      <c r="C884" t="str">
        <f>"9780415351027"</f>
        <v>9780415351027</v>
      </c>
      <c r="D884" t="str">
        <f>"9780203023242"</f>
        <v>9780203023242</v>
      </c>
      <c r="E884" t="s">
        <v>15</v>
      </c>
      <c r="F884" t="s">
        <v>16</v>
      </c>
      <c r="G884" s="1">
        <v>38469</v>
      </c>
      <c r="H884" s="1">
        <v>38648</v>
      </c>
      <c r="I884" t="s">
        <v>12</v>
      </c>
      <c r="J884" t="s">
        <v>11654</v>
      </c>
    </row>
    <row r="885" spans="1:10" x14ac:dyDescent="0.25">
      <c r="A885">
        <v>214809</v>
      </c>
      <c r="B885" t="s">
        <v>922</v>
      </c>
      <c r="C885" t="str">
        <f>"9780415352659"</f>
        <v>9780415352659</v>
      </c>
      <c r="D885" t="str">
        <f>"9780203179673"</f>
        <v>9780203179673</v>
      </c>
      <c r="E885" t="s">
        <v>15</v>
      </c>
      <c r="F885" t="s">
        <v>16</v>
      </c>
      <c r="G885" s="1">
        <v>38838</v>
      </c>
      <c r="H885" s="1">
        <v>38491</v>
      </c>
      <c r="I885" t="s">
        <v>12</v>
      </c>
      <c r="J885" t="s">
        <v>11655</v>
      </c>
    </row>
    <row r="886" spans="1:10" x14ac:dyDescent="0.25">
      <c r="A886">
        <v>214810</v>
      </c>
      <c r="B886" t="s">
        <v>923</v>
      </c>
      <c r="C886" t="str">
        <f>"9780415353984"</f>
        <v>9780415353984</v>
      </c>
      <c r="D886" t="str">
        <f>"9780203000403"</f>
        <v>9780203000403</v>
      </c>
      <c r="E886" t="s">
        <v>16</v>
      </c>
      <c r="F886" t="s">
        <v>16</v>
      </c>
      <c r="G886" s="1">
        <v>38819</v>
      </c>
      <c r="H886" s="1">
        <v>38847</v>
      </c>
      <c r="I886" t="s">
        <v>12</v>
      </c>
      <c r="J886" t="s">
        <v>11656</v>
      </c>
    </row>
    <row r="887" spans="1:10" x14ac:dyDescent="0.25">
      <c r="A887">
        <v>214811</v>
      </c>
      <c r="B887" t="s">
        <v>924</v>
      </c>
      <c r="C887" t="str">
        <f>"9780415353991"</f>
        <v>9780415353991</v>
      </c>
      <c r="D887" t="str">
        <f>"9780203000410"</f>
        <v>9780203000410</v>
      </c>
      <c r="E887" t="s">
        <v>15</v>
      </c>
      <c r="F887" t="s">
        <v>16</v>
      </c>
      <c r="G887" s="1">
        <v>38730</v>
      </c>
      <c r="H887" s="1">
        <v>38887</v>
      </c>
      <c r="I887" t="s">
        <v>12</v>
      </c>
      <c r="J887" t="s">
        <v>11657</v>
      </c>
    </row>
    <row r="888" spans="1:10" x14ac:dyDescent="0.25">
      <c r="A888">
        <v>214814</v>
      </c>
      <c r="B888" t="s">
        <v>925</v>
      </c>
      <c r="C888" t="str">
        <f>"9780415354561"</f>
        <v>9780415354561</v>
      </c>
      <c r="D888" t="str">
        <f>"9780203001288"</f>
        <v>9780203001288</v>
      </c>
      <c r="E888" t="s">
        <v>15</v>
      </c>
      <c r="F888" t="s">
        <v>16</v>
      </c>
      <c r="G888" s="1">
        <v>38461</v>
      </c>
      <c r="H888" s="1">
        <v>41347</v>
      </c>
      <c r="I888" t="s">
        <v>12</v>
      </c>
      <c r="J888" t="s">
        <v>11658</v>
      </c>
    </row>
    <row r="889" spans="1:10" x14ac:dyDescent="0.25">
      <c r="A889">
        <v>214815</v>
      </c>
      <c r="B889" t="s">
        <v>926</v>
      </c>
      <c r="C889" t="str">
        <f>"9780415354875"</f>
        <v>9780415354875</v>
      </c>
      <c r="D889" t="str">
        <f>"9781134256587"</f>
        <v>9781134256587</v>
      </c>
      <c r="E889" t="s">
        <v>15</v>
      </c>
      <c r="F889" t="s">
        <v>16</v>
      </c>
      <c r="G889" s="1">
        <v>38509</v>
      </c>
      <c r="H889" s="1">
        <v>38654</v>
      </c>
      <c r="I889" t="s">
        <v>12</v>
      </c>
      <c r="J889" t="s">
        <v>11659</v>
      </c>
    </row>
    <row r="890" spans="1:10" x14ac:dyDescent="0.25">
      <c r="A890">
        <v>214816</v>
      </c>
      <c r="B890" t="s">
        <v>927</v>
      </c>
      <c r="C890" t="str">
        <f>"9780415356268"</f>
        <v>9780415356268</v>
      </c>
      <c r="D890" t="str">
        <f>"9780203002612"</f>
        <v>9780203002612</v>
      </c>
      <c r="E890" t="s">
        <v>15</v>
      </c>
      <c r="F890" t="s">
        <v>16</v>
      </c>
      <c r="G890" s="1">
        <v>38495</v>
      </c>
      <c r="H890" s="1">
        <v>38595</v>
      </c>
      <c r="I890" t="s">
        <v>12</v>
      </c>
      <c r="J890" t="s">
        <v>11660</v>
      </c>
    </row>
    <row r="891" spans="1:10" x14ac:dyDescent="0.25">
      <c r="A891">
        <v>214852</v>
      </c>
      <c r="B891" t="s">
        <v>928</v>
      </c>
      <c r="C891" t="str">
        <f>"9780415700900"</f>
        <v>9780415700900</v>
      </c>
      <c r="D891" t="str">
        <f>"9780203020661"</f>
        <v>9780203020661</v>
      </c>
      <c r="E891" t="s">
        <v>15</v>
      </c>
      <c r="F891" t="s">
        <v>16</v>
      </c>
      <c r="G891" s="1">
        <v>39077</v>
      </c>
      <c r="H891" s="1">
        <v>39703</v>
      </c>
      <c r="I891" t="s">
        <v>12</v>
      </c>
      <c r="J891" t="s">
        <v>11661</v>
      </c>
    </row>
    <row r="892" spans="1:10" x14ac:dyDescent="0.25">
      <c r="A892">
        <v>214853</v>
      </c>
      <c r="B892" t="s">
        <v>929</v>
      </c>
      <c r="C892" t="str">
        <f>"9780415701228"</f>
        <v>9780415701228</v>
      </c>
      <c r="D892" t="str">
        <f>"9780203799543"</f>
        <v>9780203799543</v>
      </c>
      <c r="E892" t="s">
        <v>15</v>
      </c>
      <c r="F892" t="s">
        <v>16</v>
      </c>
      <c r="G892" s="1">
        <v>38708</v>
      </c>
      <c r="H892" s="1">
        <v>38816</v>
      </c>
      <c r="I892" t="s">
        <v>12</v>
      </c>
      <c r="J892" t="s">
        <v>11662</v>
      </c>
    </row>
    <row r="893" spans="1:10" x14ac:dyDescent="0.25">
      <c r="A893">
        <v>214871</v>
      </c>
      <c r="B893" t="s">
        <v>930</v>
      </c>
      <c r="C893" t="str">
        <f>"9780415950640"</f>
        <v>9780415950640</v>
      </c>
      <c r="D893" t="str">
        <f>"9780203020289"</f>
        <v>9780203020289</v>
      </c>
      <c r="E893" t="s">
        <v>15</v>
      </c>
      <c r="F893" t="s">
        <v>16</v>
      </c>
      <c r="G893" s="1">
        <v>38277</v>
      </c>
      <c r="H893" s="1">
        <v>38472</v>
      </c>
      <c r="I893" t="s">
        <v>12</v>
      </c>
      <c r="J893" t="s">
        <v>11663</v>
      </c>
    </row>
    <row r="894" spans="1:10" x14ac:dyDescent="0.25">
      <c r="A894">
        <v>214910</v>
      </c>
      <c r="B894" t="s">
        <v>931</v>
      </c>
      <c r="C894" t="str">
        <f>"9780824754365"</f>
        <v>9780824754365</v>
      </c>
      <c r="D894" t="str">
        <f>"9780203025901"</f>
        <v>9780203025901</v>
      </c>
      <c r="E894" t="s">
        <v>144</v>
      </c>
      <c r="F894" t="s">
        <v>144</v>
      </c>
      <c r="G894" s="1">
        <v>38229</v>
      </c>
      <c r="H894" s="1">
        <v>38817</v>
      </c>
      <c r="I894" t="s">
        <v>12</v>
      </c>
      <c r="J894" t="s">
        <v>11664</v>
      </c>
    </row>
    <row r="895" spans="1:10" x14ac:dyDescent="0.25">
      <c r="A895">
        <v>214954</v>
      </c>
      <c r="B895" t="s">
        <v>932</v>
      </c>
      <c r="C895" t="str">
        <f>"9781583913604"</f>
        <v>9781583913604</v>
      </c>
      <c r="D895" t="str">
        <f>"9780203025499"</f>
        <v>9780203025499</v>
      </c>
      <c r="E895" t="s">
        <v>15</v>
      </c>
      <c r="F895" t="s">
        <v>16</v>
      </c>
      <c r="G895" s="1">
        <v>38382</v>
      </c>
      <c r="H895" s="1">
        <v>38817</v>
      </c>
      <c r="I895" t="s">
        <v>12</v>
      </c>
      <c r="J895" t="s">
        <v>11665</v>
      </c>
    </row>
    <row r="896" spans="1:10" x14ac:dyDescent="0.25">
      <c r="A896">
        <v>214959</v>
      </c>
      <c r="B896" t="s">
        <v>933</v>
      </c>
      <c r="C896" t="str">
        <f>"9781583919309"</f>
        <v>9781583919309</v>
      </c>
      <c r="D896" t="str">
        <f>"9781135479374"</f>
        <v>9781135479374</v>
      </c>
      <c r="E896" t="s">
        <v>15</v>
      </c>
      <c r="F896" t="s">
        <v>16</v>
      </c>
      <c r="G896" s="1">
        <v>38526</v>
      </c>
      <c r="H896" s="1">
        <v>38790</v>
      </c>
      <c r="I896" t="s">
        <v>12</v>
      </c>
      <c r="J896" t="s">
        <v>11666</v>
      </c>
    </row>
    <row r="897" spans="1:10" x14ac:dyDescent="0.25">
      <c r="A897">
        <v>215000</v>
      </c>
      <c r="B897" t="s">
        <v>934</v>
      </c>
      <c r="C897" t="str">
        <f>"9789058096579"</f>
        <v>9789058096579</v>
      </c>
      <c r="D897" t="str">
        <f>"9780203024461"</f>
        <v>9780203024461</v>
      </c>
      <c r="E897" t="s">
        <v>15</v>
      </c>
      <c r="F897" t="s">
        <v>139</v>
      </c>
      <c r="G897" s="1">
        <v>38214</v>
      </c>
      <c r="H897" s="1">
        <v>42018</v>
      </c>
      <c r="I897" t="s">
        <v>12</v>
      </c>
      <c r="J897" t="s">
        <v>11667</v>
      </c>
    </row>
    <row r="898" spans="1:10" x14ac:dyDescent="0.25">
      <c r="A898">
        <v>215002</v>
      </c>
      <c r="B898" t="s">
        <v>935</v>
      </c>
      <c r="C898" t="str">
        <f>"9789058096609"</f>
        <v>9789058096609</v>
      </c>
      <c r="D898" t="str">
        <f>"9780203024621"</f>
        <v>9780203024621</v>
      </c>
      <c r="E898" t="s">
        <v>144</v>
      </c>
      <c r="F898" t="s">
        <v>144</v>
      </c>
      <c r="G898" s="1">
        <v>38153</v>
      </c>
      <c r="H898" s="1">
        <v>40260</v>
      </c>
      <c r="I898" t="s">
        <v>12</v>
      </c>
      <c r="J898" t="s">
        <v>11668</v>
      </c>
    </row>
    <row r="899" spans="1:10" x14ac:dyDescent="0.25">
      <c r="A899">
        <v>215011</v>
      </c>
      <c r="B899" t="s">
        <v>936</v>
      </c>
      <c r="C899" t="str">
        <f>"9789058096821"</f>
        <v>9789058096821</v>
      </c>
      <c r="D899" t="str">
        <f>"9780203024348"</f>
        <v>9780203024348</v>
      </c>
      <c r="E899" t="s">
        <v>15</v>
      </c>
      <c r="F899" t="s">
        <v>139</v>
      </c>
      <c r="G899" s="1">
        <v>38214</v>
      </c>
      <c r="H899" s="1">
        <v>42000</v>
      </c>
      <c r="I899" t="s">
        <v>12</v>
      </c>
      <c r="J899" t="s">
        <v>11669</v>
      </c>
    </row>
    <row r="900" spans="1:10" x14ac:dyDescent="0.25">
      <c r="A900">
        <v>215015</v>
      </c>
      <c r="B900" t="s">
        <v>937</v>
      </c>
      <c r="C900" t="str">
        <f>"9789058096937"</f>
        <v>9789058096937</v>
      </c>
      <c r="D900" t="str">
        <f>"9781135288846"</f>
        <v>9781135288846</v>
      </c>
      <c r="E900" t="s">
        <v>144</v>
      </c>
      <c r="F900" t="s">
        <v>144</v>
      </c>
      <c r="G900" s="1">
        <v>38183</v>
      </c>
      <c r="H900" s="1">
        <v>42034</v>
      </c>
      <c r="I900" t="s">
        <v>12</v>
      </c>
      <c r="J900" t="s">
        <v>11670</v>
      </c>
    </row>
    <row r="901" spans="1:10" x14ac:dyDescent="0.25">
      <c r="A901">
        <v>215032</v>
      </c>
      <c r="B901" t="s">
        <v>938</v>
      </c>
      <c r="C901" t="str">
        <f>"9780415246569"</f>
        <v>9780415246569</v>
      </c>
      <c r="D901" t="str">
        <f>"9780203017586"</f>
        <v>9780203017586</v>
      </c>
      <c r="E901" t="s">
        <v>15</v>
      </c>
      <c r="F901" t="s">
        <v>16</v>
      </c>
      <c r="G901" s="1">
        <v>38408</v>
      </c>
      <c r="H901" s="1">
        <v>38663</v>
      </c>
      <c r="I901" t="s">
        <v>12</v>
      </c>
      <c r="J901" t="s">
        <v>11671</v>
      </c>
    </row>
    <row r="902" spans="1:10" x14ac:dyDescent="0.25">
      <c r="A902">
        <v>215917</v>
      </c>
      <c r="B902" t="s">
        <v>939</v>
      </c>
      <c r="C902" t="str">
        <f>"9780824705633"</f>
        <v>9780824705633</v>
      </c>
      <c r="D902" t="str">
        <f>"9780203903841"</f>
        <v>9780203903841</v>
      </c>
      <c r="E902" t="s">
        <v>144</v>
      </c>
      <c r="F902" t="s">
        <v>144</v>
      </c>
      <c r="G902" s="1">
        <v>37092</v>
      </c>
      <c r="H902" s="1">
        <v>42340</v>
      </c>
      <c r="I902" t="s">
        <v>12</v>
      </c>
      <c r="J902" t="s">
        <v>11672</v>
      </c>
    </row>
    <row r="903" spans="1:10" x14ac:dyDescent="0.25">
      <c r="A903">
        <v>215996</v>
      </c>
      <c r="B903" t="s">
        <v>940</v>
      </c>
      <c r="C903" t="str">
        <f>"9780824709204"</f>
        <v>9780824709204</v>
      </c>
      <c r="D903" t="str">
        <f>"9780203912188"</f>
        <v>9780203912188</v>
      </c>
      <c r="E903" t="s">
        <v>941</v>
      </c>
      <c r="F903" t="s">
        <v>942</v>
      </c>
      <c r="G903" s="1">
        <v>36892</v>
      </c>
      <c r="H903" s="1">
        <v>38316</v>
      </c>
      <c r="I903" t="s">
        <v>12</v>
      </c>
      <c r="J903" t="s">
        <v>11673</v>
      </c>
    </row>
    <row r="904" spans="1:10" x14ac:dyDescent="0.25">
      <c r="A904">
        <v>216036</v>
      </c>
      <c r="B904" t="s">
        <v>943</v>
      </c>
      <c r="C904" t="str">
        <f>"9780824741228"</f>
        <v>9780824741228</v>
      </c>
      <c r="D904" t="str">
        <f>"9780203911860"</f>
        <v>9780203911860</v>
      </c>
      <c r="E904" t="s">
        <v>941</v>
      </c>
      <c r="F904" t="s">
        <v>942</v>
      </c>
      <c r="G904" s="1">
        <v>37312</v>
      </c>
      <c r="H904" s="1">
        <v>38320</v>
      </c>
      <c r="I904" t="s">
        <v>12</v>
      </c>
      <c r="J904" t="s">
        <v>11674</v>
      </c>
    </row>
    <row r="905" spans="1:10" x14ac:dyDescent="0.25">
      <c r="A905">
        <v>216037</v>
      </c>
      <c r="B905" t="s">
        <v>944</v>
      </c>
      <c r="C905" t="str">
        <f>"9780824742331"</f>
        <v>9780824742331</v>
      </c>
      <c r="D905" t="str">
        <f>"9780203912218"</f>
        <v>9780203912218</v>
      </c>
      <c r="E905" t="s">
        <v>941</v>
      </c>
      <c r="F905" t="s">
        <v>942</v>
      </c>
      <c r="G905" s="1">
        <v>37257</v>
      </c>
      <c r="H905" s="1">
        <v>38316</v>
      </c>
      <c r="I905" t="s">
        <v>12</v>
      </c>
      <c r="J905" t="s">
        <v>11675</v>
      </c>
    </row>
    <row r="906" spans="1:10" x14ac:dyDescent="0.25">
      <c r="A906">
        <v>216053</v>
      </c>
      <c r="B906" t="s">
        <v>945</v>
      </c>
      <c r="C906" t="str">
        <f>"9780824702281"</f>
        <v>9780824702281</v>
      </c>
      <c r="D906" t="str">
        <f>"9780203909997"</f>
        <v>9780203909997</v>
      </c>
      <c r="E906" t="s">
        <v>144</v>
      </c>
      <c r="F906" t="s">
        <v>144</v>
      </c>
      <c r="G906" s="1">
        <v>36273</v>
      </c>
      <c r="H906" s="1">
        <v>38315</v>
      </c>
      <c r="I906" t="s">
        <v>12</v>
      </c>
      <c r="J906" t="s">
        <v>11676</v>
      </c>
    </row>
    <row r="907" spans="1:10" x14ac:dyDescent="0.25">
      <c r="A907">
        <v>216061</v>
      </c>
      <c r="B907" t="s">
        <v>946</v>
      </c>
      <c r="C907" t="str">
        <f>"9780824705725"</f>
        <v>9780824705725</v>
      </c>
      <c r="D907" t="str">
        <f>"9780203908099"</f>
        <v>9780203908099</v>
      </c>
      <c r="E907" t="s">
        <v>144</v>
      </c>
      <c r="F907" t="s">
        <v>144</v>
      </c>
      <c r="G907" s="1">
        <v>37145</v>
      </c>
      <c r="H907" s="1">
        <v>38316</v>
      </c>
      <c r="I907" t="s">
        <v>12</v>
      </c>
      <c r="J907" t="s">
        <v>11677</v>
      </c>
    </row>
    <row r="908" spans="1:10" x14ac:dyDescent="0.25">
      <c r="A908">
        <v>216097</v>
      </c>
      <c r="B908" t="s">
        <v>947</v>
      </c>
      <c r="C908" t="str">
        <f>"9780824703288"</f>
        <v>9780824703288</v>
      </c>
      <c r="D908" t="str">
        <f>"9780203909843"</f>
        <v>9780203909843</v>
      </c>
      <c r="E908" t="s">
        <v>15</v>
      </c>
      <c r="F908" t="s">
        <v>16</v>
      </c>
      <c r="G908" s="1">
        <v>36595</v>
      </c>
      <c r="H908" s="1">
        <v>41814</v>
      </c>
      <c r="I908" t="s">
        <v>12</v>
      </c>
      <c r="J908" t="s">
        <v>11678</v>
      </c>
    </row>
    <row r="909" spans="1:10" x14ac:dyDescent="0.25">
      <c r="A909">
        <v>216117</v>
      </c>
      <c r="B909" t="s">
        <v>948</v>
      </c>
      <c r="C909" t="str">
        <f>"9780824741020"</f>
        <v>9780824741020</v>
      </c>
      <c r="D909" t="str">
        <f>"9780203025772"</f>
        <v>9780203025772</v>
      </c>
      <c r="E909" t="s">
        <v>15</v>
      </c>
      <c r="F909" t="s">
        <v>139</v>
      </c>
      <c r="G909" s="1">
        <v>37966</v>
      </c>
      <c r="H909" s="1">
        <v>38317</v>
      </c>
      <c r="I909" t="s">
        <v>12</v>
      </c>
      <c r="J909" t="s">
        <v>11679</v>
      </c>
    </row>
    <row r="910" spans="1:10" x14ac:dyDescent="0.25">
      <c r="A910">
        <v>216129</v>
      </c>
      <c r="B910" t="s">
        <v>949</v>
      </c>
      <c r="C910" t="str">
        <f>"9780824709365"</f>
        <v>9780824709365</v>
      </c>
      <c r="D910" t="str">
        <f>"9780203911747"</f>
        <v>9780203911747</v>
      </c>
      <c r="E910" t="s">
        <v>941</v>
      </c>
      <c r="F910" t="s">
        <v>942</v>
      </c>
      <c r="G910" s="1">
        <v>37257</v>
      </c>
      <c r="H910" s="1">
        <v>38316</v>
      </c>
      <c r="I910" t="s">
        <v>12</v>
      </c>
      <c r="J910" t="s">
        <v>11680</v>
      </c>
    </row>
    <row r="911" spans="1:10" x14ac:dyDescent="0.25">
      <c r="A911">
        <v>216130</v>
      </c>
      <c r="B911" t="s">
        <v>950</v>
      </c>
      <c r="C911" t="str">
        <f>"9780824708450"</f>
        <v>9780824708450</v>
      </c>
      <c r="D911" t="str">
        <f>"9780203021958"</f>
        <v>9780203021958</v>
      </c>
      <c r="E911" t="s">
        <v>144</v>
      </c>
      <c r="F911" t="s">
        <v>144</v>
      </c>
      <c r="G911" s="1">
        <v>38007</v>
      </c>
      <c r="H911" s="1">
        <v>38316</v>
      </c>
      <c r="I911" t="s">
        <v>12</v>
      </c>
      <c r="J911" t="s">
        <v>11681</v>
      </c>
    </row>
    <row r="912" spans="1:10" x14ac:dyDescent="0.25">
      <c r="A912">
        <v>216154</v>
      </c>
      <c r="B912" t="s">
        <v>951</v>
      </c>
      <c r="C912" t="str">
        <f>"9780824753184"</f>
        <v>9780824753184</v>
      </c>
      <c r="D912" t="str">
        <f>"9781135531393"</f>
        <v>9781135531393</v>
      </c>
      <c r="E912" t="s">
        <v>144</v>
      </c>
      <c r="F912" t="s">
        <v>144</v>
      </c>
      <c r="G912" s="1">
        <v>38057</v>
      </c>
      <c r="H912" s="1">
        <v>38320</v>
      </c>
      <c r="I912" t="s">
        <v>12</v>
      </c>
      <c r="J912" t="s">
        <v>11682</v>
      </c>
    </row>
    <row r="913" spans="1:10" x14ac:dyDescent="0.25">
      <c r="A913">
        <v>216156</v>
      </c>
      <c r="B913" t="s">
        <v>952</v>
      </c>
      <c r="C913" t="str">
        <f>"9780824787813"</f>
        <v>9780824787813</v>
      </c>
      <c r="D913" t="str">
        <f>"9780203908495"</f>
        <v>9780203908495</v>
      </c>
      <c r="E913" t="s">
        <v>144</v>
      </c>
      <c r="F913" t="s">
        <v>144</v>
      </c>
      <c r="G913" s="1">
        <v>37120</v>
      </c>
      <c r="H913" s="1">
        <v>38604</v>
      </c>
      <c r="I913" t="s">
        <v>12</v>
      </c>
      <c r="J913" t="s">
        <v>11683</v>
      </c>
    </row>
    <row r="914" spans="1:10" x14ac:dyDescent="0.25">
      <c r="A914">
        <v>216166</v>
      </c>
      <c r="B914" t="s">
        <v>953</v>
      </c>
      <c r="C914" t="str">
        <f>"9780824743116"</f>
        <v>9780824743116</v>
      </c>
      <c r="D914" t="str">
        <f>"9780203912010"</f>
        <v>9780203912010</v>
      </c>
      <c r="E914" t="s">
        <v>144</v>
      </c>
      <c r="F914" t="s">
        <v>144</v>
      </c>
      <c r="G914" s="1">
        <v>37750</v>
      </c>
      <c r="H914" s="1">
        <v>41553</v>
      </c>
      <c r="I914" t="s">
        <v>12</v>
      </c>
      <c r="J914" t="s">
        <v>11684</v>
      </c>
    </row>
    <row r="915" spans="1:10" x14ac:dyDescent="0.25">
      <c r="A915">
        <v>216169</v>
      </c>
      <c r="B915" t="s">
        <v>954</v>
      </c>
      <c r="C915" t="str">
        <f>"9780824793555"</f>
        <v>9780824793555</v>
      </c>
      <c r="D915" t="str">
        <f>"9780203910436"</f>
        <v>9780203910436</v>
      </c>
      <c r="E915" t="s">
        <v>15</v>
      </c>
      <c r="F915" t="s">
        <v>139</v>
      </c>
      <c r="G915" s="1">
        <v>37537</v>
      </c>
      <c r="H915" s="1">
        <v>38317</v>
      </c>
      <c r="I915" t="s">
        <v>12</v>
      </c>
      <c r="J915" t="s">
        <v>11685</v>
      </c>
    </row>
    <row r="916" spans="1:10" x14ac:dyDescent="0.25">
      <c r="A916">
        <v>216179</v>
      </c>
      <c r="B916" t="s">
        <v>955</v>
      </c>
      <c r="C916" t="str">
        <f>"9780824709976"</f>
        <v>9780824709976</v>
      </c>
      <c r="D916" t="str">
        <f>"9780203911556"</f>
        <v>9780203911556</v>
      </c>
      <c r="E916" t="s">
        <v>941</v>
      </c>
      <c r="F916" t="s">
        <v>942</v>
      </c>
      <c r="G916" s="1">
        <v>37602</v>
      </c>
      <c r="H916" s="1">
        <v>38316</v>
      </c>
      <c r="I916" t="s">
        <v>12</v>
      </c>
      <c r="J916" t="s">
        <v>11686</v>
      </c>
    </row>
    <row r="917" spans="1:10" x14ac:dyDescent="0.25">
      <c r="A917">
        <v>216233</v>
      </c>
      <c r="B917" t="s">
        <v>956</v>
      </c>
      <c r="C917" t="str">
        <f>"9780824740382"</f>
        <v>9780824740382</v>
      </c>
      <c r="D917" t="str">
        <f>"9780203911426"</f>
        <v>9780203911426</v>
      </c>
      <c r="E917" t="s">
        <v>144</v>
      </c>
      <c r="F917" t="s">
        <v>144</v>
      </c>
      <c r="G917" s="1">
        <v>37847</v>
      </c>
      <c r="H917" s="1">
        <v>38316</v>
      </c>
      <c r="I917" t="s">
        <v>12</v>
      </c>
      <c r="J917" t="s">
        <v>11687</v>
      </c>
    </row>
    <row r="918" spans="1:10" x14ac:dyDescent="0.25">
      <c r="A918">
        <v>216236</v>
      </c>
      <c r="B918" t="s">
        <v>957</v>
      </c>
      <c r="C918" t="str">
        <f>"9780824707491"</f>
        <v>9780824707491</v>
      </c>
      <c r="D918" t="str">
        <f>"9780203908815"</f>
        <v>9780203908815</v>
      </c>
      <c r="E918" t="s">
        <v>144</v>
      </c>
      <c r="F918" t="s">
        <v>144</v>
      </c>
      <c r="G918" s="1">
        <v>37363</v>
      </c>
      <c r="H918" s="1">
        <v>42340</v>
      </c>
      <c r="I918" t="s">
        <v>12</v>
      </c>
      <c r="J918" t="s">
        <v>11688</v>
      </c>
    </row>
    <row r="919" spans="1:10" x14ac:dyDescent="0.25">
      <c r="A919">
        <v>216249</v>
      </c>
      <c r="B919" t="s">
        <v>958</v>
      </c>
      <c r="C919" t="str">
        <f>"9780824702601"</f>
        <v>9780824702601</v>
      </c>
      <c r="D919" t="str">
        <f>"9780203904770"</f>
        <v>9780203904770</v>
      </c>
      <c r="E919" t="s">
        <v>144</v>
      </c>
      <c r="F919" t="s">
        <v>144</v>
      </c>
      <c r="G919" s="1">
        <v>36692</v>
      </c>
      <c r="H919" s="1">
        <v>38320</v>
      </c>
      <c r="I919" t="s">
        <v>12</v>
      </c>
      <c r="J919" t="s">
        <v>11689</v>
      </c>
    </row>
    <row r="920" spans="1:10" x14ac:dyDescent="0.25">
      <c r="A920">
        <v>216294</v>
      </c>
      <c r="B920" t="s">
        <v>959</v>
      </c>
      <c r="C920" t="str">
        <f>"9780824707323"</f>
        <v>9780824707323</v>
      </c>
      <c r="D920" t="str">
        <f>"9780824744571"</f>
        <v>9780824744571</v>
      </c>
      <c r="E920" t="s">
        <v>144</v>
      </c>
      <c r="F920" t="s">
        <v>144</v>
      </c>
      <c r="G920" s="1">
        <v>37330</v>
      </c>
      <c r="H920" s="1">
        <v>38315</v>
      </c>
      <c r="I920" t="s">
        <v>12</v>
      </c>
      <c r="J920" t="s">
        <v>11690</v>
      </c>
    </row>
    <row r="921" spans="1:10" x14ac:dyDescent="0.25">
      <c r="A921">
        <v>216295</v>
      </c>
      <c r="B921" t="s">
        <v>960</v>
      </c>
      <c r="C921" t="str">
        <f>"9780824707835"</f>
        <v>9780824707835</v>
      </c>
      <c r="D921" t="str">
        <f>"9780203910962"</f>
        <v>9780203910962</v>
      </c>
      <c r="E921" t="s">
        <v>144</v>
      </c>
      <c r="F921" t="s">
        <v>144</v>
      </c>
      <c r="G921" s="1">
        <v>37421</v>
      </c>
      <c r="H921" s="1">
        <v>38316</v>
      </c>
      <c r="I921" t="s">
        <v>12</v>
      </c>
      <c r="J921" t="s">
        <v>11691</v>
      </c>
    </row>
    <row r="922" spans="1:10" x14ac:dyDescent="0.25">
      <c r="A922">
        <v>216296</v>
      </c>
      <c r="B922" t="s">
        <v>961</v>
      </c>
      <c r="C922" t="str">
        <f>"9780824799601"</f>
        <v>9780824799601</v>
      </c>
      <c r="D922" t="str">
        <f>"9780203908266"</f>
        <v>9780203908266</v>
      </c>
      <c r="E922" t="s">
        <v>144</v>
      </c>
      <c r="F922" t="s">
        <v>144</v>
      </c>
      <c r="G922" s="1">
        <v>37042</v>
      </c>
      <c r="H922" s="1">
        <v>38316</v>
      </c>
      <c r="I922" t="s">
        <v>12</v>
      </c>
      <c r="J922" t="s">
        <v>11692</v>
      </c>
    </row>
    <row r="923" spans="1:10" x14ac:dyDescent="0.25">
      <c r="A923">
        <v>216313</v>
      </c>
      <c r="B923" t="s">
        <v>962</v>
      </c>
      <c r="C923" t="str">
        <f>"9780824706593"</f>
        <v>9780824706593</v>
      </c>
      <c r="D923" t="str">
        <f>"9780203903896"</f>
        <v>9780203903896</v>
      </c>
      <c r="E923" t="s">
        <v>144</v>
      </c>
      <c r="F923" t="s">
        <v>144</v>
      </c>
      <c r="G923" s="1">
        <v>37267</v>
      </c>
      <c r="H923" s="1">
        <v>42340</v>
      </c>
      <c r="I923" t="s">
        <v>12</v>
      </c>
      <c r="J923" t="s">
        <v>11693</v>
      </c>
    </row>
    <row r="924" spans="1:10" x14ac:dyDescent="0.25">
      <c r="A924">
        <v>216341</v>
      </c>
      <c r="B924" t="s">
        <v>963</v>
      </c>
      <c r="C924" t="str">
        <f>"9780824707941"</f>
        <v>9780824707941</v>
      </c>
      <c r="D924" t="str">
        <f>"9780203910849"</f>
        <v>9780203910849</v>
      </c>
      <c r="E924" t="s">
        <v>144</v>
      </c>
      <c r="F924" t="s">
        <v>144</v>
      </c>
      <c r="G924" s="1">
        <v>37482</v>
      </c>
      <c r="H924" s="1">
        <v>38493</v>
      </c>
      <c r="I924" t="s">
        <v>12</v>
      </c>
      <c r="J924" t="s">
        <v>11694</v>
      </c>
    </row>
    <row r="925" spans="1:10" x14ac:dyDescent="0.25">
      <c r="A925">
        <v>216349</v>
      </c>
      <c r="B925" t="s">
        <v>964</v>
      </c>
      <c r="C925" t="str">
        <f>"9780824741310"</f>
        <v>9780824741310</v>
      </c>
      <c r="D925" t="str">
        <f>"9780203912836"</f>
        <v>9780203912836</v>
      </c>
      <c r="E925" t="s">
        <v>144</v>
      </c>
      <c r="F925" t="s">
        <v>144</v>
      </c>
      <c r="G925" s="1">
        <v>37867</v>
      </c>
      <c r="H925" s="1">
        <v>38316</v>
      </c>
      <c r="I925" t="s">
        <v>12</v>
      </c>
      <c r="J925" t="s">
        <v>11695</v>
      </c>
    </row>
    <row r="926" spans="1:10" x14ac:dyDescent="0.25">
      <c r="A926">
        <v>216350</v>
      </c>
      <c r="B926" t="s">
        <v>965</v>
      </c>
      <c r="C926" t="str">
        <f>"9780824706692"</f>
        <v>9780824706692</v>
      </c>
      <c r="D926" t="str">
        <f>"9780203908396"</f>
        <v>9780203908396</v>
      </c>
      <c r="E926" t="s">
        <v>144</v>
      </c>
      <c r="F926" t="s">
        <v>144</v>
      </c>
      <c r="G926" s="1">
        <v>37237</v>
      </c>
      <c r="H926" s="1">
        <v>38661</v>
      </c>
      <c r="I926" t="s">
        <v>12</v>
      </c>
      <c r="J926" t="s">
        <v>11696</v>
      </c>
    </row>
    <row r="927" spans="1:10" x14ac:dyDescent="0.25">
      <c r="A927">
        <v>216351</v>
      </c>
      <c r="B927" t="s">
        <v>966</v>
      </c>
      <c r="C927" t="str">
        <f>"9780824747794"</f>
        <v>9780824747794</v>
      </c>
      <c r="D927" t="str">
        <f>"9780203912843"</f>
        <v>9780203912843</v>
      </c>
      <c r="E927" t="s">
        <v>144</v>
      </c>
      <c r="F927" t="s">
        <v>144</v>
      </c>
      <c r="G927" s="1">
        <v>37915</v>
      </c>
      <c r="H927" s="1">
        <v>38316</v>
      </c>
      <c r="I927" t="s">
        <v>12</v>
      </c>
      <c r="J927" t="s">
        <v>11697</v>
      </c>
    </row>
    <row r="928" spans="1:10" x14ac:dyDescent="0.25">
      <c r="A928">
        <v>216399</v>
      </c>
      <c r="B928" t="s">
        <v>967</v>
      </c>
      <c r="C928" t="str">
        <f>"9780824799427"</f>
        <v>9780824799427</v>
      </c>
      <c r="D928" t="str">
        <f>"9780203909959"</f>
        <v>9780203909959</v>
      </c>
      <c r="E928" t="s">
        <v>144</v>
      </c>
      <c r="F928" t="s">
        <v>144</v>
      </c>
      <c r="G928" s="1">
        <v>36634</v>
      </c>
      <c r="H928" s="1">
        <v>38316</v>
      </c>
      <c r="I928" t="s">
        <v>12</v>
      </c>
      <c r="J928" t="s">
        <v>11698</v>
      </c>
    </row>
    <row r="929" spans="1:10" x14ac:dyDescent="0.25">
      <c r="A929">
        <v>216417</v>
      </c>
      <c r="B929" t="s">
        <v>968</v>
      </c>
      <c r="C929" t="str">
        <f>"9780824776602"</f>
        <v>9780824776602</v>
      </c>
      <c r="D929" t="str">
        <f>"9780203909010"</f>
        <v>9780203909010</v>
      </c>
      <c r="E929" t="s">
        <v>15</v>
      </c>
      <c r="F929" t="s">
        <v>16</v>
      </c>
      <c r="G929" s="1">
        <v>36476</v>
      </c>
      <c r="H929" s="1">
        <v>38604</v>
      </c>
      <c r="I929" t="s">
        <v>12</v>
      </c>
      <c r="J929" t="s">
        <v>11699</v>
      </c>
    </row>
    <row r="930" spans="1:10" x14ac:dyDescent="0.25">
      <c r="A930">
        <v>216432</v>
      </c>
      <c r="B930" t="s">
        <v>969</v>
      </c>
      <c r="C930" t="str">
        <f>"9780824709297"</f>
        <v>9780824709297</v>
      </c>
      <c r="D930" t="str">
        <f>"9780203911679"</f>
        <v>9780203911679</v>
      </c>
      <c r="E930" t="s">
        <v>941</v>
      </c>
      <c r="F930" t="s">
        <v>942</v>
      </c>
      <c r="G930" s="1">
        <v>36670</v>
      </c>
      <c r="H930" s="1">
        <v>38316</v>
      </c>
      <c r="I930" t="s">
        <v>12</v>
      </c>
      <c r="J930" t="s">
        <v>11700</v>
      </c>
    </row>
    <row r="931" spans="1:10" x14ac:dyDescent="0.25">
      <c r="A931">
        <v>216465</v>
      </c>
      <c r="B931" t="s">
        <v>970</v>
      </c>
      <c r="C931" t="str">
        <f>"9780824706876"</f>
        <v>9780824706876</v>
      </c>
      <c r="D931" t="str">
        <f>"9781135551612"</f>
        <v>9781135551612</v>
      </c>
      <c r="E931" t="s">
        <v>15</v>
      </c>
      <c r="F931" t="s">
        <v>139</v>
      </c>
      <c r="G931" s="1">
        <v>37594</v>
      </c>
      <c r="H931" s="1">
        <v>42340</v>
      </c>
      <c r="I931" t="s">
        <v>12</v>
      </c>
      <c r="J931" t="s">
        <v>11701</v>
      </c>
    </row>
    <row r="932" spans="1:10" x14ac:dyDescent="0.25">
      <c r="A932">
        <v>216496</v>
      </c>
      <c r="B932" t="s">
        <v>971</v>
      </c>
      <c r="C932" t="str">
        <f>"9780824750572"</f>
        <v>9780824750572</v>
      </c>
      <c r="D932" t="str">
        <f>"9780203913499"</f>
        <v>9780203913499</v>
      </c>
      <c r="E932" t="s">
        <v>15</v>
      </c>
      <c r="F932" t="s">
        <v>139</v>
      </c>
      <c r="G932" s="1">
        <v>38084</v>
      </c>
      <c r="H932" s="1">
        <v>38316</v>
      </c>
      <c r="I932" t="s">
        <v>12</v>
      </c>
      <c r="J932" t="s">
        <v>11702</v>
      </c>
    </row>
    <row r="933" spans="1:10" x14ac:dyDescent="0.25">
      <c r="A933">
        <v>216497</v>
      </c>
      <c r="B933" t="s">
        <v>972</v>
      </c>
      <c r="C933" t="str">
        <f>"9780824750541"</f>
        <v>9780824750541</v>
      </c>
      <c r="D933" t="str">
        <f>"9780203913628"</f>
        <v>9780203913628</v>
      </c>
      <c r="E933" t="s">
        <v>15</v>
      </c>
      <c r="F933" t="s">
        <v>139</v>
      </c>
      <c r="G933" s="1">
        <v>38058</v>
      </c>
      <c r="H933" s="1">
        <v>38320</v>
      </c>
      <c r="I933" t="s">
        <v>12</v>
      </c>
      <c r="J933" t="s">
        <v>11703</v>
      </c>
    </row>
    <row r="934" spans="1:10" x14ac:dyDescent="0.25">
      <c r="A934">
        <v>216499</v>
      </c>
      <c r="B934" t="s">
        <v>973</v>
      </c>
      <c r="C934" t="str">
        <f>"9780824703875"</f>
        <v>9780824703875</v>
      </c>
      <c r="D934" t="str">
        <f>"9780203904206"</f>
        <v>9780203904206</v>
      </c>
      <c r="E934" t="s">
        <v>15</v>
      </c>
      <c r="F934" t="s">
        <v>139</v>
      </c>
      <c r="G934" s="1">
        <v>36818</v>
      </c>
      <c r="H934" s="1">
        <v>38316</v>
      </c>
      <c r="I934" t="s">
        <v>12</v>
      </c>
      <c r="J934" t="s">
        <v>11704</v>
      </c>
    </row>
    <row r="935" spans="1:10" x14ac:dyDescent="0.25">
      <c r="A935">
        <v>216505</v>
      </c>
      <c r="B935" t="s">
        <v>974</v>
      </c>
      <c r="C935" t="str">
        <f>"9780824753221"</f>
        <v>9780824753221</v>
      </c>
      <c r="D935" t="str">
        <f>"9780203025703"</f>
        <v>9780203025703</v>
      </c>
      <c r="E935" t="s">
        <v>144</v>
      </c>
      <c r="F935" t="s">
        <v>144</v>
      </c>
      <c r="G935" s="1">
        <v>38064</v>
      </c>
      <c r="H935" s="1">
        <v>38316</v>
      </c>
      <c r="I935" t="s">
        <v>12</v>
      </c>
      <c r="J935" t="s">
        <v>11705</v>
      </c>
    </row>
    <row r="936" spans="1:10" x14ac:dyDescent="0.25">
      <c r="A936">
        <v>216508</v>
      </c>
      <c r="B936" t="s">
        <v>975</v>
      </c>
      <c r="C936" t="str">
        <f>"9780824709983"</f>
        <v>9780824709983</v>
      </c>
      <c r="D936" t="str">
        <f>"9780203912584"</f>
        <v>9780203912584</v>
      </c>
      <c r="E936" t="s">
        <v>941</v>
      </c>
      <c r="F936" t="s">
        <v>942</v>
      </c>
      <c r="G936" s="1">
        <v>37421</v>
      </c>
      <c r="H936" s="1">
        <v>38316</v>
      </c>
      <c r="I936" t="s">
        <v>12</v>
      </c>
      <c r="J936" t="s">
        <v>11706</v>
      </c>
    </row>
    <row r="937" spans="1:10" x14ac:dyDescent="0.25">
      <c r="A937">
        <v>216519</v>
      </c>
      <c r="B937" t="s">
        <v>976</v>
      </c>
      <c r="C937" t="str">
        <f>"9780824707347"</f>
        <v>9780824707347</v>
      </c>
      <c r="D937" t="str">
        <f>"9780203911785"</f>
        <v>9780203911785</v>
      </c>
      <c r="E937" t="s">
        <v>144</v>
      </c>
      <c r="F937" t="s">
        <v>144</v>
      </c>
      <c r="G937" s="1">
        <v>37707</v>
      </c>
      <c r="H937" s="1">
        <v>38604</v>
      </c>
      <c r="I937" t="s">
        <v>12</v>
      </c>
      <c r="J937" t="s">
        <v>11707</v>
      </c>
    </row>
    <row r="938" spans="1:10" x14ac:dyDescent="0.25">
      <c r="A938">
        <v>216548</v>
      </c>
      <c r="B938" t="s">
        <v>977</v>
      </c>
      <c r="C938" t="str">
        <f>"9780824741297"</f>
        <v>9780824741297</v>
      </c>
      <c r="D938" t="str">
        <f>"9780203912478"</f>
        <v>9780203912478</v>
      </c>
      <c r="E938" t="s">
        <v>15</v>
      </c>
      <c r="F938" t="s">
        <v>139</v>
      </c>
      <c r="G938" s="1">
        <v>37719</v>
      </c>
      <c r="H938" s="1">
        <v>38316</v>
      </c>
      <c r="I938" t="s">
        <v>12</v>
      </c>
      <c r="J938" t="s">
        <v>11708</v>
      </c>
    </row>
    <row r="939" spans="1:10" x14ac:dyDescent="0.25">
      <c r="A939">
        <v>216703</v>
      </c>
      <c r="B939" t="s">
        <v>978</v>
      </c>
      <c r="C939" t="str">
        <f>"9781741142365"</f>
        <v>9781741142365</v>
      </c>
      <c r="D939" t="str">
        <f>"9781741152715"</f>
        <v>9781741152715</v>
      </c>
      <c r="E939" t="s">
        <v>979</v>
      </c>
      <c r="F939" t="s">
        <v>979</v>
      </c>
      <c r="G939" s="1">
        <v>37987</v>
      </c>
      <c r="H939" s="1">
        <v>38350</v>
      </c>
      <c r="I939" t="s">
        <v>12</v>
      </c>
      <c r="J939" t="s">
        <v>11709</v>
      </c>
    </row>
    <row r="940" spans="1:10" x14ac:dyDescent="0.25">
      <c r="A940">
        <v>217709</v>
      </c>
      <c r="B940" t="s">
        <v>980</v>
      </c>
      <c r="C940" t="str">
        <f>"9780521780674"</f>
        <v>9780521780674</v>
      </c>
      <c r="D940" t="str">
        <f>"9780511203589"</f>
        <v>9780511203589</v>
      </c>
      <c r="E940" t="s">
        <v>18</v>
      </c>
      <c r="F940" t="s">
        <v>18</v>
      </c>
      <c r="G940" s="1">
        <v>37896</v>
      </c>
      <c r="H940" s="1">
        <v>38369</v>
      </c>
      <c r="I940" t="s">
        <v>12</v>
      </c>
      <c r="J940" t="s">
        <v>11710</v>
      </c>
    </row>
    <row r="941" spans="1:10" x14ac:dyDescent="0.25">
      <c r="A941">
        <v>217746</v>
      </c>
      <c r="B941" t="s">
        <v>981</v>
      </c>
      <c r="C941" t="str">
        <f>"9780521782937"</f>
        <v>9780521782937</v>
      </c>
      <c r="D941" t="str">
        <f>"9781139146548"</f>
        <v>9781139146548</v>
      </c>
      <c r="E941" t="s">
        <v>18</v>
      </c>
      <c r="F941" t="s">
        <v>18</v>
      </c>
      <c r="G941" s="1">
        <v>37392</v>
      </c>
      <c r="H941" s="1">
        <v>38364</v>
      </c>
      <c r="I941" t="s">
        <v>12</v>
      </c>
      <c r="J941" t="s">
        <v>11711</v>
      </c>
    </row>
    <row r="942" spans="1:10" x14ac:dyDescent="0.25">
      <c r="A942">
        <v>217749</v>
      </c>
      <c r="B942" t="s">
        <v>982</v>
      </c>
      <c r="C942" t="str">
        <f>"9780521430517"</f>
        <v>9780521430517</v>
      </c>
      <c r="D942" t="str">
        <f>"9780511203572"</f>
        <v>9780511203572</v>
      </c>
      <c r="E942" t="s">
        <v>18</v>
      </c>
      <c r="F942" t="s">
        <v>18</v>
      </c>
      <c r="G942" s="1">
        <v>37973</v>
      </c>
      <c r="H942" s="1">
        <v>38369</v>
      </c>
      <c r="I942" t="s">
        <v>12</v>
      </c>
      <c r="J942" t="s">
        <v>11712</v>
      </c>
    </row>
    <row r="943" spans="1:10" x14ac:dyDescent="0.25">
      <c r="A943">
        <v>217816</v>
      </c>
      <c r="B943" t="s">
        <v>983</v>
      </c>
      <c r="C943" t="str">
        <f>"9780521790314"</f>
        <v>9780521790314</v>
      </c>
      <c r="D943" t="str">
        <f>"9781139146647"</f>
        <v>9781139146647</v>
      </c>
      <c r="E943" t="s">
        <v>18</v>
      </c>
      <c r="F943" t="s">
        <v>18</v>
      </c>
      <c r="G943" s="1">
        <v>37681</v>
      </c>
      <c r="H943" s="1">
        <v>38364</v>
      </c>
      <c r="I943" t="s">
        <v>12</v>
      </c>
      <c r="J943" t="s">
        <v>11713</v>
      </c>
    </row>
    <row r="944" spans="1:10" x14ac:dyDescent="0.25">
      <c r="A944">
        <v>217845</v>
      </c>
      <c r="B944" t="s">
        <v>984</v>
      </c>
      <c r="C944" t="str">
        <f>"9780521382908"</f>
        <v>9780521382908</v>
      </c>
      <c r="D944" t="str">
        <f>"9781139145794"</f>
        <v>9781139145794</v>
      </c>
      <c r="E944" t="s">
        <v>18</v>
      </c>
      <c r="F944" t="s">
        <v>18</v>
      </c>
      <c r="G944" s="1">
        <v>37448</v>
      </c>
      <c r="H944" s="1">
        <v>38328</v>
      </c>
      <c r="I944" t="s">
        <v>12</v>
      </c>
      <c r="J944" t="s">
        <v>11714</v>
      </c>
    </row>
    <row r="945" spans="1:10" x14ac:dyDescent="0.25">
      <c r="A945">
        <v>217852</v>
      </c>
      <c r="B945" t="s">
        <v>985</v>
      </c>
      <c r="C945" t="str">
        <f>"9780521641821"</f>
        <v>9780521641821</v>
      </c>
      <c r="D945" t="str">
        <f>"9781139145961"</f>
        <v>9781139145961</v>
      </c>
      <c r="E945" t="s">
        <v>18</v>
      </c>
      <c r="F945" t="s">
        <v>18</v>
      </c>
      <c r="G945" s="1">
        <v>36272</v>
      </c>
      <c r="H945" s="1">
        <v>38369</v>
      </c>
      <c r="I945" t="s">
        <v>12</v>
      </c>
      <c r="J945" t="s">
        <v>11715</v>
      </c>
    </row>
    <row r="946" spans="1:10" x14ac:dyDescent="0.25">
      <c r="A946">
        <v>217860</v>
      </c>
      <c r="B946" t="s">
        <v>986</v>
      </c>
      <c r="C946" t="str">
        <f>"9780521573252"</f>
        <v>9780521573252</v>
      </c>
      <c r="D946" t="str">
        <f>"9781139145756"</f>
        <v>9781139145756</v>
      </c>
      <c r="E946" t="s">
        <v>18</v>
      </c>
      <c r="F946" t="s">
        <v>18</v>
      </c>
      <c r="G946" s="1">
        <v>37273</v>
      </c>
      <c r="H946" s="1">
        <v>38328</v>
      </c>
      <c r="I946" t="s">
        <v>12</v>
      </c>
      <c r="J946" t="s">
        <v>11716</v>
      </c>
    </row>
    <row r="947" spans="1:10" x14ac:dyDescent="0.25">
      <c r="A947">
        <v>217883</v>
      </c>
      <c r="B947" t="s">
        <v>987</v>
      </c>
      <c r="C947" t="str">
        <f>"9780521809580"</f>
        <v>9780521809580</v>
      </c>
      <c r="D947" t="str">
        <f>"9781139147613"</f>
        <v>9781139147613</v>
      </c>
      <c r="E947" t="s">
        <v>18</v>
      </c>
      <c r="F947" t="s">
        <v>18</v>
      </c>
      <c r="G947" s="1">
        <v>37483</v>
      </c>
      <c r="H947" s="1">
        <v>38364</v>
      </c>
      <c r="I947" t="s">
        <v>12</v>
      </c>
      <c r="J947" t="s">
        <v>11717</v>
      </c>
    </row>
    <row r="948" spans="1:10" x14ac:dyDescent="0.25">
      <c r="A948">
        <v>217886</v>
      </c>
      <c r="B948" t="s">
        <v>988</v>
      </c>
      <c r="C948" t="str">
        <f>"9780521813280"</f>
        <v>9780521813280</v>
      </c>
      <c r="D948" t="str">
        <f>"9780511203640"</f>
        <v>9780511203640</v>
      </c>
      <c r="E948" t="s">
        <v>18</v>
      </c>
      <c r="F948" t="s">
        <v>18</v>
      </c>
      <c r="G948" s="1">
        <v>37830</v>
      </c>
      <c r="H948" s="1">
        <v>38328</v>
      </c>
      <c r="I948" t="s">
        <v>12</v>
      </c>
      <c r="J948" t="s">
        <v>11718</v>
      </c>
    </row>
    <row r="949" spans="1:10" x14ac:dyDescent="0.25">
      <c r="A949">
        <v>217892</v>
      </c>
      <c r="B949" t="s">
        <v>989</v>
      </c>
      <c r="C949" t="str">
        <f>"9780521812832"</f>
        <v>9780521812832</v>
      </c>
      <c r="D949" t="str">
        <f>"9780511205989"</f>
        <v>9780511205989</v>
      </c>
      <c r="E949" t="s">
        <v>18</v>
      </c>
      <c r="F949" t="s">
        <v>18</v>
      </c>
      <c r="G949" s="1">
        <v>37774</v>
      </c>
      <c r="H949" s="1">
        <v>38369</v>
      </c>
      <c r="I949" t="s">
        <v>12</v>
      </c>
      <c r="J949" t="s">
        <v>11719</v>
      </c>
    </row>
    <row r="950" spans="1:10" x14ac:dyDescent="0.25">
      <c r="A950">
        <v>217893</v>
      </c>
      <c r="B950" t="s">
        <v>990</v>
      </c>
      <c r="C950" t="str">
        <f>"9780521812825"</f>
        <v>9780521812825</v>
      </c>
      <c r="D950" t="str">
        <f>"9781139148023"</f>
        <v>9781139148023</v>
      </c>
      <c r="E950" t="s">
        <v>18</v>
      </c>
      <c r="F950" t="s">
        <v>18</v>
      </c>
      <c r="G950" s="1">
        <v>37641</v>
      </c>
      <c r="H950" s="1">
        <v>38369</v>
      </c>
      <c r="I950" t="s">
        <v>12</v>
      </c>
      <c r="J950" t="s">
        <v>11720</v>
      </c>
    </row>
    <row r="951" spans="1:10" x14ac:dyDescent="0.25">
      <c r="A951">
        <v>217909</v>
      </c>
      <c r="B951" t="s">
        <v>991</v>
      </c>
      <c r="C951" t="str">
        <f>"9780521811095"</f>
        <v>9780521811095</v>
      </c>
      <c r="D951" t="str">
        <f>"9781139147828"</f>
        <v>9781139147828</v>
      </c>
      <c r="E951" t="s">
        <v>18</v>
      </c>
      <c r="F951" t="s">
        <v>18</v>
      </c>
      <c r="G951" s="1">
        <v>37707</v>
      </c>
      <c r="H951" s="1">
        <v>38369</v>
      </c>
      <c r="I951" t="s">
        <v>12</v>
      </c>
      <c r="J951" t="s">
        <v>11721</v>
      </c>
    </row>
    <row r="952" spans="1:10" x14ac:dyDescent="0.25">
      <c r="A952">
        <v>217930</v>
      </c>
      <c r="B952" t="s">
        <v>992</v>
      </c>
      <c r="C952" t="str">
        <f>"9780521809566"</f>
        <v>9780521809566</v>
      </c>
      <c r="D952" t="str">
        <f>"9781139147606"</f>
        <v>9781139147606</v>
      </c>
      <c r="E952" t="s">
        <v>18</v>
      </c>
      <c r="F952" t="s">
        <v>18</v>
      </c>
      <c r="G952" s="1">
        <v>37728</v>
      </c>
      <c r="H952" s="1">
        <v>38364</v>
      </c>
      <c r="I952" t="s">
        <v>12</v>
      </c>
      <c r="J952" t="s">
        <v>11722</v>
      </c>
    </row>
    <row r="953" spans="1:10" x14ac:dyDescent="0.25">
      <c r="A953">
        <v>217964</v>
      </c>
      <c r="B953" t="s">
        <v>993</v>
      </c>
      <c r="C953" t="str">
        <f>"9780521814621"</f>
        <v>9780521814621</v>
      </c>
      <c r="D953" t="str">
        <f>"9781139148177"</f>
        <v>9781139148177</v>
      </c>
      <c r="E953" t="s">
        <v>18</v>
      </c>
      <c r="F953" t="s">
        <v>18</v>
      </c>
      <c r="G953" s="1">
        <v>37707</v>
      </c>
      <c r="H953" s="1">
        <v>38327</v>
      </c>
      <c r="I953" t="s">
        <v>12</v>
      </c>
      <c r="J953" t="s">
        <v>11723</v>
      </c>
    </row>
    <row r="954" spans="1:10" x14ac:dyDescent="0.25">
      <c r="A954">
        <v>217971</v>
      </c>
      <c r="B954" t="s">
        <v>994</v>
      </c>
      <c r="C954" t="str">
        <f>"9780521750707"</f>
        <v>9780521750707</v>
      </c>
      <c r="D954" t="str">
        <f>"9781139147682"</f>
        <v>9781139147682</v>
      </c>
      <c r="E954" t="s">
        <v>18</v>
      </c>
      <c r="F954" t="s">
        <v>18</v>
      </c>
      <c r="G954" s="1">
        <v>37956</v>
      </c>
      <c r="H954" s="1">
        <v>38364</v>
      </c>
      <c r="I954" t="s">
        <v>12</v>
      </c>
      <c r="J954" t="s">
        <v>11724</v>
      </c>
    </row>
    <row r="955" spans="1:10" x14ac:dyDescent="0.25">
      <c r="A955">
        <v>217990</v>
      </c>
      <c r="B955" t="s">
        <v>995</v>
      </c>
      <c r="C955" t="str">
        <f>"9780521816670"</f>
        <v>9780521816670</v>
      </c>
      <c r="D955" t="str">
        <f>"9781139148375"</f>
        <v>9781139148375</v>
      </c>
      <c r="E955" t="s">
        <v>18</v>
      </c>
      <c r="F955" t="s">
        <v>18</v>
      </c>
      <c r="G955" s="1">
        <v>37483</v>
      </c>
      <c r="H955" s="1">
        <v>38369</v>
      </c>
      <c r="I955" t="s">
        <v>12</v>
      </c>
      <c r="J955" t="s">
        <v>11725</v>
      </c>
    </row>
    <row r="956" spans="1:10" x14ac:dyDescent="0.25">
      <c r="A956">
        <v>217992</v>
      </c>
      <c r="B956" t="s">
        <v>996</v>
      </c>
      <c r="C956" t="str">
        <f>"9780521816465"</f>
        <v>9780521816465</v>
      </c>
      <c r="D956" t="str">
        <f>"9780511203985"</f>
        <v>9780511203985</v>
      </c>
      <c r="E956" t="s">
        <v>18</v>
      </c>
      <c r="F956" t="s">
        <v>18</v>
      </c>
      <c r="G956" s="1">
        <v>37931</v>
      </c>
      <c r="H956" s="1">
        <v>38329</v>
      </c>
      <c r="I956" t="s">
        <v>12</v>
      </c>
      <c r="J956" t="s">
        <v>11726</v>
      </c>
    </row>
    <row r="957" spans="1:10" x14ac:dyDescent="0.25">
      <c r="A957">
        <v>217995</v>
      </c>
      <c r="B957" t="s">
        <v>997</v>
      </c>
      <c r="C957" t="str">
        <f>"9780521816205"</f>
        <v>9780521816205</v>
      </c>
      <c r="D957" t="str">
        <f>"9781139148337"</f>
        <v>9781139148337</v>
      </c>
      <c r="E957" t="s">
        <v>18</v>
      </c>
      <c r="F957" t="s">
        <v>18</v>
      </c>
      <c r="G957" s="1">
        <v>37693</v>
      </c>
      <c r="H957" s="1">
        <v>38369</v>
      </c>
      <c r="I957" t="s">
        <v>12</v>
      </c>
      <c r="J957" t="s">
        <v>11727</v>
      </c>
    </row>
    <row r="958" spans="1:10" x14ac:dyDescent="0.25">
      <c r="A958">
        <v>218002</v>
      </c>
      <c r="B958" t="s">
        <v>998</v>
      </c>
      <c r="C958" t="str">
        <f>"9780521815888"</f>
        <v>9780521815888</v>
      </c>
      <c r="D958" t="str">
        <f>"9780511205170"</f>
        <v>9780511205170</v>
      </c>
      <c r="E958" t="s">
        <v>18</v>
      </c>
      <c r="F958" t="s">
        <v>18</v>
      </c>
      <c r="G958" s="1">
        <v>37854</v>
      </c>
      <c r="H958" s="1">
        <v>38369</v>
      </c>
      <c r="I958" t="s">
        <v>12</v>
      </c>
      <c r="J958" t="s">
        <v>11728</v>
      </c>
    </row>
    <row r="959" spans="1:10" x14ac:dyDescent="0.25">
      <c r="A959">
        <v>218007</v>
      </c>
      <c r="B959" t="s">
        <v>999</v>
      </c>
      <c r="C959" t="str">
        <f>"9780521814997"</f>
        <v>9780521814997</v>
      </c>
      <c r="D959" t="str">
        <f>"9781139148238"</f>
        <v>9781139148238</v>
      </c>
      <c r="E959" t="s">
        <v>18</v>
      </c>
      <c r="F959" t="s">
        <v>18</v>
      </c>
      <c r="G959" s="1">
        <v>37441</v>
      </c>
      <c r="H959" s="1">
        <v>38329</v>
      </c>
      <c r="I959" t="s">
        <v>12</v>
      </c>
      <c r="J959" t="s">
        <v>11729</v>
      </c>
    </row>
    <row r="960" spans="1:10" x14ac:dyDescent="0.25">
      <c r="A960">
        <v>218045</v>
      </c>
      <c r="B960" t="s">
        <v>1000</v>
      </c>
      <c r="C960" t="str">
        <f>"9780521651691"</f>
        <v>9780521651691</v>
      </c>
      <c r="D960" t="str">
        <f>"9781139146074"</f>
        <v>9781139146074</v>
      </c>
      <c r="E960" t="s">
        <v>18</v>
      </c>
      <c r="F960" t="s">
        <v>18</v>
      </c>
      <c r="G960" s="1">
        <v>36573</v>
      </c>
      <c r="H960" s="1">
        <v>38369</v>
      </c>
      <c r="I960" t="s">
        <v>12</v>
      </c>
      <c r="J960" t="s">
        <v>11730</v>
      </c>
    </row>
    <row r="961" spans="1:10" x14ac:dyDescent="0.25">
      <c r="A961">
        <v>218092</v>
      </c>
      <c r="B961" t="s">
        <v>1001</v>
      </c>
      <c r="C961" t="str">
        <f>"9780521820455"</f>
        <v>9780521820455</v>
      </c>
      <c r="D961" t="str">
        <f>"9781139148863"</f>
        <v>9781139148863</v>
      </c>
      <c r="E961" t="s">
        <v>18</v>
      </c>
      <c r="F961" t="s">
        <v>18</v>
      </c>
      <c r="G961" s="1">
        <v>37686</v>
      </c>
      <c r="H961" s="1">
        <v>38369</v>
      </c>
      <c r="I961" t="s">
        <v>12</v>
      </c>
      <c r="J961" t="s">
        <v>11731</v>
      </c>
    </row>
    <row r="962" spans="1:10" x14ac:dyDescent="0.25">
      <c r="A962">
        <v>218107</v>
      </c>
      <c r="B962" t="s">
        <v>1002</v>
      </c>
      <c r="C962" t="str">
        <f>"9780521818995"</f>
        <v>9780521818995</v>
      </c>
      <c r="D962" t="str">
        <f>"9781139148757"</f>
        <v>9781139148757</v>
      </c>
      <c r="E962" t="s">
        <v>18</v>
      </c>
      <c r="F962" t="s">
        <v>18</v>
      </c>
      <c r="G962" s="1">
        <v>37623</v>
      </c>
      <c r="H962" s="1">
        <v>38328</v>
      </c>
      <c r="I962" t="s">
        <v>12</v>
      </c>
      <c r="J962" t="s">
        <v>11732</v>
      </c>
    </row>
    <row r="963" spans="1:10" x14ac:dyDescent="0.25">
      <c r="A963">
        <v>218123</v>
      </c>
      <c r="B963" t="s">
        <v>1003</v>
      </c>
      <c r="C963" t="str">
        <f>"9780521818179"</f>
        <v>9780521818179</v>
      </c>
      <c r="D963" t="str">
        <f>"9781139148580"</f>
        <v>9781139148580</v>
      </c>
      <c r="E963" t="s">
        <v>18</v>
      </c>
      <c r="F963" t="s">
        <v>18</v>
      </c>
      <c r="G963" s="1">
        <v>37641</v>
      </c>
      <c r="H963" s="1">
        <v>38369</v>
      </c>
      <c r="I963" t="s">
        <v>12</v>
      </c>
      <c r="J963" t="s">
        <v>11733</v>
      </c>
    </row>
    <row r="964" spans="1:10" x14ac:dyDescent="0.25">
      <c r="A964">
        <v>218128</v>
      </c>
      <c r="B964" t="s">
        <v>1004</v>
      </c>
      <c r="C964" t="str">
        <f>"9780521817585"</f>
        <v>9780521817585</v>
      </c>
      <c r="D964" t="str">
        <f>"9780511203657"</f>
        <v>9780511203657</v>
      </c>
      <c r="E964" t="s">
        <v>18</v>
      </c>
      <c r="F964" t="s">
        <v>18</v>
      </c>
      <c r="G964" s="1">
        <v>37907</v>
      </c>
      <c r="H964" s="1">
        <v>38369</v>
      </c>
      <c r="I964" t="s">
        <v>12</v>
      </c>
      <c r="J964" t="s">
        <v>11734</v>
      </c>
    </row>
    <row r="965" spans="1:10" x14ac:dyDescent="0.25">
      <c r="A965">
        <v>218134</v>
      </c>
      <c r="B965" t="s">
        <v>1005</v>
      </c>
      <c r="C965" t="str">
        <f>"9780521816250"</f>
        <v>9780521816250</v>
      </c>
      <c r="D965" t="str">
        <f>"9781139148344"</f>
        <v>9781139148344</v>
      </c>
      <c r="E965" t="s">
        <v>18</v>
      </c>
      <c r="F965" t="s">
        <v>18</v>
      </c>
      <c r="G965" s="1">
        <v>37539</v>
      </c>
      <c r="H965" s="1">
        <v>38364</v>
      </c>
      <c r="I965" t="s">
        <v>12</v>
      </c>
      <c r="J965" t="s">
        <v>11735</v>
      </c>
    </row>
    <row r="966" spans="1:10" x14ac:dyDescent="0.25">
      <c r="A966">
        <v>218137</v>
      </c>
      <c r="B966" t="s">
        <v>1006</v>
      </c>
      <c r="C966" t="str">
        <f>"9780521810913"</f>
        <v>9780521810913</v>
      </c>
      <c r="D966" t="str">
        <f>"9781139147750"</f>
        <v>9781139147750</v>
      </c>
      <c r="E966" t="s">
        <v>18</v>
      </c>
      <c r="F966" t="s">
        <v>18</v>
      </c>
      <c r="G966" s="1">
        <v>37599</v>
      </c>
      <c r="H966" s="1">
        <v>38369</v>
      </c>
      <c r="I966" t="s">
        <v>12</v>
      </c>
      <c r="J966" t="s">
        <v>11736</v>
      </c>
    </row>
    <row r="967" spans="1:10" x14ac:dyDescent="0.25">
      <c r="A967">
        <v>218153</v>
      </c>
      <c r="B967" t="s">
        <v>1007</v>
      </c>
      <c r="C967" t="str">
        <f>"9780521380652"</f>
        <v>9780521380652</v>
      </c>
      <c r="D967" t="str">
        <f>"9780511203619"</f>
        <v>9780511203619</v>
      </c>
      <c r="E967" t="s">
        <v>18</v>
      </c>
      <c r="F967" t="s">
        <v>18</v>
      </c>
      <c r="G967" s="1">
        <v>37907</v>
      </c>
      <c r="H967" s="1">
        <v>38328</v>
      </c>
      <c r="I967" t="s">
        <v>12</v>
      </c>
      <c r="J967" t="s">
        <v>11737</v>
      </c>
    </row>
    <row r="968" spans="1:10" x14ac:dyDescent="0.25">
      <c r="A968">
        <v>218160</v>
      </c>
      <c r="B968" t="s">
        <v>1008</v>
      </c>
      <c r="C968" t="str">
        <f>"9780521818551"</f>
        <v>9780521818551</v>
      </c>
      <c r="D968" t="str">
        <f>"9781139148665"</f>
        <v>9781139148665</v>
      </c>
      <c r="E968" t="s">
        <v>18</v>
      </c>
      <c r="F968" t="s">
        <v>18</v>
      </c>
      <c r="G968" s="1">
        <v>37665</v>
      </c>
      <c r="H968" s="1">
        <v>38364</v>
      </c>
      <c r="I968" t="s">
        <v>12</v>
      </c>
      <c r="J968" t="s">
        <v>11738</v>
      </c>
    </row>
    <row r="969" spans="1:10" x14ac:dyDescent="0.25">
      <c r="A969">
        <v>218181</v>
      </c>
      <c r="B969" t="s">
        <v>1009</v>
      </c>
      <c r="C969" t="str">
        <f>"9780521828673"</f>
        <v>9780521828673</v>
      </c>
      <c r="D969" t="str">
        <f>"9780511205385"</f>
        <v>9780511205385</v>
      </c>
      <c r="E969" t="s">
        <v>18</v>
      </c>
      <c r="F969" t="s">
        <v>18</v>
      </c>
      <c r="G969" s="1">
        <v>37847</v>
      </c>
      <c r="H969" s="1">
        <v>38384</v>
      </c>
      <c r="I969" t="s">
        <v>12</v>
      </c>
      <c r="J969" t="s">
        <v>11739</v>
      </c>
    </row>
    <row r="970" spans="1:10" x14ac:dyDescent="0.25">
      <c r="A970">
        <v>218183</v>
      </c>
      <c r="B970" t="s">
        <v>1010</v>
      </c>
      <c r="C970" t="str">
        <f>"9780521828581"</f>
        <v>9780521828581</v>
      </c>
      <c r="D970" t="str">
        <f>"9780511204678"</f>
        <v>9780511204678</v>
      </c>
      <c r="E970" t="s">
        <v>18</v>
      </c>
      <c r="F970" t="s">
        <v>18</v>
      </c>
      <c r="G970" s="1">
        <v>37973</v>
      </c>
      <c r="H970" s="1">
        <v>38364</v>
      </c>
      <c r="I970" t="s">
        <v>12</v>
      </c>
      <c r="J970" t="s">
        <v>11740</v>
      </c>
    </row>
    <row r="971" spans="1:10" x14ac:dyDescent="0.25">
      <c r="A971">
        <v>218196</v>
      </c>
      <c r="B971" t="s">
        <v>1011</v>
      </c>
      <c r="C971" t="str">
        <f>"9780521827034"</f>
        <v>9780521827034</v>
      </c>
      <c r="D971" t="str">
        <f>"9780511204869"</f>
        <v>9780511204869</v>
      </c>
      <c r="E971" t="s">
        <v>18</v>
      </c>
      <c r="F971" t="s">
        <v>18</v>
      </c>
      <c r="G971" s="1">
        <v>37768</v>
      </c>
      <c r="H971" s="1">
        <v>38364</v>
      </c>
      <c r="I971" t="s">
        <v>12</v>
      </c>
      <c r="J971" t="s">
        <v>11741</v>
      </c>
    </row>
    <row r="972" spans="1:10" x14ac:dyDescent="0.25">
      <c r="A972">
        <v>218214</v>
      </c>
      <c r="B972" t="s">
        <v>1012</v>
      </c>
      <c r="C972" t="str">
        <f>"9780521824880"</f>
        <v>9780521824880</v>
      </c>
      <c r="D972" t="str">
        <f>"9780511203114"</f>
        <v>9780511203114</v>
      </c>
      <c r="E972" t="s">
        <v>18</v>
      </c>
      <c r="F972" t="s">
        <v>18</v>
      </c>
      <c r="G972" s="1">
        <v>37803</v>
      </c>
      <c r="H972" s="1">
        <v>38365</v>
      </c>
      <c r="I972" t="s">
        <v>12</v>
      </c>
      <c r="J972" t="s">
        <v>11742</v>
      </c>
    </row>
    <row r="973" spans="1:10" x14ac:dyDescent="0.25">
      <c r="A973">
        <v>218218</v>
      </c>
      <c r="B973" t="s">
        <v>1013</v>
      </c>
      <c r="C973" t="str">
        <f>"9780521824712"</f>
        <v>9780521824712</v>
      </c>
      <c r="D973" t="str">
        <f>"9780511204449"</f>
        <v>9780511204449</v>
      </c>
      <c r="E973" t="s">
        <v>18</v>
      </c>
      <c r="F973" t="s">
        <v>18</v>
      </c>
      <c r="G973" s="1">
        <v>37861</v>
      </c>
      <c r="H973" s="1">
        <v>38369</v>
      </c>
      <c r="I973" t="s">
        <v>12</v>
      </c>
      <c r="J973" t="s">
        <v>11743</v>
      </c>
    </row>
    <row r="974" spans="1:10" x14ac:dyDescent="0.25">
      <c r="A974">
        <v>218229</v>
      </c>
      <c r="B974" t="s">
        <v>1014</v>
      </c>
      <c r="C974" t="str">
        <f>"9780521824323"</f>
        <v>9780521824323</v>
      </c>
      <c r="D974" t="str">
        <f>"9781139149037"</f>
        <v>9781139149037</v>
      </c>
      <c r="E974" t="s">
        <v>18</v>
      </c>
      <c r="F974" t="s">
        <v>18</v>
      </c>
      <c r="G974" s="1">
        <v>37700</v>
      </c>
      <c r="H974" s="1">
        <v>38384</v>
      </c>
      <c r="I974" t="s">
        <v>12</v>
      </c>
      <c r="J974" t="s">
        <v>11744</v>
      </c>
    </row>
    <row r="975" spans="1:10" x14ac:dyDescent="0.25">
      <c r="A975">
        <v>218284</v>
      </c>
      <c r="B975" t="s">
        <v>1015</v>
      </c>
      <c r="C975" t="str">
        <f>"9780521831260"</f>
        <v>9780521831260</v>
      </c>
      <c r="D975" t="str">
        <f>"9780511203176"</f>
        <v>9780511203176</v>
      </c>
      <c r="E975" t="s">
        <v>18</v>
      </c>
      <c r="F975" t="s">
        <v>18</v>
      </c>
      <c r="G975" s="1">
        <v>37907</v>
      </c>
      <c r="H975" s="1">
        <v>38369</v>
      </c>
      <c r="I975" t="s">
        <v>12</v>
      </c>
      <c r="J975" t="s">
        <v>11745</v>
      </c>
    </row>
    <row r="976" spans="1:10" x14ac:dyDescent="0.25">
      <c r="A976">
        <v>218294</v>
      </c>
      <c r="B976" t="s">
        <v>1016</v>
      </c>
      <c r="C976" t="str">
        <f>"9780521830195"</f>
        <v>9780521830195</v>
      </c>
      <c r="D976" t="str">
        <f>"9780511205903"</f>
        <v>9780511205903</v>
      </c>
      <c r="E976" t="s">
        <v>18</v>
      </c>
      <c r="F976" t="s">
        <v>18</v>
      </c>
      <c r="G976" s="1">
        <v>37938</v>
      </c>
      <c r="H976" s="1">
        <v>38369</v>
      </c>
      <c r="I976" t="s">
        <v>12</v>
      </c>
      <c r="J976" t="s">
        <v>11746</v>
      </c>
    </row>
    <row r="977" spans="1:10" x14ac:dyDescent="0.25">
      <c r="A977">
        <v>218297</v>
      </c>
      <c r="B977" t="s">
        <v>1017</v>
      </c>
      <c r="C977" t="str">
        <f>"9780521828482"</f>
        <v>9780521828482</v>
      </c>
      <c r="D977" t="str">
        <f>"9780511204647"</f>
        <v>9780511204647</v>
      </c>
      <c r="E977" t="s">
        <v>18</v>
      </c>
      <c r="F977" t="s">
        <v>18</v>
      </c>
      <c r="G977" s="1">
        <v>37945</v>
      </c>
      <c r="H977" s="1">
        <v>38369</v>
      </c>
      <c r="I977" t="s">
        <v>12</v>
      </c>
      <c r="J977" t="s">
        <v>11747</v>
      </c>
    </row>
    <row r="978" spans="1:10" x14ac:dyDescent="0.25">
      <c r="A978">
        <v>219903</v>
      </c>
      <c r="B978" t="s">
        <v>1018</v>
      </c>
      <c r="C978" t="str">
        <f>"9781876905156"</f>
        <v>9781876905156</v>
      </c>
      <c r="D978" t="str">
        <f>"9781843145165"</f>
        <v>9781843145165</v>
      </c>
      <c r="E978" t="s">
        <v>15</v>
      </c>
      <c r="F978" t="s">
        <v>1019</v>
      </c>
      <c r="G978" s="1">
        <v>37791</v>
      </c>
      <c r="H978" s="1">
        <v>38455</v>
      </c>
      <c r="I978" t="s">
        <v>12</v>
      </c>
      <c r="J978" t="s">
        <v>11748</v>
      </c>
    </row>
    <row r="979" spans="1:10" x14ac:dyDescent="0.25">
      <c r="A979">
        <v>219951</v>
      </c>
      <c r="B979" t="s">
        <v>1020</v>
      </c>
      <c r="C979" t="str">
        <f>"9781844720323"</f>
        <v>9781844720323</v>
      </c>
      <c r="D979" t="str">
        <f>"9780203945483"</f>
        <v>9780203945483</v>
      </c>
      <c r="E979" t="s">
        <v>15</v>
      </c>
      <c r="F979" t="s">
        <v>1019</v>
      </c>
      <c r="G979" s="1">
        <v>39136</v>
      </c>
      <c r="H979" s="1">
        <v>39170</v>
      </c>
      <c r="I979" t="s">
        <v>12</v>
      </c>
      <c r="J979" t="s">
        <v>11749</v>
      </c>
    </row>
    <row r="980" spans="1:10" x14ac:dyDescent="0.25">
      <c r="A980">
        <v>219971</v>
      </c>
      <c r="B980" t="s">
        <v>1021</v>
      </c>
      <c r="C980" t="str">
        <f>"9781859417836"</f>
        <v>9781859417836</v>
      </c>
      <c r="D980" t="str">
        <f>"9781843145103"</f>
        <v>9781843145103</v>
      </c>
      <c r="E980" t="s">
        <v>15</v>
      </c>
      <c r="F980" t="s">
        <v>1022</v>
      </c>
      <c r="G980" s="1">
        <v>37802</v>
      </c>
      <c r="H980" s="1">
        <v>38455</v>
      </c>
      <c r="I980" t="s">
        <v>12</v>
      </c>
      <c r="J980" t="s">
        <v>11750</v>
      </c>
    </row>
    <row r="981" spans="1:10" x14ac:dyDescent="0.25">
      <c r="A981">
        <v>219984</v>
      </c>
      <c r="B981" t="s">
        <v>1023</v>
      </c>
      <c r="C981" t="str">
        <f>"9781904385219"</f>
        <v>9781904385219</v>
      </c>
      <c r="D981" t="str">
        <f>"9780203945407"</f>
        <v>9780203945407</v>
      </c>
      <c r="E981" t="s">
        <v>15</v>
      </c>
      <c r="F981" t="s">
        <v>1019</v>
      </c>
      <c r="G981" s="1">
        <v>39070</v>
      </c>
      <c r="H981" s="1">
        <v>38169</v>
      </c>
      <c r="I981" t="s">
        <v>12</v>
      </c>
      <c r="J981" t="s">
        <v>11751</v>
      </c>
    </row>
    <row r="982" spans="1:10" x14ac:dyDescent="0.25">
      <c r="A982">
        <v>220159</v>
      </c>
      <c r="B982" t="s">
        <v>1024</v>
      </c>
      <c r="C982" t="str">
        <f>"9781859416655"</f>
        <v>9781859416655</v>
      </c>
      <c r="D982" t="str">
        <f>"9781843141730"</f>
        <v>9781843141730</v>
      </c>
      <c r="E982" t="s">
        <v>15</v>
      </c>
      <c r="F982" t="s">
        <v>1022</v>
      </c>
      <c r="G982" s="1">
        <v>41225</v>
      </c>
      <c r="H982" s="1">
        <v>38517</v>
      </c>
      <c r="I982" t="s">
        <v>12</v>
      </c>
      <c r="J982" t="s">
        <v>11752</v>
      </c>
    </row>
    <row r="983" spans="1:10" x14ac:dyDescent="0.25">
      <c r="A983">
        <v>220202</v>
      </c>
      <c r="B983" t="s">
        <v>1025</v>
      </c>
      <c r="C983" t="str">
        <f>"9781904385356"</f>
        <v>9781904385356</v>
      </c>
      <c r="D983" t="str">
        <f>"9780203945360"</f>
        <v>9780203945360</v>
      </c>
      <c r="E983" t="s">
        <v>15</v>
      </c>
      <c r="F983" t="s">
        <v>1019</v>
      </c>
      <c r="G983" s="1">
        <v>39041</v>
      </c>
      <c r="H983" s="1">
        <v>39171</v>
      </c>
      <c r="I983" t="s">
        <v>12</v>
      </c>
      <c r="J983" t="s">
        <v>11753</v>
      </c>
    </row>
    <row r="984" spans="1:10" x14ac:dyDescent="0.25">
      <c r="A984">
        <v>220205</v>
      </c>
      <c r="B984" t="s">
        <v>1026</v>
      </c>
      <c r="C984" t="str">
        <f>"9781859416181"</f>
        <v>9781859416181</v>
      </c>
      <c r="D984" t="str">
        <f>"9781843140795"</f>
        <v>9781843140795</v>
      </c>
      <c r="E984" t="s">
        <v>15</v>
      </c>
      <c r="F984" t="s">
        <v>1019</v>
      </c>
      <c r="G984" s="1">
        <v>37000</v>
      </c>
      <c r="H984" s="1">
        <v>38455</v>
      </c>
      <c r="I984" t="s">
        <v>12</v>
      </c>
      <c r="J984" t="s">
        <v>11754</v>
      </c>
    </row>
    <row r="985" spans="1:10" x14ac:dyDescent="0.25">
      <c r="A985">
        <v>220282</v>
      </c>
      <c r="B985" t="s">
        <v>1027</v>
      </c>
      <c r="C985" t="str">
        <f>"9781904385073"</f>
        <v>9781904385073</v>
      </c>
      <c r="D985" t="str">
        <f>"9781843145783"</f>
        <v>9781843145783</v>
      </c>
      <c r="E985" t="s">
        <v>15</v>
      </c>
      <c r="F985" t="s">
        <v>1019</v>
      </c>
      <c r="G985" s="1">
        <v>37909</v>
      </c>
      <c r="H985" s="1">
        <v>41166</v>
      </c>
      <c r="I985" t="s">
        <v>12</v>
      </c>
      <c r="J985" t="s">
        <v>11755</v>
      </c>
    </row>
    <row r="986" spans="1:10" x14ac:dyDescent="0.25">
      <c r="A986">
        <v>220297</v>
      </c>
      <c r="B986" t="s">
        <v>1028</v>
      </c>
      <c r="C986" t="str">
        <f>"9781859417720"</f>
        <v>9781859417720</v>
      </c>
      <c r="D986" t="str">
        <f>"9781843145820"</f>
        <v>9781843145820</v>
      </c>
      <c r="E986" t="s">
        <v>15</v>
      </c>
      <c r="F986" t="s">
        <v>1019</v>
      </c>
      <c r="G986" s="1">
        <v>37873</v>
      </c>
      <c r="H986" s="1">
        <v>38455</v>
      </c>
      <c r="I986" t="s">
        <v>12</v>
      </c>
      <c r="J986" t="s">
        <v>11756</v>
      </c>
    </row>
    <row r="987" spans="1:10" x14ac:dyDescent="0.25">
      <c r="A987">
        <v>220325</v>
      </c>
      <c r="B987" t="s">
        <v>1029</v>
      </c>
      <c r="C987" t="str">
        <f>"9781859416938"</f>
        <v>9781859416938</v>
      </c>
      <c r="D987" t="str">
        <f>"9781843144700"</f>
        <v>9781843144700</v>
      </c>
      <c r="E987" t="s">
        <v>15</v>
      </c>
      <c r="F987" t="s">
        <v>1019</v>
      </c>
      <c r="G987" s="1">
        <v>37421</v>
      </c>
      <c r="H987" s="1">
        <v>38455</v>
      </c>
      <c r="I987" t="s">
        <v>12</v>
      </c>
      <c r="J987" t="s">
        <v>11757</v>
      </c>
    </row>
    <row r="988" spans="1:10" x14ac:dyDescent="0.25">
      <c r="A988">
        <v>220433</v>
      </c>
      <c r="B988" t="s">
        <v>1030</v>
      </c>
      <c r="C988" t="str">
        <f>"9780521845120"</f>
        <v>9780521845120</v>
      </c>
      <c r="D988" t="str">
        <f>"9780511196607"</f>
        <v>9780511196607</v>
      </c>
      <c r="E988" t="s">
        <v>18</v>
      </c>
      <c r="F988" t="s">
        <v>18</v>
      </c>
      <c r="G988" s="1">
        <v>38386</v>
      </c>
      <c r="H988" s="1">
        <v>38486</v>
      </c>
      <c r="I988" t="s">
        <v>12</v>
      </c>
      <c r="J988" t="s">
        <v>11758</v>
      </c>
    </row>
    <row r="989" spans="1:10" x14ac:dyDescent="0.25">
      <c r="A989">
        <v>220434</v>
      </c>
      <c r="B989" t="s">
        <v>1031</v>
      </c>
      <c r="C989" t="str">
        <f>"9780521843096"</f>
        <v>9780521843096</v>
      </c>
      <c r="D989" t="str">
        <f>"9780511206528"</f>
        <v>9780511206528</v>
      </c>
      <c r="E989" t="s">
        <v>18</v>
      </c>
      <c r="F989" t="s">
        <v>18</v>
      </c>
      <c r="G989" s="1">
        <v>38369</v>
      </c>
      <c r="H989" s="1">
        <v>38384</v>
      </c>
      <c r="I989" t="s">
        <v>12</v>
      </c>
      <c r="J989" t="s">
        <v>11759</v>
      </c>
    </row>
    <row r="990" spans="1:10" x14ac:dyDescent="0.25">
      <c r="A990">
        <v>220450</v>
      </c>
      <c r="B990" t="s">
        <v>1032</v>
      </c>
      <c r="C990" t="str">
        <f>"9780521839860"</f>
        <v>9780521839860</v>
      </c>
      <c r="D990" t="str">
        <f>"9780511206498"</f>
        <v>9780511206498</v>
      </c>
      <c r="E990" t="s">
        <v>18</v>
      </c>
      <c r="F990" t="s">
        <v>18</v>
      </c>
      <c r="G990" s="1">
        <v>38313</v>
      </c>
      <c r="H990" s="1">
        <v>38384</v>
      </c>
      <c r="I990" t="s">
        <v>12</v>
      </c>
      <c r="J990" t="s">
        <v>11760</v>
      </c>
    </row>
    <row r="991" spans="1:10" x14ac:dyDescent="0.25">
      <c r="A991">
        <v>220455</v>
      </c>
      <c r="B991" t="s">
        <v>1033</v>
      </c>
      <c r="C991" t="str">
        <f>"9780521834315"</f>
        <v>9780521834315</v>
      </c>
      <c r="D991" t="str">
        <f>"9780511206443"</f>
        <v>9780511206443</v>
      </c>
      <c r="E991" t="s">
        <v>18</v>
      </c>
      <c r="F991" t="s">
        <v>18</v>
      </c>
      <c r="G991" s="1">
        <v>38341</v>
      </c>
      <c r="H991" s="1">
        <v>38384</v>
      </c>
      <c r="I991" t="s">
        <v>12</v>
      </c>
      <c r="J991" t="s">
        <v>11761</v>
      </c>
    </row>
    <row r="992" spans="1:10" x14ac:dyDescent="0.25">
      <c r="A992">
        <v>221120</v>
      </c>
      <c r="B992" t="s">
        <v>1034</v>
      </c>
      <c r="C992" t="str">
        <f>"9780521481335"</f>
        <v>9780521481335</v>
      </c>
      <c r="D992" t="str">
        <f>"9780511202797"</f>
        <v>9780511202797</v>
      </c>
      <c r="E992" t="s">
        <v>18</v>
      </c>
      <c r="F992" t="s">
        <v>18</v>
      </c>
      <c r="G992" s="1">
        <v>37630</v>
      </c>
      <c r="H992" s="1">
        <v>38387</v>
      </c>
      <c r="I992" t="s">
        <v>12</v>
      </c>
      <c r="J992" t="s">
        <v>11762</v>
      </c>
    </row>
    <row r="993" spans="1:10" x14ac:dyDescent="0.25">
      <c r="A993">
        <v>221167</v>
      </c>
      <c r="B993" t="s">
        <v>1035</v>
      </c>
      <c r="C993" t="str">
        <f>"9780521824736"</f>
        <v>9780521824736</v>
      </c>
      <c r="D993" t="str">
        <f>"9780511204012"</f>
        <v>9780511204012</v>
      </c>
      <c r="E993" t="s">
        <v>18</v>
      </c>
      <c r="F993" t="s">
        <v>18</v>
      </c>
      <c r="G993" s="1">
        <v>37889</v>
      </c>
      <c r="H993" s="1">
        <v>38387</v>
      </c>
      <c r="I993" t="s">
        <v>12</v>
      </c>
      <c r="J993" t="s">
        <v>11763</v>
      </c>
    </row>
    <row r="994" spans="1:10" x14ac:dyDescent="0.25">
      <c r="A994">
        <v>221191</v>
      </c>
      <c r="B994" t="s">
        <v>1036</v>
      </c>
      <c r="C994" t="str">
        <f>"9780521816847"</f>
        <v>9780521816847</v>
      </c>
      <c r="D994" t="str">
        <f>"9780511203732"</f>
        <v>9780511203732</v>
      </c>
      <c r="E994" t="s">
        <v>18</v>
      </c>
      <c r="F994" t="s">
        <v>18</v>
      </c>
      <c r="G994" s="1">
        <v>37588</v>
      </c>
      <c r="H994" s="1">
        <v>38387</v>
      </c>
      <c r="I994" t="s">
        <v>12</v>
      </c>
      <c r="J994" t="s">
        <v>11764</v>
      </c>
    </row>
    <row r="995" spans="1:10" x14ac:dyDescent="0.25">
      <c r="A995">
        <v>221205</v>
      </c>
      <c r="B995" t="s">
        <v>1037</v>
      </c>
      <c r="C995" t="str">
        <f>"9780521823470"</f>
        <v>9780521823470</v>
      </c>
      <c r="D995" t="str">
        <f>"9780511203053"</f>
        <v>9780511203053</v>
      </c>
      <c r="E995" t="s">
        <v>18</v>
      </c>
      <c r="F995" t="s">
        <v>18</v>
      </c>
      <c r="G995" s="1">
        <v>37830</v>
      </c>
      <c r="H995" s="1">
        <v>38597</v>
      </c>
      <c r="I995" t="s">
        <v>12</v>
      </c>
      <c r="J995" t="s">
        <v>11765</v>
      </c>
    </row>
    <row r="996" spans="1:10" x14ac:dyDescent="0.25">
      <c r="A996">
        <v>221372</v>
      </c>
      <c r="B996" t="s">
        <v>1038</v>
      </c>
      <c r="C996" t="str">
        <f>"9781840242447"</f>
        <v>9781840242447</v>
      </c>
      <c r="D996" t="str">
        <f>"9781840249361"</f>
        <v>9781840249361</v>
      </c>
      <c r="E996" t="s">
        <v>626</v>
      </c>
      <c r="F996" t="s">
        <v>1039</v>
      </c>
      <c r="G996" s="1">
        <v>38261</v>
      </c>
      <c r="H996" s="1">
        <v>38987</v>
      </c>
      <c r="I996" t="s">
        <v>12</v>
      </c>
      <c r="J996" t="s">
        <v>11766</v>
      </c>
    </row>
    <row r="997" spans="1:10" x14ac:dyDescent="0.25">
      <c r="A997">
        <v>222488</v>
      </c>
      <c r="B997" t="s">
        <v>1040</v>
      </c>
      <c r="C997" t="str">
        <f>"9781840244304"</f>
        <v>9781840244304</v>
      </c>
      <c r="D997" t="str">
        <f>"9781840249224"</f>
        <v>9781840249224</v>
      </c>
      <c r="E997" t="s">
        <v>626</v>
      </c>
      <c r="F997" t="s">
        <v>627</v>
      </c>
      <c r="G997" s="1">
        <v>38018</v>
      </c>
      <c r="H997" s="1">
        <v>38987</v>
      </c>
      <c r="I997" t="s">
        <v>12</v>
      </c>
      <c r="J997" t="s">
        <v>11767</v>
      </c>
    </row>
    <row r="998" spans="1:10" x14ac:dyDescent="0.25">
      <c r="A998">
        <v>225292</v>
      </c>
      <c r="B998" t="s">
        <v>1041</v>
      </c>
      <c r="C998" t="str">
        <f>"9789812389190"</f>
        <v>9789812389190</v>
      </c>
      <c r="D998" t="str">
        <f>"9789812562302"</f>
        <v>9789812562302</v>
      </c>
      <c r="E998" t="s">
        <v>1042</v>
      </c>
      <c r="F998" t="s">
        <v>1043</v>
      </c>
      <c r="G998" s="1">
        <v>38139</v>
      </c>
      <c r="H998" s="1">
        <v>39092</v>
      </c>
      <c r="I998" t="s">
        <v>12</v>
      </c>
      <c r="J998" t="s">
        <v>11768</v>
      </c>
    </row>
    <row r="999" spans="1:10" x14ac:dyDescent="0.25">
      <c r="A999">
        <v>225296</v>
      </c>
      <c r="B999" t="s">
        <v>1044</v>
      </c>
      <c r="C999" t="str">
        <f>"9789812561138"</f>
        <v>9789812561138</v>
      </c>
      <c r="D999" t="str">
        <f>"9789812562210"</f>
        <v>9789812562210</v>
      </c>
      <c r="E999" t="s">
        <v>1042</v>
      </c>
      <c r="F999" t="s">
        <v>1043</v>
      </c>
      <c r="G999" s="1">
        <v>38278</v>
      </c>
      <c r="H999" s="1">
        <v>38458</v>
      </c>
      <c r="I999" t="s">
        <v>12</v>
      </c>
      <c r="J999" t="s">
        <v>11769</v>
      </c>
    </row>
    <row r="1000" spans="1:10" x14ac:dyDescent="0.25">
      <c r="A1000">
        <v>225368</v>
      </c>
      <c r="B1000" t="s">
        <v>1045</v>
      </c>
      <c r="C1000" t="str">
        <f>"9780521845250"</f>
        <v>9780521845250</v>
      </c>
      <c r="D1000" t="str">
        <f>"9780511196904"</f>
        <v>9780511196904</v>
      </c>
      <c r="E1000" t="s">
        <v>18</v>
      </c>
      <c r="F1000" t="s">
        <v>18</v>
      </c>
      <c r="G1000" s="1">
        <v>38376</v>
      </c>
      <c r="H1000" s="1">
        <v>38486</v>
      </c>
      <c r="I1000" t="s">
        <v>12</v>
      </c>
      <c r="J1000" t="s">
        <v>11770</v>
      </c>
    </row>
    <row r="1001" spans="1:10" x14ac:dyDescent="0.25">
      <c r="A1001">
        <v>225371</v>
      </c>
      <c r="B1001" t="s">
        <v>1046</v>
      </c>
      <c r="C1001" t="str">
        <f>"9780521837149"</f>
        <v>9780521837149</v>
      </c>
      <c r="D1001" t="str">
        <f>"9780511196867"</f>
        <v>9780511196867</v>
      </c>
      <c r="E1001" t="s">
        <v>18</v>
      </c>
      <c r="F1001" t="s">
        <v>18</v>
      </c>
      <c r="G1001" s="1">
        <v>38400</v>
      </c>
      <c r="H1001" s="1">
        <v>38486</v>
      </c>
      <c r="I1001" t="s">
        <v>12</v>
      </c>
      <c r="J1001" t="s">
        <v>11771</v>
      </c>
    </row>
    <row r="1002" spans="1:10" x14ac:dyDescent="0.25">
      <c r="A1002">
        <v>225379</v>
      </c>
      <c r="B1002" t="s">
        <v>1047</v>
      </c>
      <c r="C1002" t="str">
        <f>"9780521836777"</f>
        <v>9780521836777</v>
      </c>
      <c r="D1002" t="str">
        <f>"9780511196850"</f>
        <v>9780511196850</v>
      </c>
      <c r="E1002" t="s">
        <v>18</v>
      </c>
      <c r="F1002" t="s">
        <v>18</v>
      </c>
      <c r="G1002" s="1">
        <v>38322</v>
      </c>
      <c r="H1002" s="1">
        <v>38486</v>
      </c>
      <c r="I1002" t="s">
        <v>12</v>
      </c>
      <c r="J1002" t="s">
        <v>11772</v>
      </c>
    </row>
    <row r="1003" spans="1:10" x14ac:dyDescent="0.25">
      <c r="A1003">
        <v>225389</v>
      </c>
      <c r="B1003" t="s">
        <v>1048</v>
      </c>
      <c r="C1003" t="str">
        <f>"9780521828925"</f>
        <v>9780521828925</v>
      </c>
      <c r="D1003" t="str">
        <f>"9780511197000"</f>
        <v>9780511197000</v>
      </c>
      <c r="E1003" t="s">
        <v>18</v>
      </c>
      <c r="F1003" t="s">
        <v>18</v>
      </c>
      <c r="G1003" s="1">
        <v>38355</v>
      </c>
      <c r="H1003" s="1">
        <v>38486</v>
      </c>
      <c r="I1003" t="s">
        <v>12</v>
      </c>
      <c r="J1003" t="s">
        <v>11773</v>
      </c>
    </row>
    <row r="1004" spans="1:10" x14ac:dyDescent="0.25">
      <c r="A1004">
        <v>225390</v>
      </c>
      <c r="B1004" t="s">
        <v>1049</v>
      </c>
      <c r="C1004" t="str">
        <f>"9780521828178"</f>
        <v>9780521828178</v>
      </c>
      <c r="D1004" t="str">
        <f>"9780511196942"</f>
        <v>9780511196942</v>
      </c>
      <c r="E1004" t="s">
        <v>18</v>
      </c>
      <c r="F1004" t="s">
        <v>18</v>
      </c>
      <c r="G1004" s="1">
        <v>38322</v>
      </c>
      <c r="H1004" s="1">
        <v>38486</v>
      </c>
      <c r="I1004" t="s">
        <v>12</v>
      </c>
      <c r="J1004" t="s">
        <v>11774</v>
      </c>
    </row>
    <row r="1005" spans="1:10" x14ac:dyDescent="0.25">
      <c r="A1005">
        <v>225695</v>
      </c>
      <c r="B1005" t="s">
        <v>1050</v>
      </c>
      <c r="C1005" t="str">
        <f>"9781930841734"</f>
        <v>9781930841734</v>
      </c>
      <c r="D1005" t="str">
        <f>"9780977145539"</f>
        <v>9780977145539</v>
      </c>
      <c r="E1005" t="s">
        <v>1051</v>
      </c>
      <c r="F1005" t="s">
        <v>1052</v>
      </c>
      <c r="G1005" s="1">
        <v>38169</v>
      </c>
      <c r="H1005" s="1">
        <v>38554</v>
      </c>
      <c r="I1005" t="s">
        <v>12</v>
      </c>
      <c r="J1005" t="s">
        <v>11775</v>
      </c>
    </row>
    <row r="1006" spans="1:10" x14ac:dyDescent="0.25">
      <c r="A1006">
        <v>225706</v>
      </c>
      <c r="B1006" t="s">
        <v>1053</v>
      </c>
      <c r="C1006" t="str">
        <f>"9781930841383"</f>
        <v>9781930841383</v>
      </c>
      <c r="D1006" t="str">
        <f>"9780977132065"</f>
        <v>9780977132065</v>
      </c>
      <c r="E1006" t="s">
        <v>1051</v>
      </c>
      <c r="F1006" t="s">
        <v>1052</v>
      </c>
      <c r="G1006" s="1">
        <v>37438</v>
      </c>
      <c r="H1006" s="1">
        <v>38735</v>
      </c>
      <c r="I1006" t="s">
        <v>12</v>
      </c>
      <c r="J1006" t="s">
        <v>11776</v>
      </c>
    </row>
    <row r="1007" spans="1:10" x14ac:dyDescent="0.25">
      <c r="A1007">
        <v>227074</v>
      </c>
      <c r="B1007" t="s">
        <v>1054</v>
      </c>
      <c r="C1007" t="str">
        <f>"9781591405559"</f>
        <v>9781591405559</v>
      </c>
      <c r="D1007" t="str">
        <f>"9781591405542"</f>
        <v>9781591405542</v>
      </c>
      <c r="E1007" t="s">
        <v>623</v>
      </c>
      <c r="F1007" t="s">
        <v>624</v>
      </c>
      <c r="G1007" s="1">
        <v>38472</v>
      </c>
      <c r="H1007" s="1">
        <v>38515</v>
      </c>
      <c r="I1007" t="s">
        <v>12</v>
      </c>
      <c r="J1007" t="s">
        <v>11777</v>
      </c>
    </row>
    <row r="1008" spans="1:10" x14ac:dyDescent="0.25">
      <c r="A1008">
        <v>227142</v>
      </c>
      <c r="B1008" t="s">
        <v>1055</v>
      </c>
      <c r="C1008" t="str">
        <f>"9789812388278"</f>
        <v>9789812388278</v>
      </c>
      <c r="D1008" t="str">
        <f>"9789812562432"</f>
        <v>9789812562432</v>
      </c>
      <c r="E1008" t="s">
        <v>1056</v>
      </c>
      <c r="F1008" t="s">
        <v>1056</v>
      </c>
      <c r="G1008" s="1">
        <v>38322</v>
      </c>
      <c r="H1008" s="1">
        <v>38459</v>
      </c>
      <c r="I1008" t="s">
        <v>12</v>
      </c>
      <c r="J1008" t="s">
        <v>11778</v>
      </c>
    </row>
    <row r="1009" spans="1:10" x14ac:dyDescent="0.25">
      <c r="A1009">
        <v>227144</v>
      </c>
      <c r="B1009" t="s">
        <v>1057</v>
      </c>
      <c r="C1009" t="str">
        <f>"9789812560148"</f>
        <v>9789812560148</v>
      </c>
      <c r="D1009" t="str">
        <f>"9789812562241"</f>
        <v>9789812562241</v>
      </c>
      <c r="E1009" t="s">
        <v>1042</v>
      </c>
      <c r="F1009" t="s">
        <v>1043</v>
      </c>
      <c r="G1009" s="1">
        <v>38229</v>
      </c>
      <c r="H1009" s="1">
        <v>38571</v>
      </c>
      <c r="I1009" t="s">
        <v>12</v>
      </c>
      <c r="J1009" t="s">
        <v>11779</v>
      </c>
    </row>
    <row r="1010" spans="1:10" x14ac:dyDescent="0.25">
      <c r="A1010">
        <v>227350</v>
      </c>
      <c r="B1010" t="s">
        <v>1058</v>
      </c>
      <c r="C1010" t="str">
        <f>"9780749440947"</f>
        <v>9780749440947</v>
      </c>
      <c r="D1010" t="str">
        <f>"9780749447199"</f>
        <v>9780749447199</v>
      </c>
      <c r="E1010" t="s">
        <v>1059</v>
      </c>
      <c r="F1010" t="s">
        <v>1059</v>
      </c>
      <c r="G1010" s="1">
        <v>37987</v>
      </c>
      <c r="H1010" s="1">
        <v>38472</v>
      </c>
      <c r="I1010" t="s">
        <v>12</v>
      </c>
      <c r="J1010" t="s">
        <v>11780</v>
      </c>
    </row>
    <row r="1011" spans="1:10" x14ac:dyDescent="0.25">
      <c r="A1011">
        <v>227571</v>
      </c>
      <c r="B1011" t="s">
        <v>1060</v>
      </c>
      <c r="C1011" t="str">
        <f>"9781591405122"</f>
        <v>9781591405122</v>
      </c>
      <c r="D1011" t="str">
        <f>"9781591405146"</f>
        <v>9781591405146</v>
      </c>
      <c r="E1011" t="s">
        <v>623</v>
      </c>
      <c r="F1011" t="s">
        <v>624</v>
      </c>
      <c r="G1011" s="1">
        <v>38353</v>
      </c>
      <c r="H1011" s="1">
        <v>38515</v>
      </c>
      <c r="I1011" t="s">
        <v>12</v>
      </c>
      <c r="J1011" t="s">
        <v>11781</v>
      </c>
    </row>
    <row r="1012" spans="1:10" x14ac:dyDescent="0.25">
      <c r="A1012">
        <v>227572</v>
      </c>
      <c r="B1012" t="s">
        <v>1061</v>
      </c>
      <c r="C1012" t="str">
        <f>"9781591405184"</f>
        <v>9781591405184</v>
      </c>
      <c r="D1012" t="str">
        <f>"9781591405207"</f>
        <v>9781591405207</v>
      </c>
      <c r="E1012" t="s">
        <v>623</v>
      </c>
      <c r="F1012" t="s">
        <v>624</v>
      </c>
      <c r="G1012" s="1">
        <v>38442</v>
      </c>
      <c r="H1012" s="1">
        <v>38472</v>
      </c>
      <c r="I1012" t="s">
        <v>12</v>
      </c>
      <c r="J1012" t="s">
        <v>11782</v>
      </c>
    </row>
    <row r="1013" spans="1:10" x14ac:dyDescent="0.25">
      <c r="A1013">
        <v>227824</v>
      </c>
      <c r="B1013" t="s">
        <v>1062</v>
      </c>
      <c r="C1013" t="str">
        <f>"9780833036520"</f>
        <v>9780833036520</v>
      </c>
      <c r="D1013" t="str">
        <f>"9780833040602"</f>
        <v>9780833040602</v>
      </c>
      <c r="E1013" t="s">
        <v>1063</v>
      </c>
      <c r="F1013" t="s">
        <v>1064</v>
      </c>
      <c r="G1013" s="1">
        <v>34871</v>
      </c>
      <c r="H1013" s="1">
        <v>38542</v>
      </c>
      <c r="I1013" t="s">
        <v>12</v>
      </c>
      <c r="J1013" t="s">
        <v>11783</v>
      </c>
    </row>
    <row r="1014" spans="1:10" x14ac:dyDescent="0.25">
      <c r="A1014">
        <v>228243</v>
      </c>
      <c r="B1014" t="s">
        <v>1065</v>
      </c>
      <c r="C1014" t="str">
        <f>"9780521845656"</f>
        <v>9780521845656</v>
      </c>
      <c r="D1014" t="str">
        <f>"9780511197512"</f>
        <v>9780511197512</v>
      </c>
      <c r="E1014" t="s">
        <v>18</v>
      </c>
      <c r="F1014" t="s">
        <v>18</v>
      </c>
      <c r="G1014" s="1">
        <v>38390</v>
      </c>
      <c r="H1014" s="1">
        <v>38486</v>
      </c>
      <c r="I1014" t="s">
        <v>12</v>
      </c>
      <c r="J1014" t="s">
        <v>11784</v>
      </c>
    </row>
    <row r="1015" spans="1:10" x14ac:dyDescent="0.25">
      <c r="A1015">
        <v>228246</v>
      </c>
      <c r="B1015" t="s">
        <v>1066</v>
      </c>
      <c r="C1015" t="str">
        <f>"9780521831208"</f>
        <v>9780521831208</v>
      </c>
      <c r="D1015" t="str">
        <f>"9780511197291"</f>
        <v>9780511197291</v>
      </c>
      <c r="E1015" t="s">
        <v>18</v>
      </c>
      <c r="F1015" t="s">
        <v>18</v>
      </c>
      <c r="G1015" s="1">
        <v>38400</v>
      </c>
      <c r="H1015" s="1">
        <v>38486</v>
      </c>
      <c r="I1015" t="s">
        <v>12</v>
      </c>
      <c r="J1015" t="s">
        <v>11785</v>
      </c>
    </row>
    <row r="1016" spans="1:10" x14ac:dyDescent="0.25">
      <c r="A1016">
        <v>228251</v>
      </c>
      <c r="B1016" t="s">
        <v>1067</v>
      </c>
      <c r="C1016" t="str">
        <f>"9780521790208"</f>
        <v>9780521790208</v>
      </c>
      <c r="D1016" t="str">
        <f>"9780511196294"</f>
        <v>9780511196294</v>
      </c>
      <c r="E1016" t="s">
        <v>18</v>
      </c>
      <c r="F1016" t="s">
        <v>18</v>
      </c>
      <c r="G1016" s="1">
        <v>38449</v>
      </c>
      <c r="H1016" s="1">
        <v>38547</v>
      </c>
      <c r="I1016" t="s">
        <v>12</v>
      </c>
      <c r="J1016" t="s">
        <v>11786</v>
      </c>
    </row>
    <row r="1017" spans="1:10" x14ac:dyDescent="0.25">
      <c r="A1017">
        <v>228254</v>
      </c>
      <c r="B1017" t="s">
        <v>1068</v>
      </c>
      <c r="C1017" t="str">
        <f>"9780521651455"</f>
        <v>9780521651455</v>
      </c>
      <c r="D1017" t="str">
        <f>"9780511196201"</f>
        <v>9780511196201</v>
      </c>
      <c r="E1017" t="s">
        <v>18</v>
      </c>
      <c r="F1017" t="s">
        <v>18</v>
      </c>
      <c r="G1017" s="1">
        <v>38384</v>
      </c>
      <c r="H1017" s="1">
        <v>38486</v>
      </c>
      <c r="I1017" t="s">
        <v>12</v>
      </c>
      <c r="J1017" t="s">
        <v>11787</v>
      </c>
    </row>
    <row r="1018" spans="1:10" x14ac:dyDescent="0.25">
      <c r="A1018">
        <v>228256</v>
      </c>
      <c r="B1018" t="s">
        <v>1069</v>
      </c>
      <c r="C1018" t="str">
        <f>"9780521772020"</f>
        <v>9780521772020</v>
      </c>
      <c r="D1018" t="str">
        <f>"9780511197208"</f>
        <v>9780511197208</v>
      </c>
      <c r="E1018" t="s">
        <v>18</v>
      </c>
      <c r="F1018" t="s">
        <v>18</v>
      </c>
      <c r="G1018" s="1">
        <v>38362</v>
      </c>
      <c r="H1018" s="1">
        <v>38486</v>
      </c>
      <c r="I1018" t="s">
        <v>12</v>
      </c>
      <c r="J1018" t="s">
        <v>11788</v>
      </c>
    </row>
    <row r="1019" spans="1:10" x14ac:dyDescent="0.25">
      <c r="A1019">
        <v>228257</v>
      </c>
      <c r="B1019" t="s">
        <v>1070</v>
      </c>
      <c r="C1019" t="str">
        <f>"9780521844475"</f>
        <v>9780521844475</v>
      </c>
      <c r="D1019" t="str">
        <f>"9780511197499"</f>
        <v>9780511197499</v>
      </c>
      <c r="E1019" t="s">
        <v>18</v>
      </c>
      <c r="F1019" t="s">
        <v>18</v>
      </c>
      <c r="G1019" s="1">
        <v>38390</v>
      </c>
      <c r="H1019" s="1">
        <v>38486</v>
      </c>
      <c r="I1019" t="s">
        <v>12</v>
      </c>
      <c r="J1019" t="s">
        <v>11789</v>
      </c>
    </row>
    <row r="1020" spans="1:10" x14ac:dyDescent="0.25">
      <c r="A1020">
        <v>228269</v>
      </c>
      <c r="B1020" t="s">
        <v>1071</v>
      </c>
      <c r="C1020" t="str">
        <f>"9780521826860"</f>
        <v>9780521826860</v>
      </c>
      <c r="D1020" t="str">
        <f>"9780511196652"</f>
        <v>9780511196652</v>
      </c>
      <c r="E1020" t="s">
        <v>18</v>
      </c>
      <c r="F1020" t="s">
        <v>18</v>
      </c>
      <c r="G1020" s="1">
        <v>38379</v>
      </c>
      <c r="H1020" s="1">
        <v>38486</v>
      </c>
      <c r="I1020" t="s">
        <v>12</v>
      </c>
      <c r="J1020" t="s">
        <v>11790</v>
      </c>
    </row>
    <row r="1021" spans="1:10" x14ac:dyDescent="0.25">
      <c r="A1021">
        <v>228271</v>
      </c>
      <c r="B1021" t="s">
        <v>1072</v>
      </c>
      <c r="C1021" t="str">
        <f>"9780521836791"</f>
        <v>9780521836791</v>
      </c>
      <c r="D1021" t="str">
        <f>"9780511196782"</f>
        <v>9780511196782</v>
      </c>
      <c r="E1021" t="s">
        <v>18</v>
      </c>
      <c r="F1021" t="s">
        <v>18</v>
      </c>
      <c r="G1021" s="1">
        <v>38334</v>
      </c>
      <c r="H1021" s="1">
        <v>38486</v>
      </c>
      <c r="I1021" t="s">
        <v>12</v>
      </c>
      <c r="J1021" t="s">
        <v>11791</v>
      </c>
    </row>
    <row r="1022" spans="1:10" x14ac:dyDescent="0.25">
      <c r="A1022">
        <v>228280</v>
      </c>
      <c r="B1022" t="s">
        <v>1073</v>
      </c>
      <c r="C1022" t="str">
        <f>"9780521592406"</f>
        <v>9780521592406</v>
      </c>
      <c r="D1022" t="str">
        <f>"9780511197192"</f>
        <v>9780511197192</v>
      </c>
      <c r="E1022" t="s">
        <v>18</v>
      </c>
      <c r="F1022" t="s">
        <v>18</v>
      </c>
      <c r="G1022" s="1">
        <v>38383</v>
      </c>
      <c r="H1022" s="1">
        <v>38486</v>
      </c>
      <c r="I1022" t="s">
        <v>12</v>
      </c>
      <c r="J1022" t="s">
        <v>11792</v>
      </c>
    </row>
    <row r="1023" spans="1:10" x14ac:dyDescent="0.25">
      <c r="A1023">
        <v>228285</v>
      </c>
      <c r="B1023" t="s">
        <v>1074</v>
      </c>
      <c r="C1023" t="str">
        <f>"9780521832823"</f>
        <v>9780521832823</v>
      </c>
      <c r="D1023" t="str">
        <f>"9780511197062"</f>
        <v>9780511197062</v>
      </c>
      <c r="E1023" t="s">
        <v>18</v>
      </c>
      <c r="F1023" t="s">
        <v>18</v>
      </c>
      <c r="G1023" s="1">
        <v>38400</v>
      </c>
      <c r="H1023" s="1">
        <v>38486</v>
      </c>
      <c r="I1023" t="s">
        <v>12</v>
      </c>
      <c r="J1023" t="s">
        <v>11793</v>
      </c>
    </row>
    <row r="1024" spans="1:10" x14ac:dyDescent="0.25">
      <c r="A1024">
        <v>228301</v>
      </c>
      <c r="B1024" t="s">
        <v>1075</v>
      </c>
      <c r="C1024" t="str">
        <f>"9780521792288"</f>
        <v>9780521792288</v>
      </c>
      <c r="D1024" t="str">
        <f>"9780511197826"</f>
        <v>9780511197826</v>
      </c>
      <c r="E1024" t="s">
        <v>18</v>
      </c>
      <c r="F1024" t="s">
        <v>18</v>
      </c>
      <c r="G1024" s="1">
        <v>38449</v>
      </c>
      <c r="H1024" s="1">
        <v>38486</v>
      </c>
      <c r="I1024" t="s">
        <v>12</v>
      </c>
      <c r="J1024" t="s">
        <v>11794</v>
      </c>
    </row>
    <row r="1025" spans="1:10" x14ac:dyDescent="0.25">
      <c r="A1025">
        <v>228306</v>
      </c>
      <c r="B1025" t="s">
        <v>1076</v>
      </c>
      <c r="C1025" t="str">
        <f>"9780521850445"</f>
        <v>9780521850445</v>
      </c>
      <c r="D1025" t="str">
        <f>"9780511197758"</f>
        <v>9780511197758</v>
      </c>
      <c r="E1025" t="s">
        <v>18</v>
      </c>
      <c r="F1025" t="s">
        <v>18</v>
      </c>
      <c r="G1025" s="1">
        <v>38449</v>
      </c>
      <c r="H1025" s="1">
        <v>38486</v>
      </c>
      <c r="I1025" t="s">
        <v>12</v>
      </c>
      <c r="J1025" t="s">
        <v>11795</v>
      </c>
    </row>
    <row r="1026" spans="1:10" x14ac:dyDescent="0.25">
      <c r="A1026">
        <v>228308</v>
      </c>
      <c r="B1026" t="s">
        <v>1077</v>
      </c>
      <c r="C1026" t="str">
        <f>"9780521837569"</f>
        <v>9780521837569</v>
      </c>
      <c r="D1026" t="str">
        <f>"9780511197925"</f>
        <v>9780511197925</v>
      </c>
      <c r="E1026" t="s">
        <v>18</v>
      </c>
      <c r="F1026" t="s">
        <v>18</v>
      </c>
      <c r="G1026" s="1">
        <v>38435</v>
      </c>
      <c r="H1026" s="1">
        <v>38486</v>
      </c>
      <c r="I1026" t="s">
        <v>12</v>
      </c>
      <c r="J1026" t="s">
        <v>11796</v>
      </c>
    </row>
    <row r="1027" spans="1:10" x14ac:dyDescent="0.25">
      <c r="A1027">
        <v>228310</v>
      </c>
      <c r="B1027" t="s">
        <v>1078</v>
      </c>
      <c r="C1027" t="str">
        <f>"9780521848237"</f>
        <v>9780521848237</v>
      </c>
      <c r="D1027" t="str">
        <f>"9780511197703"</f>
        <v>9780511197703</v>
      </c>
      <c r="E1027" t="s">
        <v>18</v>
      </c>
      <c r="F1027" t="s">
        <v>18</v>
      </c>
      <c r="G1027" s="1">
        <v>38442</v>
      </c>
      <c r="H1027" s="1">
        <v>38486</v>
      </c>
      <c r="I1027" t="s">
        <v>12</v>
      </c>
      <c r="J1027" t="s">
        <v>11797</v>
      </c>
    </row>
    <row r="1028" spans="1:10" x14ac:dyDescent="0.25">
      <c r="A1028">
        <v>228359</v>
      </c>
      <c r="B1028" t="s">
        <v>1079</v>
      </c>
      <c r="C1028" t="str">
        <f>"9780814472828"</f>
        <v>9780814472828</v>
      </c>
      <c r="D1028" t="str">
        <f>"9780814428702"</f>
        <v>9780814428702</v>
      </c>
      <c r="E1028" t="s">
        <v>1080</v>
      </c>
      <c r="F1028" t="s">
        <v>1080</v>
      </c>
      <c r="G1028" s="1">
        <v>38513</v>
      </c>
      <c r="H1028" s="1">
        <v>38736</v>
      </c>
      <c r="I1028" t="s">
        <v>12</v>
      </c>
      <c r="J1028" t="s">
        <v>11798</v>
      </c>
    </row>
    <row r="1029" spans="1:10" x14ac:dyDescent="0.25">
      <c r="A1029">
        <v>228369</v>
      </c>
      <c r="B1029" t="s">
        <v>1081</v>
      </c>
      <c r="C1029" t="str">
        <f>"9780814408346"</f>
        <v>9780814408346</v>
      </c>
      <c r="D1029" t="str">
        <f>"9780814428696"</f>
        <v>9780814428696</v>
      </c>
      <c r="E1029" t="s">
        <v>1080</v>
      </c>
      <c r="F1029" t="s">
        <v>1080</v>
      </c>
      <c r="G1029" s="1">
        <v>38456</v>
      </c>
      <c r="H1029" s="1">
        <v>38547</v>
      </c>
      <c r="I1029" t="s">
        <v>12</v>
      </c>
      <c r="J1029" t="s">
        <v>11799</v>
      </c>
    </row>
    <row r="1030" spans="1:10" x14ac:dyDescent="0.25">
      <c r="A1030">
        <v>228373</v>
      </c>
      <c r="B1030" t="s">
        <v>1082</v>
      </c>
      <c r="C1030" t="str">
        <f>"9780814408599"</f>
        <v>9780814408599</v>
      </c>
      <c r="D1030" t="str">
        <f>"9780814428788"</f>
        <v>9780814428788</v>
      </c>
      <c r="E1030" t="s">
        <v>1080</v>
      </c>
      <c r="F1030" t="s">
        <v>1080</v>
      </c>
      <c r="G1030" s="1">
        <v>38436</v>
      </c>
      <c r="H1030" s="1">
        <v>38547</v>
      </c>
      <c r="I1030" t="s">
        <v>12</v>
      </c>
      <c r="J1030" t="s">
        <v>11800</v>
      </c>
    </row>
    <row r="1031" spans="1:10" x14ac:dyDescent="0.25">
      <c r="A1031">
        <v>228381</v>
      </c>
      <c r="B1031" t="s">
        <v>1083</v>
      </c>
      <c r="C1031" t="str">
        <f>"9780814408216"</f>
        <v>9780814408216</v>
      </c>
      <c r="D1031" t="str">
        <f>"9780814428689"</f>
        <v>9780814428689</v>
      </c>
      <c r="E1031" t="s">
        <v>1080</v>
      </c>
      <c r="F1031" t="s">
        <v>1080</v>
      </c>
      <c r="G1031" s="1">
        <v>38387</v>
      </c>
      <c r="H1031" s="1">
        <v>38736</v>
      </c>
      <c r="I1031" t="s">
        <v>12</v>
      </c>
      <c r="J1031" t="s">
        <v>11801</v>
      </c>
    </row>
    <row r="1032" spans="1:10" x14ac:dyDescent="0.25">
      <c r="A1032">
        <v>228389</v>
      </c>
      <c r="B1032" t="s">
        <v>1084</v>
      </c>
      <c r="C1032" t="str">
        <f>"9780814472798"</f>
        <v>9780814472798</v>
      </c>
      <c r="D1032" t="str">
        <f>"9780814428740"</f>
        <v>9780814428740</v>
      </c>
      <c r="E1032" t="s">
        <v>1080</v>
      </c>
      <c r="F1032" t="s">
        <v>1080</v>
      </c>
      <c r="G1032" s="1">
        <v>38455</v>
      </c>
      <c r="H1032" s="1">
        <v>38541</v>
      </c>
      <c r="I1032" t="s">
        <v>12</v>
      </c>
      <c r="J1032" t="s">
        <v>11802</v>
      </c>
    </row>
    <row r="1033" spans="1:10" x14ac:dyDescent="0.25">
      <c r="A1033">
        <v>228390</v>
      </c>
      <c r="B1033" t="s">
        <v>1085</v>
      </c>
      <c r="C1033" t="str">
        <f>"9780814408247"</f>
        <v>9780814408247</v>
      </c>
      <c r="D1033" t="str">
        <f>"9780814428528"</f>
        <v>9780814428528</v>
      </c>
      <c r="E1033" t="s">
        <v>1080</v>
      </c>
      <c r="F1033" t="s">
        <v>1080</v>
      </c>
      <c r="G1033" s="1">
        <v>38268</v>
      </c>
      <c r="H1033" s="1">
        <v>38736</v>
      </c>
      <c r="I1033" t="s">
        <v>12</v>
      </c>
      <c r="J1033" t="s">
        <v>11803</v>
      </c>
    </row>
    <row r="1034" spans="1:10" x14ac:dyDescent="0.25">
      <c r="A1034">
        <v>228454</v>
      </c>
      <c r="B1034" t="s">
        <v>1086</v>
      </c>
      <c r="C1034" t="str">
        <f>"9780953985692"</f>
        <v>9780953985692</v>
      </c>
      <c r="D1034" t="str">
        <f>"9781433703201"</f>
        <v>9781433703201</v>
      </c>
      <c r="E1034" t="s">
        <v>889</v>
      </c>
      <c r="F1034" t="s">
        <v>889</v>
      </c>
      <c r="G1034" s="1">
        <v>37996</v>
      </c>
      <c r="H1034" s="1">
        <v>38995</v>
      </c>
      <c r="I1034" t="s">
        <v>12</v>
      </c>
      <c r="J1034" t="s">
        <v>11804</v>
      </c>
    </row>
    <row r="1035" spans="1:10" x14ac:dyDescent="0.25">
      <c r="A1035">
        <v>228532</v>
      </c>
      <c r="B1035" t="s">
        <v>1087</v>
      </c>
      <c r="C1035" t="str">
        <f>"9780631220404"</f>
        <v>9780631220404</v>
      </c>
      <c r="D1035" t="str">
        <f>"9781405141406"</f>
        <v>9781405141406</v>
      </c>
      <c r="E1035" t="s">
        <v>1088</v>
      </c>
      <c r="F1035" t="s">
        <v>1089</v>
      </c>
      <c r="G1035" s="1">
        <v>38509</v>
      </c>
      <c r="H1035" s="1">
        <v>40696</v>
      </c>
      <c r="I1035" t="s">
        <v>12</v>
      </c>
      <c r="J1035" t="s">
        <v>11805</v>
      </c>
    </row>
    <row r="1036" spans="1:10" x14ac:dyDescent="0.25">
      <c r="A1036">
        <v>228565</v>
      </c>
      <c r="B1036" t="s">
        <v>1090</v>
      </c>
      <c r="C1036" t="str">
        <f>"9780631233312"</f>
        <v>9780631233312</v>
      </c>
      <c r="D1036" t="str">
        <f>"9781405141475"</f>
        <v>9781405141475</v>
      </c>
      <c r="E1036" t="s">
        <v>1088</v>
      </c>
      <c r="F1036" t="s">
        <v>1089</v>
      </c>
      <c r="G1036" s="1">
        <v>38471</v>
      </c>
      <c r="H1036" s="1">
        <v>40696</v>
      </c>
      <c r="I1036" t="s">
        <v>12</v>
      </c>
      <c r="J1036" t="s">
        <v>11806</v>
      </c>
    </row>
    <row r="1037" spans="1:10" x14ac:dyDescent="0.25">
      <c r="A1037">
        <v>228576</v>
      </c>
      <c r="B1037" t="s">
        <v>1091</v>
      </c>
      <c r="C1037" t="str">
        <f>"9781405120401"</f>
        <v>9781405120401</v>
      </c>
      <c r="D1037" t="str">
        <f>"9781405141154"</f>
        <v>9781405141154</v>
      </c>
      <c r="E1037" t="s">
        <v>1088</v>
      </c>
      <c r="F1037" t="s">
        <v>1089</v>
      </c>
      <c r="G1037" s="1">
        <v>38509</v>
      </c>
      <c r="H1037" s="1">
        <v>40696</v>
      </c>
      <c r="I1037" t="s">
        <v>12</v>
      </c>
      <c r="J1037" t="s">
        <v>11807</v>
      </c>
    </row>
    <row r="1038" spans="1:10" x14ac:dyDescent="0.25">
      <c r="A1038">
        <v>228772</v>
      </c>
      <c r="B1038" t="s">
        <v>1092</v>
      </c>
      <c r="C1038" t="str">
        <f>"9780521809597"</f>
        <v>9780521809597</v>
      </c>
      <c r="D1038" t="str">
        <f>"9780511197840"</f>
        <v>9780511197840</v>
      </c>
      <c r="E1038" t="s">
        <v>18</v>
      </c>
      <c r="F1038" t="s">
        <v>18</v>
      </c>
      <c r="G1038" s="1">
        <v>38390</v>
      </c>
      <c r="H1038" s="1">
        <v>38539</v>
      </c>
      <c r="I1038" t="s">
        <v>12</v>
      </c>
      <c r="J1038" t="s">
        <v>11808</v>
      </c>
    </row>
    <row r="1039" spans="1:10" x14ac:dyDescent="0.25">
      <c r="A1039">
        <v>228792</v>
      </c>
      <c r="B1039" t="s">
        <v>1093</v>
      </c>
      <c r="C1039" t="str">
        <f>"9780521843379"</f>
        <v>9780521843379</v>
      </c>
      <c r="D1039" t="str">
        <f>"9780511347634"</f>
        <v>9780511347634</v>
      </c>
      <c r="E1039" t="s">
        <v>18</v>
      </c>
      <c r="F1039" t="s">
        <v>18</v>
      </c>
      <c r="G1039" s="1">
        <v>39051</v>
      </c>
      <c r="H1039" s="1">
        <v>38539</v>
      </c>
      <c r="I1039" t="s">
        <v>12</v>
      </c>
      <c r="J1039" t="s">
        <v>11809</v>
      </c>
    </row>
    <row r="1040" spans="1:10" x14ac:dyDescent="0.25">
      <c r="A1040">
        <v>228806</v>
      </c>
      <c r="B1040" t="s">
        <v>1094</v>
      </c>
      <c r="C1040" t="str">
        <f>"9780521837514"</f>
        <v>9780521837514</v>
      </c>
      <c r="D1040" t="str">
        <f>"9780511198618"</f>
        <v>9780511198618</v>
      </c>
      <c r="E1040" t="s">
        <v>18</v>
      </c>
      <c r="F1040" t="s">
        <v>18</v>
      </c>
      <c r="G1040" s="1">
        <v>38505</v>
      </c>
      <c r="H1040" s="1">
        <v>38539</v>
      </c>
      <c r="I1040" t="s">
        <v>12</v>
      </c>
      <c r="J1040" t="s">
        <v>11810</v>
      </c>
    </row>
    <row r="1041" spans="1:10" x14ac:dyDescent="0.25">
      <c r="A1041">
        <v>228807</v>
      </c>
      <c r="B1041" t="s">
        <v>1095</v>
      </c>
      <c r="C1041" t="str">
        <f>"9780521836159"</f>
        <v>9780521836159</v>
      </c>
      <c r="D1041" t="str">
        <f>"9780511197321"</f>
        <v>9780511197321</v>
      </c>
      <c r="E1041" t="s">
        <v>18</v>
      </c>
      <c r="F1041" t="s">
        <v>18</v>
      </c>
      <c r="G1041" s="1">
        <v>38384</v>
      </c>
      <c r="H1041" s="1">
        <v>38539</v>
      </c>
      <c r="I1041" t="s">
        <v>12</v>
      </c>
      <c r="J1041" t="s">
        <v>11811</v>
      </c>
    </row>
    <row r="1042" spans="1:10" x14ac:dyDescent="0.25">
      <c r="A1042">
        <v>228809</v>
      </c>
      <c r="B1042" t="s">
        <v>1096</v>
      </c>
      <c r="C1042" t="str">
        <f>"9780521842983"</f>
        <v>9780521842983</v>
      </c>
      <c r="D1042" t="str">
        <f>"9780511197659"</f>
        <v>9780511197659</v>
      </c>
      <c r="E1042" t="s">
        <v>18</v>
      </c>
      <c r="F1042" t="s">
        <v>18</v>
      </c>
      <c r="G1042" s="1">
        <v>38456</v>
      </c>
      <c r="H1042" s="1">
        <v>38539</v>
      </c>
      <c r="I1042" t="s">
        <v>12</v>
      </c>
      <c r="J1042" t="s">
        <v>11812</v>
      </c>
    </row>
    <row r="1043" spans="1:10" x14ac:dyDescent="0.25">
      <c r="A1043">
        <v>228818</v>
      </c>
      <c r="B1043" t="s">
        <v>1097</v>
      </c>
      <c r="C1043" t="str">
        <f>"9780521848350"</f>
        <v>9780521848350</v>
      </c>
      <c r="D1043" t="str">
        <f>"9780511197994"</f>
        <v>9780511197994</v>
      </c>
      <c r="E1043" t="s">
        <v>18</v>
      </c>
      <c r="F1043" t="s">
        <v>18</v>
      </c>
      <c r="G1043" s="1">
        <v>38511</v>
      </c>
      <c r="H1043" s="1">
        <v>38539</v>
      </c>
      <c r="I1043" t="s">
        <v>12</v>
      </c>
      <c r="J1043" t="s">
        <v>11813</v>
      </c>
    </row>
    <row r="1044" spans="1:10" x14ac:dyDescent="0.25">
      <c r="A1044">
        <v>228839</v>
      </c>
      <c r="B1044" t="s">
        <v>1098</v>
      </c>
      <c r="C1044" t="str">
        <f>"9780521835077"</f>
        <v>9780521835077</v>
      </c>
      <c r="D1044" t="str">
        <f>"9780511206450"</f>
        <v>9780511206450</v>
      </c>
      <c r="E1044" t="s">
        <v>18</v>
      </c>
      <c r="F1044" t="s">
        <v>18</v>
      </c>
      <c r="G1044" s="1">
        <v>38200</v>
      </c>
      <c r="H1044" s="1">
        <v>38539</v>
      </c>
      <c r="I1044" t="s">
        <v>12</v>
      </c>
      <c r="J1044" t="s">
        <v>11814</v>
      </c>
    </row>
    <row r="1045" spans="1:10" x14ac:dyDescent="0.25">
      <c r="A1045">
        <v>228847</v>
      </c>
      <c r="B1045" t="s">
        <v>1099</v>
      </c>
      <c r="C1045" t="str">
        <f>"9780521849678"</f>
        <v>9780521849678</v>
      </c>
      <c r="D1045" t="str">
        <f>"9780511197895"</f>
        <v>9780511197895</v>
      </c>
      <c r="E1045" t="s">
        <v>18</v>
      </c>
      <c r="F1045" t="s">
        <v>18</v>
      </c>
      <c r="G1045" s="1">
        <v>38390</v>
      </c>
      <c r="H1045" s="1">
        <v>38539</v>
      </c>
      <c r="I1045" t="s">
        <v>12</v>
      </c>
      <c r="J1045" t="s">
        <v>11815</v>
      </c>
    </row>
    <row r="1046" spans="1:10" x14ac:dyDescent="0.25">
      <c r="A1046">
        <v>228848</v>
      </c>
      <c r="B1046" t="s">
        <v>1100</v>
      </c>
      <c r="C1046" t="str">
        <f>"9780521846639"</f>
        <v>9780521846639</v>
      </c>
      <c r="D1046" t="str">
        <f>"9780511196829"</f>
        <v>9780511196829</v>
      </c>
      <c r="E1046" t="s">
        <v>18</v>
      </c>
      <c r="F1046" t="s">
        <v>18</v>
      </c>
      <c r="G1046" s="1">
        <v>38400</v>
      </c>
      <c r="H1046" s="1">
        <v>38539</v>
      </c>
      <c r="I1046" t="s">
        <v>12</v>
      </c>
      <c r="J1046" t="s">
        <v>11816</v>
      </c>
    </row>
    <row r="1047" spans="1:10" x14ac:dyDescent="0.25">
      <c r="A1047">
        <v>228858</v>
      </c>
      <c r="B1047" t="s">
        <v>1101</v>
      </c>
      <c r="C1047" t="str">
        <f>"9780521839495"</f>
        <v>9780521839495</v>
      </c>
      <c r="D1047" t="str">
        <f>"9780511198847"</f>
        <v>9780511198847</v>
      </c>
      <c r="E1047" t="s">
        <v>18</v>
      </c>
      <c r="F1047" t="s">
        <v>18</v>
      </c>
      <c r="G1047" s="1">
        <v>38481</v>
      </c>
      <c r="H1047" s="1">
        <v>38545</v>
      </c>
      <c r="I1047" t="s">
        <v>12</v>
      </c>
      <c r="J1047" t="s">
        <v>11817</v>
      </c>
    </row>
    <row r="1048" spans="1:10" x14ac:dyDescent="0.25">
      <c r="A1048">
        <v>228859</v>
      </c>
      <c r="B1048" t="s">
        <v>1102</v>
      </c>
      <c r="C1048" t="str">
        <f>"9780521836449"</f>
        <v>9780521836449</v>
      </c>
      <c r="D1048" t="str">
        <f>"9780511198069"</f>
        <v>9780511198069</v>
      </c>
      <c r="E1048" t="s">
        <v>18</v>
      </c>
      <c r="F1048" t="s">
        <v>18</v>
      </c>
      <c r="G1048" s="1">
        <v>38432</v>
      </c>
      <c r="H1048" s="1">
        <v>38539</v>
      </c>
      <c r="I1048" t="s">
        <v>12</v>
      </c>
      <c r="J1048" t="s">
        <v>11818</v>
      </c>
    </row>
    <row r="1049" spans="1:10" x14ac:dyDescent="0.25">
      <c r="A1049">
        <v>228866</v>
      </c>
      <c r="B1049" t="s">
        <v>1103</v>
      </c>
      <c r="C1049" t="str">
        <f>"9780521843881"</f>
        <v>9780521843881</v>
      </c>
      <c r="D1049" t="str">
        <f>"9780511197475"</f>
        <v>9780511197475</v>
      </c>
      <c r="E1049" t="s">
        <v>18</v>
      </c>
      <c r="F1049" t="s">
        <v>18</v>
      </c>
      <c r="G1049" s="1">
        <v>38407</v>
      </c>
      <c r="H1049" s="1">
        <v>38539</v>
      </c>
      <c r="I1049" t="s">
        <v>12</v>
      </c>
      <c r="J1049" t="s">
        <v>11819</v>
      </c>
    </row>
    <row r="1050" spans="1:10" x14ac:dyDescent="0.25">
      <c r="A1050">
        <v>228868</v>
      </c>
      <c r="B1050" t="s">
        <v>1104</v>
      </c>
      <c r="C1050" t="str">
        <f>"9780521843270"</f>
        <v>9780521843270</v>
      </c>
      <c r="D1050" t="str">
        <f>"9780511198120"</f>
        <v>9780511198120</v>
      </c>
      <c r="E1050" t="s">
        <v>18</v>
      </c>
      <c r="F1050" t="s">
        <v>18</v>
      </c>
      <c r="G1050" s="1">
        <v>38498</v>
      </c>
      <c r="H1050" s="1">
        <v>38539</v>
      </c>
      <c r="I1050" t="s">
        <v>12</v>
      </c>
      <c r="J1050" t="s">
        <v>11820</v>
      </c>
    </row>
    <row r="1051" spans="1:10" x14ac:dyDescent="0.25">
      <c r="A1051">
        <v>228873</v>
      </c>
      <c r="B1051" t="s">
        <v>1105</v>
      </c>
      <c r="C1051" t="str">
        <f>"9780521844413"</f>
        <v>9780521844413</v>
      </c>
      <c r="D1051" t="str">
        <f>"9780511198526"</f>
        <v>9780511198526</v>
      </c>
      <c r="E1051" t="s">
        <v>18</v>
      </c>
      <c r="F1051" t="s">
        <v>18</v>
      </c>
      <c r="G1051" s="1">
        <v>38520</v>
      </c>
      <c r="H1051" s="1">
        <v>38539</v>
      </c>
      <c r="I1051" t="s">
        <v>12</v>
      </c>
      <c r="J1051" t="s">
        <v>11821</v>
      </c>
    </row>
    <row r="1052" spans="1:10" x14ac:dyDescent="0.25">
      <c r="A1052">
        <v>228875</v>
      </c>
      <c r="B1052" t="s">
        <v>1106</v>
      </c>
      <c r="C1052" t="str">
        <f>"9780521833165"</f>
        <v>9780521833165</v>
      </c>
      <c r="D1052" t="str">
        <f>"9780511198601"</f>
        <v>9780511198601</v>
      </c>
      <c r="E1052" t="s">
        <v>18</v>
      </c>
      <c r="F1052" t="s">
        <v>18</v>
      </c>
      <c r="G1052" s="1">
        <v>38474</v>
      </c>
      <c r="H1052" s="1">
        <v>38539</v>
      </c>
      <c r="I1052" t="s">
        <v>12</v>
      </c>
      <c r="J1052" t="s">
        <v>11822</v>
      </c>
    </row>
    <row r="1053" spans="1:10" x14ac:dyDescent="0.25">
      <c r="A1053">
        <v>228881</v>
      </c>
      <c r="B1053" t="s">
        <v>1107</v>
      </c>
      <c r="C1053" t="str">
        <f>"9780521840651"</f>
        <v>9780521840651</v>
      </c>
      <c r="D1053" t="str">
        <f>"9780511197857"</f>
        <v>9780511197857</v>
      </c>
      <c r="E1053" t="s">
        <v>18</v>
      </c>
      <c r="F1053" t="s">
        <v>18</v>
      </c>
      <c r="G1053" s="1">
        <v>38418</v>
      </c>
      <c r="H1053" s="1">
        <v>38541</v>
      </c>
      <c r="I1053" t="s">
        <v>12</v>
      </c>
      <c r="J1053" t="s">
        <v>11823</v>
      </c>
    </row>
    <row r="1054" spans="1:10" x14ac:dyDescent="0.25">
      <c r="A1054">
        <v>228889</v>
      </c>
      <c r="B1054" t="s">
        <v>1108</v>
      </c>
      <c r="C1054" t="str">
        <f>"9780521846240"</f>
        <v>9780521846240</v>
      </c>
      <c r="D1054" t="str">
        <f>"9780511198175"</f>
        <v>9780511198175</v>
      </c>
      <c r="E1054" t="s">
        <v>18</v>
      </c>
      <c r="F1054" t="s">
        <v>18</v>
      </c>
      <c r="G1054" s="1">
        <v>38484</v>
      </c>
      <c r="H1054" s="1">
        <v>38539</v>
      </c>
      <c r="I1054" t="s">
        <v>12</v>
      </c>
      <c r="J1054" t="s">
        <v>11824</v>
      </c>
    </row>
    <row r="1055" spans="1:10" x14ac:dyDescent="0.25">
      <c r="A1055">
        <v>231561</v>
      </c>
      <c r="B1055" t="s">
        <v>1109</v>
      </c>
      <c r="C1055" t="str">
        <f>"9789812387578"</f>
        <v>9789812387578</v>
      </c>
      <c r="D1055" t="str">
        <f>"9789812562524"</f>
        <v>9789812562524</v>
      </c>
      <c r="E1055" t="s">
        <v>1056</v>
      </c>
      <c r="F1055" t="s">
        <v>1056</v>
      </c>
      <c r="G1055" s="1">
        <v>38322</v>
      </c>
      <c r="H1055" s="1">
        <v>38629</v>
      </c>
      <c r="I1055" t="s">
        <v>12</v>
      </c>
      <c r="J1055" t="s">
        <v>11825</v>
      </c>
    </row>
    <row r="1056" spans="1:10" x14ac:dyDescent="0.25">
      <c r="A1056">
        <v>231619</v>
      </c>
      <c r="B1056" t="s">
        <v>1110</v>
      </c>
      <c r="C1056" t="str">
        <f>"9781930865433"</f>
        <v>9781930865433</v>
      </c>
      <c r="D1056" t="str">
        <f>"9781933995762"</f>
        <v>9781933995762</v>
      </c>
      <c r="E1056" t="s">
        <v>1111</v>
      </c>
      <c r="F1056" t="s">
        <v>1112</v>
      </c>
      <c r="G1056" s="1">
        <v>37622</v>
      </c>
      <c r="H1056" s="1">
        <v>38736</v>
      </c>
      <c r="I1056" t="s">
        <v>12</v>
      </c>
      <c r="J1056" t="s">
        <v>11826</v>
      </c>
    </row>
    <row r="1057" spans="1:10" x14ac:dyDescent="0.25">
      <c r="A1057">
        <v>231653</v>
      </c>
      <c r="B1057" t="s">
        <v>1113</v>
      </c>
      <c r="C1057" t="str">
        <f>"9781840244472"</f>
        <v>9781840244472</v>
      </c>
      <c r="D1057" t="str">
        <f>"9781840249552"</f>
        <v>9781840249552</v>
      </c>
      <c r="E1057" t="s">
        <v>626</v>
      </c>
      <c r="F1057" t="s">
        <v>1114</v>
      </c>
      <c r="G1057" s="1">
        <v>38517</v>
      </c>
      <c r="H1057" s="1">
        <v>38995</v>
      </c>
      <c r="I1057" t="s">
        <v>12</v>
      </c>
      <c r="J1057" t="s">
        <v>11827</v>
      </c>
    </row>
    <row r="1058" spans="1:10" x14ac:dyDescent="0.25">
      <c r="A1058">
        <v>231832</v>
      </c>
      <c r="B1058" t="s">
        <v>1115</v>
      </c>
      <c r="C1058" t="str">
        <f>"9781845440220"</f>
        <v>9781845440220</v>
      </c>
      <c r="D1058" t="str">
        <f>"9781845441869"</f>
        <v>9781845441869</v>
      </c>
      <c r="E1058" t="s">
        <v>1116</v>
      </c>
      <c r="F1058" t="s">
        <v>1117</v>
      </c>
      <c r="G1058" s="1">
        <v>38292</v>
      </c>
      <c r="H1058" s="1">
        <v>38538</v>
      </c>
      <c r="I1058" t="s">
        <v>12</v>
      </c>
      <c r="J1058" t="s">
        <v>11828</v>
      </c>
    </row>
    <row r="1059" spans="1:10" x14ac:dyDescent="0.25">
      <c r="A1059">
        <v>232108</v>
      </c>
      <c r="B1059" t="s">
        <v>1118</v>
      </c>
      <c r="C1059" t="str">
        <f>"9780126393712"</f>
        <v>9780126393712</v>
      </c>
      <c r="D1059" t="str">
        <f>"9780080476032"</f>
        <v>9780080476032</v>
      </c>
      <c r="E1059" t="s">
        <v>1119</v>
      </c>
      <c r="F1059" t="s">
        <v>1120</v>
      </c>
      <c r="G1059" s="1">
        <v>38386</v>
      </c>
      <c r="H1059" s="1">
        <v>39087</v>
      </c>
      <c r="I1059" t="s">
        <v>12</v>
      </c>
      <c r="J1059" t="s">
        <v>11829</v>
      </c>
    </row>
    <row r="1060" spans="1:10" x14ac:dyDescent="0.25">
      <c r="A1060">
        <v>232123</v>
      </c>
      <c r="B1060" t="s">
        <v>1121</v>
      </c>
      <c r="C1060" t="str">
        <f>"9780240805580"</f>
        <v>9780240805580</v>
      </c>
      <c r="D1060" t="str">
        <f>"9780080476377"</f>
        <v>9780080476377</v>
      </c>
      <c r="E1060" t="s">
        <v>15</v>
      </c>
      <c r="F1060" t="s">
        <v>1122</v>
      </c>
      <c r="G1060" s="1">
        <v>38380</v>
      </c>
      <c r="H1060" s="1">
        <v>38589</v>
      </c>
      <c r="I1060" t="s">
        <v>12</v>
      </c>
      <c r="J1060" t="s">
        <v>11830</v>
      </c>
    </row>
    <row r="1061" spans="1:10" x14ac:dyDescent="0.25">
      <c r="A1061">
        <v>232125</v>
      </c>
      <c r="B1061" t="s">
        <v>1123</v>
      </c>
      <c r="C1061" t="str">
        <f>"9780750678377"</f>
        <v>9780750678377</v>
      </c>
      <c r="D1061" t="str">
        <f>"9780080481913"</f>
        <v>9780080481913</v>
      </c>
      <c r="E1061" t="s">
        <v>15</v>
      </c>
      <c r="F1061" t="s">
        <v>16</v>
      </c>
      <c r="G1061" s="1">
        <v>38377</v>
      </c>
      <c r="H1061" s="1">
        <v>38589</v>
      </c>
      <c r="I1061" t="s">
        <v>12</v>
      </c>
      <c r="J1061" t="s">
        <v>11831</v>
      </c>
    </row>
    <row r="1062" spans="1:10" x14ac:dyDescent="0.25">
      <c r="A1062">
        <v>232130</v>
      </c>
      <c r="B1062" t="s">
        <v>1124</v>
      </c>
      <c r="C1062" t="str">
        <f>"9780750666374"</f>
        <v>9780750666374</v>
      </c>
      <c r="D1062" t="str">
        <f>"9780080477459"</f>
        <v>9780080477459</v>
      </c>
      <c r="E1062" t="s">
        <v>15</v>
      </c>
      <c r="F1062" t="s">
        <v>16</v>
      </c>
      <c r="G1062" s="1">
        <v>41142</v>
      </c>
      <c r="H1062" s="1">
        <v>40244</v>
      </c>
      <c r="I1062" t="s">
        <v>12</v>
      </c>
      <c r="J1062" t="s">
        <v>11832</v>
      </c>
    </row>
    <row r="1063" spans="1:10" x14ac:dyDescent="0.25">
      <c r="A1063">
        <v>232135</v>
      </c>
      <c r="B1063" t="s">
        <v>1125</v>
      </c>
      <c r="C1063" t="str">
        <f>"9780240805986"</f>
        <v>9780240805986</v>
      </c>
      <c r="D1063" t="str">
        <f>"9780080476339"</f>
        <v>9780080476339</v>
      </c>
      <c r="E1063" t="s">
        <v>15</v>
      </c>
      <c r="F1063" t="s">
        <v>1122</v>
      </c>
      <c r="G1063" s="1">
        <v>38406</v>
      </c>
      <c r="H1063" s="1">
        <v>38542</v>
      </c>
      <c r="I1063" t="s">
        <v>12</v>
      </c>
      <c r="J1063" t="s">
        <v>11833</v>
      </c>
    </row>
    <row r="1064" spans="1:10" x14ac:dyDescent="0.25">
      <c r="A1064">
        <v>232174</v>
      </c>
      <c r="B1064" t="s">
        <v>1126</v>
      </c>
      <c r="C1064" t="str">
        <f>"9780861768349"</f>
        <v>9780861768349</v>
      </c>
      <c r="D1064" t="str">
        <f>"9781845444617"</f>
        <v>9781845444617</v>
      </c>
      <c r="E1064" t="s">
        <v>1116</v>
      </c>
      <c r="F1064" t="s">
        <v>1117</v>
      </c>
      <c r="G1064" s="1">
        <v>37622</v>
      </c>
      <c r="H1064" s="1">
        <v>38549</v>
      </c>
      <c r="I1064" t="s">
        <v>12</v>
      </c>
      <c r="J1064" t="s">
        <v>11834</v>
      </c>
    </row>
    <row r="1065" spans="1:10" x14ac:dyDescent="0.25">
      <c r="A1065">
        <v>232194</v>
      </c>
      <c r="B1065" t="s">
        <v>1128</v>
      </c>
      <c r="C1065" t="str">
        <f>"9780861767144"</f>
        <v>9780861767144</v>
      </c>
      <c r="D1065" t="str">
        <f>"9781845447250"</f>
        <v>9781845447250</v>
      </c>
      <c r="E1065" t="s">
        <v>1116</v>
      </c>
      <c r="F1065" t="s">
        <v>1117</v>
      </c>
      <c r="G1065" s="1">
        <v>37257</v>
      </c>
      <c r="H1065" s="1">
        <v>38548</v>
      </c>
      <c r="I1065" t="s">
        <v>12</v>
      </c>
      <c r="J1065" t="s">
        <v>11835</v>
      </c>
    </row>
    <row r="1066" spans="1:10" x14ac:dyDescent="0.25">
      <c r="A1066">
        <v>232308</v>
      </c>
      <c r="B1066" t="s">
        <v>1129</v>
      </c>
      <c r="C1066" t="str">
        <f>"9780861768080"</f>
        <v>9780861768080</v>
      </c>
      <c r="D1066" t="str">
        <f>"9781845444822"</f>
        <v>9781845444822</v>
      </c>
      <c r="E1066" t="s">
        <v>1116</v>
      </c>
      <c r="F1066" t="s">
        <v>1117</v>
      </c>
      <c r="G1066" s="1">
        <v>37622</v>
      </c>
      <c r="H1066" s="1">
        <v>38548</v>
      </c>
      <c r="I1066" t="s">
        <v>12</v>
      </c>
      <c r="J1066" t="s">
        <v>11836</v>
      </c>
    </row>
    <row r="1067" spans="1:10" x14ac:dyDescent="0.25">
      <c r="A1067">
        <v>232311</v>
      </c>
      <c r="B1067" t="s">
        <v>1130</v>
      </c>
      <c r="C1067" t="str">
        <f>"9780861768202"</f>
        <v>9780861768202</v>
      </c>
      <c r="D1067" t="str">
        <f>"9781845445669"</f>
        <v>9781845445669</v>
      </c>
      <c r="E1067" t="s">
        <v>1116</v>
      </c>
      <c r="F1067" t="s">
        <v>1117</v>
      </c>
      <c r="G1067" s="1">
        <v>37622</v>
      </c>
      <c r="H1067" s="1">
        <v>38548</v>
      </c>
      <c r="I1067" t="s">
        <v>12</v>
      </c>
      <c r="J1067" t="s">
        <v>11837</v>
      </c>
    </row>
    <row r="1068" spans="1:10" x14ac:dyDescent="0.25">
      <c r="A1068">
        <v>232343</v>
      </c>
      <c r="B1068" t="s">
        <v>1131</v>
      </c>
      <c r="C1068" t="str">
        <f>"9781931448024"</f>
        <v>9781931448024</v>
      </c>
      <c r="D1068" t="str">
        <f>"9781931448031"</f>
        <v>9781931448031</v>
      </c>
      <c r="E1068" t="s">
        <v>280</v>
      </c>
      <c r="F1068" t="s">
        <v>280</v>
      </c>
      <c r="G1068" s="1">
        <v>37073</v>
      </c>
      <c r="H1068" s="1">
        <v>40634</v>
      </c>
      <c r="I1068" t="s">
        <v>12</v>
      </c>
      <c r="J1068" t="s">
        <v>11838</v>
      </c>
    </row>
    <row r="1069" spans="1:10" x14ac:dyDescent="0.25">
      <c r="A1069">
        <v>232849</v>
      </c>
      <c r="B1069" t="s">
        <v>1132</v>
      </c>
      <c r="C1069" t="str">
        <f>"9780192803221"</f>
        <v>9780192803221</v>
      </c>
      <c r="D1069" t="str">
        <f>"9780191516641"</f>
        <v>9780191516641</v>
      </c>
      <c r="E1069" t="s">
        <v>1133</v>
      </c>
      <c r="F1069" t="s">
        <v>1133</v>
      </c>
      <c r="G1069" s="1">
        <v>37987</v>
      </c>
      <c r="H1069" s="1">
        <v>40244</v>
      </c>
      <c r="I1069" t="s">
        <v>12</v>
      </c>
      <c r="J1069" t="s">
        <v>11839</v>
      </c>
    </row>
    <row r="1070" spans="1:10" x14ac:dyDescent="0.25">
      <c r="A1070">
        <v>233040</v>
      </c>
      <c r="B1070" t="s">
        <v>1134</v>
      </c>
      <c r="C1070" t="str">
        <f>"9780631215646"</f>
        <v>9780631215646</v>
      </c>
      <c r="D1070" t="str">
        <f>"9781405142342"</f>
        <v>9781405142342</v>
      </c>
      <c r="E1070" t="s">
        <v>1088</v>
      </c>
      <c r="F1070" t="s">
        <v>1089</v>
      </c>
      <c r="G1070" s="1">
        <v>39553</v>
      </c>
      <c r="H1070" s="1">
        <v>38685</v>
      </c>
      <c r="I1070" t="s">
        <v>12</v>
      </c>
      <c r="J1070" t="s">
        <v>11840</v>
      </c>
    </row>
    <row r="1071" spans="1:10" x14ac:dyDescent="0.25">
      <c r="A1071">
        <v>233050</v>
      </c>
      <c r="B1071" t="s">
        <v>1135</v>
      </c>
      <c r="C1071" t="str">
        <f>"9781405118194"</f>
        <v>9781405118194</v>
      </c>
      <c r="D1071" t="str">
        <f>"9781405144704"</f>
        <v>9781405144704</v>
      </c>
      <c r="E1071" t="s">
        <v>1088</v>
      </c>
      <c r="F1071" t="s">
        <v>1089</v>
      </c>
      <c r="G1071" s="1">
        <v>38387</v>
      </c>
      <c r="H1071" s="1">
        <v>38559</v>
      </c>
      <c r="I1071" t="s">
        <v>12</v>
      </c>
      <c r="J1071" t="s">
        <v>11841</v>
      </c>
    </row>
    <row r="1072" spans="1:10" x14ac:dyDescent="0.25">
      <c r="A1072">
        <v>233114</v>
      </c>
      <c r="B1072" t="s">
        <v>1136</v>
      </c>
      <c r="C1072" t="str">
        <f>"9781405116664"</f>
        <v>9781405116664</v>
      </c>
      <c r="D1072" t="str">
        <f>"9781405143646"</f>
        <v>9781405143646</v>
      </c>
      <c r="E1072" t="s">
        <v>1088</v>
      </c>
      <c r="F1072" t="s">
        <v>1089</v>
      </c>
      <c r="G1072" s="1">
        <v>37985</v>
      </c>
      <c r="H1072" s="1">
        <v>40696</v>
      </c>
      <c r="I1072" t="s">
        <v>12</v>
      </c>
      <c r="J1072" t="s">
        <v>11842</v>
      </c>
    </row>
    <row r="1073" spans="1:10" x14ac:dyDescent="0.25">
      <c r="A1073">
        <v>233140</v>
      </c>
      <c r="B1073" t="s">
        <v>1137</v>
      </c>
      <c r="C1073" t="str">
        <f>"9781405127196"</f>
        <v>9781405127196</v>
      </c>
      <c r="D1073" t="str">
        <f>"9780470761687"</f>
        <v>9780470761687</v>
      </c>
      <c r="E1073" t="s">
        <v>1138</v>
      </c>
      <c r="F1073" t="s">
        <v>1089</v>
      </c>
      <c r="G1073" s="1">
        <v>38366</v>
      </c>
      <c r="H1073" s="1">
        <v>40697</v>
      </c>
      <c r="I1073" t="s">
        <v>12</v>
      </c>
      <c r="J1073" t="s">
        <v>11843</v>
      </c>
    </row>
    <row r="1074" spans="1:10" x14ac:dyDescent="0.25">
      <c r="A1074">
        <v>233917</v>
      </c>
      <c r="B1074" t="s">
        <v>1139</v>
      </c>
      <c r="C1074" t="str">
        <f>"9781845441609"</f>
        <v>9781845441609</v>
      </c>
      <c r="D1074" t="str">
        <f>"9781845443191"</f>
        <v>9781845443191</v>
      </c>
      <c r="E1074" t="s">
        <v>1116</v>
      </c>
      <c r="F1074" t="s">
        <v>1117</v>
      </c>
      <c r="G1074" s="1">
        <v>38513</v>
      </c>
      <c r="H1074" s="1">
        <v>38573</v>
      </c>
      <c r="I1074" t="s">
        <v>12</v>
      </c>
      <c r="J1074" t="s">
        <v>11844</v>
      </c>
    </row>
    <row r="1075" spans="1:10" x14ac:dyDescent="0.25">
      <c r="A1075">
        <v>234183</v>
      </c>
      <c r="B1075" t="s">
        <v>1140</v>
      </c>
      <c r="C1075" t="str">
        <f>"9780749441296"</f>
        <v>9780749441296</v>
      </c>
      <c r="D1075" t="str">
        <f>""</f>
        <v/>
      </c>
      <c r="E1075" t="s">
        <v>1059</v>
      </c>
      <c r="F1075" t="s">
        <v>1059</v>
      </c>
      <c r="G1075" s="1">
        <v>37622</v>
      </c>
      <c r="H1075" s="1">
        <v>38867</v>
      </c>
      <c r="I1075" t="s">
        <v>12</v>
      </c>
      <c r="J1075" t="s">
        <v>11845</v>
      </c>
    </row>
    <row r="1076" spans="1:10" x14ac:dyDescent="0.25">
      <c r="A1076">
        <v>234531</v>
      </c>
      <c r="B1076" t="s">
        <v>1141</v>
      </c>
      <c r="C1076" t="str">
        <f>"9781593571771"</f>
        <v>9781593571771</v>
      </c>
      <c r="D1076" t="str">
        <f>"9781593572273"</f>
        <v>9781593572273</v>
      </c>
      <c r="E1076" t="s">
        <v>1142</v>
      </c>
      <c r="F1076" t="s">
        <v>1143</v>
      </c>
      <c r="G1076" s="1">
        <v>38443</v>
      </c>
      <c r="H1076" s="1">
        <v>38585</v>
      </c>
      <c r="I1076" t="s">
        <v>12</v>
      </c>
      <c r="J1076" t="s">
        <v>11846</v>
      </c>
    </row>
    <row r="1077" spans="1:10" x14ac:dyDescent="0.25">
      <c r="A1077">
        <v>234943</v>
      </c>
      <c r="B1077" t="s">
        <v>1144</v>
      </c>
      <c r="C1077" t="str">
        <f>"9780240806464"</f>
        <v>9780240806464</v>
      </c>
      <c r="D1077" t="str">
        <f>"9780080498720"</f>
        <v>9780080498720</v>
      </c>
      <c r="E1077" t="s">
        <v>15</v>
      </c>
      <c r="F1077" t="s">
        <v>16</v>
      </c>
      <c r="G1077" s="1">
        <v>38462</v>
      </c>
      <c r="H1077" s="1">
        <v>38610</v>
      </c>
      <c r="I1077" t="s">
        <v>12</v>
      </c>
      <c r="J1077" t="s">
        <v>11847</v>
      </c>
    </row>
    <row r="1078" spans="1:10" x14ac:dyDescent="0.25">
      <c r="A1078">
        <v>234994</v>
      </c>
      <c r="B1078" t="s">
        <v>1145</v>
      </c>
      <c r="C1078" t="str">
        <f>"9780750664547"</f>
        <v>9780750664547</v>
      </c>
      <c r="D1078" t="str">
        <f>"9780080478395"</f>
        <v>9780080478395</v>
      </c>
      <c r="E1078" t="s">
        <v>15</v>
      </c>
      <c r="F1078" t="s">
        <v>16</v>
      </c>
      <c r="G1078" s="1">
        <v>38495</v>
      </c>
      <c r="H1078" s="1">
        <v>38610</v>
      </c>
      <c r="I1078" t="s">
        <v>12</v>
      </c>
      <c r="J1078" t="s">
        <v>11848</v>
      </c>
    </row>
    <row r="1079" spans="1:10" x14ac:dyDescent="0.25">
      <c r="A1079">
        <v>235019</v>
      </c>
      <c r="B1079" t="s">
        <v>1146</v>
      </c>
      <c r="C1079" t="str">
        <f>"9780750665988"</f>
        <v>9780750665988</v>
      </c>
      <c r="D1079" t="str">
        <f>"9780080457703"</f>
        <v>9780080457703</v>
      </c>
      <c r="E1079" t="s">
        <v>1119</v>
      </c>
      <c r="F1079" t="s">
        <v>1147</v>
      </c>
      <c r="G1079" s="1">
        <v>38476</v>
      </c>
      <c r="H1079" s="1">
        <v>38600</v>
      </c>
      <c r="I1079" t="s">
        <v>12</v>
      </c>
      <c r="J1079" t="s">
        <v>11849</v>
      </c>
    </row>
    <row r="1080" spans="1:10" x14ac:dyDescent="0.25">
      <c r="A1080">
        <v>235025</v>
      </c>
      <c r="B1080" t="s">
        <v>1148</v>
      </c>
      <c r="C1080" t="str">
        <f>"9780750666602"</f>
        <v>9780750666602</v>
      </c>
      <c r="D1080" t="str">
        <f>"9780080476896"</f>
        <v>9780080476896</v>
      </c>
      <c r="E1080" t="s">
        <v>1119</v>
      </c>
      <c r="F1080" t="s">
        <v>1147</v>
      </c>
      <c r="G1080" s="1">
        <v>38476</v>
      </c>
      <c r="H1080" s="1">
        <v>38609</v>
      </c>
      <c r="I1080" t="s">
        <v>12</v>
      </c>
      <c r="J1080" t="s">
        <v>11850</v>
      </c>
    </row>
    <row r="1081" spans="1:10" x14ac:dyDescent="0.25">
      <c r="A1081">
        <v>235029</v>
      </c>
      <c r="B1081" t="s">
        <v>1149</v>
      </c>
      <c r="C1081" t="str">
        <f>"9781853597343"</f>
        <v>9781853597343</v>
      </c>
      <c r="D1081" t="str">
        <f>"9781853597350"</f>
        <v>9781853597350</v>
      </c>
      <c r="E1081" t="s">
        <v>886</v>
      </c>
      <c r="F1081" t="s">
        <v>887</v>
      </c>
      <c r="G1081" s="1">
        <v>38307</v>
      </c>
      <c r="H1081" s="1">
        <v>38686</v>
      </c>
      <c r="I1081" t="s">
        <v>12</v>
      </c>
      <c r="J1081" t="s">
        <v>11851</v>
      </c>
    </row>
    <row r="1082" spans="1:10" x14ac:dyDescent="0.25">
      <c r="A1082">
        <v>235030</v>
      </c>
      <c r="B1082" t="s">
        <v>1150</v>
      </c>
      <c r="C1082" t="str">
        <f>"9781853597473"</f>
        <v>9781853597473</v>
      </c>
      <c r="D1082" t="str">
        <f>"9781853597480"</f>
        <v>9781853597480</v>
      </c>
      <c r="E1082" t="s">
        <v>886</v>
      </c>
      <c r="F1082" t="s">
        <v>887</v>
      </c>
      <c r="G1082" s="1">
        <v>38337</v>
      </c>
      <c r="H1082" s="1">
        <v>38685</v>
      </c>
      <c r="I1082" t="s">
        <v>12</v>
      </c>
      <c r="J1082" t="s">
        <v>11852</v>
      </c>
    </row>
    <row r="1083" spans="1:10" x14ac:dyDescent="0.25">
      <c r="A1083">
        <v>235031</v>
      </c>
      <c r="B1083" t="s">
        <v>1151</v>
      </c>
      <c r="C1083" t="str">
        <f>"9781853597701"</f>
        <v>9781853597701</v>
      </c>
      <c r="D1083" t="str">
        <f>"9781853597718"</f>
        <v>9781853597718</v>
      </c>
      <c r="E1083" t="s">
        <v>886</v>
      </c>
      <c r="F1083" t="s">
        <v>887</v>
      </c>
      <c r="G1083" s="1">
        <v>38401</v>
      </c>
      <c r="H1083" s="1">
        <v>38685</v>
      </c>
      <c r="I1083" t="s">
        <v>12</v>
      </c>
      <c r="J1083" t="s">
        <v>11853</v>
      </c>
    </row>
    <row r="1084" spans="1:10" x14ac:dyDescent="0.25">
      <c r="A1084">
        <v>235034</v>
      </c>
      <c r="B1084" t="s">
        <v>1152</v>
      </c>
      <c r="C1084" t="str">
        <f>"9781873150924"</f>
        <v>9781873150924</v>
      </c>
      <c r="D1084" t="str">
        <f>"9781873150948"</f>
        <v>9781873150948</v>
      </c>
      <c r="E1084" t="s">
        <v>886</v>
      </c>
      <c r="F1084" t="s">
        <v>886</v>
      </c>
      <c r="G1084" s="1">
        <v>38405</v>
      </c>
      <c r="H1084" s="1">
        <v>38685</v>
      </c>
      <c r="I1084" t="s">
        <v>12</v>
      </c>
      <c r="J1084" t="s">
        <v>11854</v>
      </c>
    </row>
    <row r="1085" spans="1:10" x14ac:dyDescent="0.25">
      <c r="A1085">
        <v>235036</v>
      </c>
      <c r="B1085" t="s">
        <v>1153</v>
      </c>
      <c r="C1085" t="str">
        <f>"9781853597916"</f>
        <v>9781853597916</v>
      </c>
      <c r="D1085" t="str">
        <f>"9781853597923"</f>
        <v>9781853597923</v>
      </c>
      <c r="E1085" t="s">
        <v>887</v>
      </c>
      <c r="F1085" t="s">
        <v>887</v>
      </c>
      <c r="G1085" s="1">
        <v>38418</v>
      </c>
      <c r="H1085" s="1">
        <v>38686</v>
      </c>
      <c r="I1085" t="s">
        <v>12</v>
      </c>
      <c r="J1085" t="s">
        <v>11855</v>
      </c>
    </row>
    <row r="1086" spans="1:10" x14ac:dyDescent="0.25">
      <c r="A1086">
        <v>235037</v>
      </c>
      <c r="B1086" t="s">
        <v>1154</v>
      </c>
      <c r="C1086" t="str">
        <f>"9781853597855"</f>
        <v>9781853597855</v>
      </c>
      <c r="D1086" t="str">
        <f>"9781853597862"</f>
        <v>9781853597862</v>
      </c>
      <c r="E1086" t="s">
        <v>886</v>
      </c>
      <c r="F1086" t="s">
        <v>887</v>
      </c>
      <c r="G1086" s="1">
        <v>38418</v>
      </c>
      <c r="H1086" s="1">
        <v>38686</v>
      </c>
      <c r="I1086" t="s">
        <v>12</v>
      </c>
      <c r="J1086" t="s">
        <v>11856</v>
      </c>
    </row>
    <row r="1087" spans="1:10" x14ac:dyDescent="0.25">
      <c r="A1087">
        <v>235040</v>
      </c>
      <c r="B1087" t="s">
        <v>1155</v>
      </c>
      <c r="C1087" t="str">
        <f>"9781853597763"</f>
        <v>9781853597763</v>
      </c>
      <c r="D1087" t="str">
        <f>"9781853597770"</f>
        <v>9781853597770</v>
      </c>
      <c r="E1087" t="s">
        <v>886</v>
      </c>
      <c r="F1087" t="s">
        <v>887</v>
      </c>
      <c r="G1087" s="1">
        <v>38434</v>
      </c>
      <c r="H1087" s="1">
        <v>38684</v>
      </c>
      <c r="I1087" t="s">
        <v>12</v>
      </c>
      <c r="J1087" t="s">
        <v>11857</v>
      </c>
    </row>
    <row r="1088" spans="1:10" x14ac:dyDescent="0.25">
      <c r="A1088">
        <v>235043</v>
      </c>
      <c r="B1088" t="s">
        <v>1156</v>
      </c>
      <c r="C1088" t="str">
        <f>"9781853598005"</f>
        <v>9781853598005</v>
      </c>
      <c r="D1088" t="str">
        <f>"9781853598012"</f>
        <v>9781853598012</v>
      </c>
      <c r="E1088" t="s">
        <v>886</v>
      </c>
      <c r="F1088" t="s">
        <v>887</v>
      </c>
      <c r="G1088" s="1">
        <v>38448</v>
      </c>
      <c r="H1088" s="1">
        <v>38686</v>
      </c>
      <c r="I1088" t="s">
        <v>12</v>
      </c>
      <c r="J1088" t="s">
        <v>11858</v>
      </c>
    </row>
    <row r="1089" spans="1:10" x14ac:dyDescent="0.25">
      <c r="A1089">
        <v>235050</v>
      </c>
      <c r="B1089" t="s">
        <v>1157</v>
      </c>
      <c r="C1089" t="str">
        <f>"9781853598098"</f>
        <v>9781853598098</v>
      </c>
      <c r="D1089" t="str">
        <f>"9781853598104"</f>
        <v>9781853598104</v>
      </c>
      <c r="E1089" t="s">
        <v>886</v>
      </c>
      <c r="F1089" t="s">
        <v>887</v>
      </c>
      <c r="G1089" s="1">
        <v>38489</v>
      </c>
      <c r="H1089" s="1">
        <v>38687</v>
      </c>
      <c r="I1089" t="s">
        <v>12</v>
      </c>
      <c r="J1089" t="s">
        <v>11859</v>
      </c>
    </row>
    <row r="1090" spans="1:10" x14ac:dyDescent="0.25">
      <c r="A1090">
        <v>235051</v>
      </c>
      <c r="B1090" t="s">
        <v>1158</v>
      </c>
      <c r="C1090" t="str">
        <f>"9781853597947"</f>
        <v>9781853597947</v>
      </c>
      <c r="D1090" t="str">
        <f>"9781853597954"</f>
        <v>9781853597954</v>
      </c>
      <c r="E1090" t="s">
        <v>886</v>
      </c>
      <c r="F1090" t="s">
        <v>887</v>
      </c>
      <c r="G1090" s="1">
        <v>38495</v>
      </c>
      <c r="H1090" s="1">
        <v>38685</v>
      </c>
      <c r="I1090" t="s">
        <v>12</v>
      </c>
      <c r="J1090" t="s">
        <v>11860</v>
      </c>
    </row>
    <row r="1091" spans="1:10" x14ac:dyDescent="0.25">
      <c r="A1091">
        <v>235052</v>
      </c>
      <c r="B1091" t="s">
        <v>1159</v>
      </c>
      <c r="C1091" t="str">
        <f>"9781853598258"</f>
        <v>9781853598258</v>
      </c>
      <c r="D1091" t="str">
        <f>"9781853598265"</f>
        <v>9781853598265</v>
      </c>
      <c r="E1091" t="s">
        <v>886</v>
      </c>
      <c r="F1091" t="s">
        <v>887</v>
      </c>
      <c r="G1091" s="1">
        <v>38537</v>
      </c>
      <c r="H1091" s="1">
        <v>38684</v>
      </c>
      <c r="I1091" t="s">
        <v>12</v>
      </c>
      <c r="J1091" t="s">
        <v>11861</v>
      </c>
    </row>
    <row r="1092" spans="1:10" x14ac:dyDescent="0.25">
      <c r="A1092">
        <v>235084</v>
      </c>
      <c r="B1092" t="s">
        <v>1160</v>
      </c>
      <c r="C1092" t="str">
        <f>"9780415138048"</f>
        <v>9780415138048</v>
      </c>
      <c r="D1092" t="str">
        <f>"9780203992692"</f>
        <v>9780203992692</v>
      </c>
      <c r="E1092" t="s">
        <v>15</v>
      </c>
      <c r="F1092" t="s">
        <v>16</v>
      </c>
      <c r="G1092" s="1">
        <v>35433</v>
      </c>
      <c r="H1092" s="1">
        <v>38583</v>
      </c>
      <c r="I1092" t="s">
        <v>12</v>
      </c>
      <c r="J1092" t="s">
        <v>11862</v>
      </c>
    </row>
    <row r="1093" spans="1:10" x14ac:dyDescent="0.25">
      <c r="A1093">
        <v>235099</v>
      </c>
      <c r="B1093" t="s">
        <v>1161</v>
      </c>
      <c r="C1093" t="str">
        <f>"9780750700849"</f>
        <v>9780750700849</v>
      </c>
      <c r="D1093" t="str">
        <f>"9780203974810"</f>
        <v>9780203974810</v>
      </c>
      <c r="E1093" t="s">
        <v>15</v>
      </c>
      <c r="F1093" t="s">
        <v>16</v>
      </c>
      <c r="G1093" s="1">
        <v>34455</v>
      </c>
      <c r="H1093" s="1">
        <v>38585</v>
      </c>
      <c r="I1093" t="s">
        <v>12</v>
      </c>
      <c r="J1093" t="s">
        <v>11863</v>
      </c>
    </row>
    <row r="1094" spans="1:10" x14ac:dyDescent="0.25">
      <c r="A1094">
        <v>235100</v>
      </c>
      <c r="B1094" t="s">
        <v>1162</v>
      </c>
      <c r="C1094" t="str">
        <f>"9780415230926"</f>
        <v>9780415230926</v>
      </c>
      <c r="D1094" t="str">
        <f>"9780203994825"</f>
        <v>9780203994825</v>
      </c>
      <c r="E1094" t="s">
        <v>15</v>
      </c>
      <c r="F1094" t="s">
        <v>16</v>
      </c>
      <c r="G1094" s="1">
        <v>37547</v>
      </c>
      <c r="H1094" s="1">
        <v>38583</v>
      </c>
      <c r="I1094" t="s">
        <v>12</v>
      </c>
      <c r="J1094" t="s">
        <v>11864</v>
      </c>
    </row>
    <row r="1095" spans="1:10" x14ac:dyDescent="0.25">
      <c r="A1095">
        <v>235110</v>
      </c>
      <c r="B1095" t="s">
        <v>1163</v>
      </c>
      <c r="C1095" t="str">
        <f>"9780415144339"</f>
        <v>9780415144339</v>
      </c>
      <c r="D1095" t="str">
        <f>"9780203979419"</f>
        <v>9780203979419</v>
      </c>
      <c r="E1095" t="s">
        <v>15</v>
      </c>
      <c r="F1095" t="s">
        <v>16</v>
      </c>
      <c r="G1095" s="1">
        <v>36466</v>
      </c>
      <c r="H1095" s="1">
        <v>38583</v>
      </c>
      <c r="I1095" t="s">
        <v>12</v>
      </c>
      <c r="J1095" t="s">
        <v>11865</v>
      </c>
    </row>
    <row r="1096" spans="1:10" x14ac:dyDescent="0.25">
      <c r="A1096">
        <v>235113</v>
      </c>
      <c r="B1096" t="s">
        <v>1164</v>
      </c>
      <c r="C1096" t="str">
        <f>"9780415158190"</f>
        <v>9780415158190</v>
      </c>
      <c r="D1096" t="str">
        <f>"9780203993255"</f>
        <v>9780203993255</v>
      </c>
      <c r="E1096" t="s">
        <v>15</v>
      </c>
      <c r="F1096" t="s">
        <v>16</v>
      </c>
      <c r="G1096" s="1">
        <v>35683</v>
      </c>
      <c r="H1096" s="1">
        <v>38609</v>
      </c>
      <c r="I1096" t="s">
        <v>12</v>
      </c>
      <c r="J1096" t="s">
        <v>11866</v>
      </c>
    </row>
    <row r="1097" spans="1:10" x14ac:dyDescent="0.25">
      <c r="A1097">
        <v>235118</v>
      </c>
      <c r="B1097" t="s">
        <v>1165</v>
      </c>
      <c r="C1097" t="str">
        <f>"9780415127509"</f>
        <v>9780415127509</v>
      </c>
      <c r="D1097" t="str">
        <f>"9780203977200"</f>
        <v>9780203977200</v>
      </c>
      <c r="E1097" t="s">
        <v>15</v>
      </c>
      <c r="F1097" t="s">
        <v>16</v>
      </c>
      <c r="G1097" s="1">
        <v>35537</v>
      </c>
      <c r="H1097" s="1">
        <v>38587</v>
      </c>
      <c r="I1097" t="s">
        <v>12</v>
      </c>
      <c r="J1097" t="s">
        <v>11867</v>
      </c>
    </row>
    <row r="1098" spans="1:10" x14ac:dyDescent="0.25">
      <c r="A1098">
        <v>235140</v>
      </c>
      <c r="B1098" t="s">
        <v>1166</v>
      </c>
      <c r="C1098" t="str">
        <f>"9780415289511"</f>
        <v>9780415289511</v>
      </c>
      <c r="D1098" t="str">
        <f>"9780203995020"</f>
        <v>9780203995020</v>
      </c>
      <c r="E1098" t="s">
        <v>15</v>
      </c>
      <c r="F1098" t="s">
        <v>16</v>
      </c>
      <c r="G1098" s="1">
        <v>37617</v>
      </c>
      <c r="H1098" s="1">
        <v>38585</v>
      </c>
      <c r="I1098" t="s">
        <v>12</v>
      </c>
      <c r="J1098" t="s">
        <v>11868</v>
      </c>
    </row>
    <row r="1099" spans="1:10" x14ac:dyDescent="0.25">
      <c r="A1099">
        <v>235149</v>
      </c>
      <c r="B1099" t="s">
        <v>1167</v>
      </c>
      <c r="C1099" t="str">
        <f>"9780415233781"</f>
        <v>9780415233781</v>
      </c>
      <c r="D1099" t="str">
        <f>"9780203994528"</f>
        <v>9780203994528</v>
      </c>
      <c r="E1099" t="s">
        <v>15</v>
      </c>
      <c r="F1099" t="s">
        <v>16</v>
      </c>
      <c r="G1099" s="1">
        <v>37587</v>
      </c>
      <c r="H1099" s="1">
        <v>38586</v>
      </c>
      <c r="I1099" t="s">
        <v>12</v>
      </c>
      <c r="J1099" t="s">
        <v>11869</v>
      </c>
    </row>
    <row r="1100" spans="1:10" x14ac:dyDescent="0.25">
      <c r="A1100">
        <v>235172</v>
      </c>
      <c r="B1100" t="s">
        <v>1168</v>
      </c>
      <c r="C1100" t="str">
        <f>"9780415145107"</f>
        <v>9780415145107</v>
      </c>
      <c r="D1100" t="str">
        <f>"9780203983300"</f>
        <v>9780203983300</v>
      </c>
      <c r="E1100" t="s">
        <v>15</v>
      </c>
      <c r="F1100" t="s">
        <v>16</v>
      </c>
      <c r="G1100" s="1">
        <v>36504</v>
      </c>
      <c r="H1100" s="1">
        <v>38583</v>
      </c>
      <c r="I1100" t="s">
        <v>12</v>
      </c>
      <c r="J1100" t="s">
        <v>11870</v>
      </c>
    </row>
    <row r="1101" spans="1:10" x14ac:dyDescent="0.25">
      <c r="A1101">
        <v>235213</v>
      </c>
      <c r="B1101" t="s">
        <v>1169</v>
      </c>
      <c r="C1101" t="str">
        <f>"9780419218203"</f>
        <v>9780419218203</v>
      </c>
      <c r="D1101" t="str">
        <f>"9780203985731"</f>
        <v>9780203985731</v>
      </c>
      <c r="E1101" t="s">
        <v>16</v>
      </c>
      <c r="F1101" t="s">
        <v>1170</v>
      </c>
      <c r="G1101" s="1">
        <v>35200</v>
      </c>
      <c r="H1101" s="1">
        <v>38586</v>
      </c>
      <c r="I1101" t="s">
        <v>12</v>
      </c>
      <c r="J1101" t="s">
        <v>11871</v>
      </c>
    </row>
    <row r="1102" spans="1:10" x14ac:dyDescent="0.25">
      <c r="A1102">
        <v>235218</v>
      </c>
      <c r="B1102" t="s">
        <v>1171</v>
      </c>
      <c r="C1102" t="str">
        <f>"9780714641546"</f>
        <v>9780714641546</v>
      </c>
      <c r="D1102" t="str">
        <f>"9780203988367"</f>
        <v>9780203988367</v>
      </c>
      <c r="E1102" t="s">
        <v>15</v>
      </c>
      <c r="F1102" t="s">
        <v>16</v>
      </c>
      <c r="G1102" s="1">
        <v>35216</v>
      </c>
      <c r="H1102" s="1">
        <v>38589</v>
      </c>
      <c r="I1102" t="s">
        <v>12</v>
      </c>
      <c r="J1102" t="s">
        <v>11872</v>
      </c>
    </row>
    <row r="1103" spans="1:10" x14ac:dyDescent="0.25">
      <c r="A1103">
        <v>235237</v>
      </c>
      <c r="B1103" t="s">
        <v>1172</v>
      </c>
      <c r="C1103" t="str">
        <f>"9780714643533"</f>
        <v>9780714643533</v>
      </c>
      <c r="D1103" t="str">
        <f>"9780203988633"</f>
        <v>9780203988633</v>
      </c>
      <c r="E1103" t="s">
        <v>15</v>
      </c>
      <c r="F1103" t="s">
        <v>16</v>
      </c>
      <c r="G1103" s="1">
        <v>35947</v>
      </c>
      <c r="H1103" s="1">
        <v>38586</v>
      </c>
      <c r="I1103" t="s">
        <v>12</v>
      </c>
      <c r="J1103" t="s">
        <v>11873</v>
      </c>
    </row>
    <row r="1104" spans="1:10" x14ac:dyDescent="0.25">
      <c r="A1104">
        <v>235238</v>
      </c>
      <c r="B1104" t="s">
        <v>1173</v>
      </c>
      <c r="C1104" t="str">
        <f>"9780415059183"</f>
        <v>9780415059183</v>
      </c>
      <c r="D1104" t="str">
        <f>"9780203996454"</f>
        <v>9780203996454</v>
      </c>
      <c r="E1104" t="s">
        <v>15</v>
      </c>
      <c r="F1104" t="s">
        <v>16</v>
      </c>
      <c r="G1104" s="1">
        <v>31681</v>
      </c>
      <c r="H1104" s="1">
        <v>38586</v>
      </c>
      <c r="I1104" t="s">
        <v>12</v>
      </c>
      <c r="J1104" t="s">
        <v>11874</v>
      </c>
    </row>
    <row r="1105" spans="1:10" x14ac:dyDescent="0.25">
      <c r="A1105">
        <v>235244</v>
      </c>
      <c r="B1105" t="s">
        <v>1174</v>
      </c>
      <c r="C1105" t="str">
        <f>"9780750706049"</f>
        <v>9780750706049</v>
      </c>
      <c r="D1105" t="str">
        <f>"9780203973721"</f>
        <v>9780203973721</v>
      </c>
      <c r="E1105" t="s">
        <v>15</v>
      </c>
      <c r="F1105" t="s">
        <v>16</v>
      </c>
      <c r="G1105" s="1">
        <v>35521</v>
      </c>
      <c r="H1105" s="1">
        <v>38586</v>
      </c>
      <c r="I1105" t="s">
        <v>12</v>
      </c>
      <c r="J1105" t="s">
        <v>11875</v>
      </c>
    </row>
    <row r="1106" spans="1:10" x14ac:dyDescent="0.25">
      <c r="A1106">
        <v>235249</v>
      </c>
      <c r="B1106" t="s">
        <v>1175</v>
      </c>
      <c r="C1106" t="str">
        <f>"9780714633213"</f>
        <v>9780714633213</v>
      </c>
      <c r="D1106" t="str">
        <f>"9780203988039"</f>
        <v>9780203988039</v>
      </c>
      <c r="E1106" t="s">
        <v>15</v>
      </c>
      <c r="F1106" t="s">
        <v>16</v>
      </c>
      <c r="G1106" s="1">
        <v>32112</v>
      </c>
      <c r="H1106" s="1">
        <v>38588</v>
      </c>
      <c r="I1106" t="s">
        <v>12</v>
      </c>
      <c r="J1106" t="s">
        <v>11876</v>
      </c>
    </row>
    <row r="1107" spans="1:10" x14ac:dyDescent="0.25">
      <c r="A1107">
        <v>235288</v>
      </c>
      <c r="B1107" t="s">
        <v>1176</v>
      </c>
      <c r="C1107" t="str">
        <f>"9780700714964"</f>
        <v>9780700714964</v>
      </c>
      <c r="D1107" t="str">
        <f>"9780203989050"</f>
        <v>9780203989050</v>
      </c>
      <c r="E1107" t="s">
        <v>15</v>
      </c>
      <c r="F1107" t="s">
        <v>16</v>
      </c>
      <c r="G1107" s="1">
        <v>37805</v>
      </c>
      <c r="H1107" s="1">
        <v>38589</v>
      </c>
      <c r="I1107" t="s">
        <v>12</v>
      </c>
      <c r="J1107" t="s">
        <v>11877</v>
      </c>
    </row>
    <row r="1108" spans="1:10" x14ac:dyDescent="0.25">
      <c r="A1108">
        <v>235289</v>
      </c>
      <c r="B1108" t="s">
        <v>1177</v>
      </c>
      <c r="C1108" t="str">
        <f>"9780415109505"</f>
        <v>9780415109505</v>
      </c>
      <c r="D1108" t="str">
        <f>"9780203981696"</f>
        <v>9780203981696</v>
      </c>
      <c r="E1108" t="s">
        <v>15</v>
      </c>
      <c r="F1108" t="s">
        <v>16</v>
      </c>
      <c r="G1108" s="1">
        <v>34786</v>
      </c>
      <c r="H1108" s="1">
        <v>38594</v>
      </c>
      <c r="I1108" t="s">
        <v>12</v>
      </c>
      <c r="J1108" t="s">
        <v>11878</v>
      </c>
    </row>
    <row r="1109" spans="1:10" x14ac:dyDescent="0.25">
      <c r="A1109">
        <v>235313</v>
      </c>
      <c r="B1109" t="s">
        <v>1178</v>
      </c>
      <c r="C1109" t="str">
        <f>"9781857285901"</f>
        <v>9781857285901</v>
      </c>
      <c r="D1109" t="str">
        <f>"9780203978603"</f>
        <v>9780203978603</v>
      </c>
      <c r="E1109" t="s">
        <v>15</v>
      </c>
      <c r="F1109" t="s">
        <v>16</v>
      </c>
      <c r="G1109" s="1">
        <v>36130</v>
      </c>
      <c r="H1109" s="1">
        <v>38587</v>
      </c>
      <c r="I1109" t="s">
        <v>12</v>
      </c>
      <c r="J1109" t="s">
        <v>11879</v>
      </c>
    </row>
    <row r="1110" spans="1:10" x14ac:dyDescent="0.25">
      <c r="A1110">
        <v>235345</v>
      </c>
      <c r="B1110" t="s">
        <v>1179</v>
      </c>
      <c r="C1110" t="str">
        <f>"9780415215855"</f>
        <v>9780415215855</v>
      </c>
      <c r="D1110" t="str">
        <f>"9780203982259"</f>
        <v>9780203982259</v>
      </c>
      <c r="E1110" t="s">
        <v>15</v>
      </c>
      <c r="F1110" t="s">
        <v>16</v>
      </c>
      <c r="G1110" s="1">
        <v>36545</v>
      </c>
      <c r="H1110" s="1">
        <v>38587</v>
      </c>
      <c r="I1110" t="s">
        <v>12</v>
      </c>
      <c r="J1110" t="s">
        <v>11880</v>
      </c>
    </row>
    <row r="1111" spans="1:10" x14ac:dyDescent="0.25">
      <c r="A1111">
        <v>235371</v>
      </c>
      <c r="B1111" t="s">
        <v>1180</v>
      </c>
      <c r="C1111" t="str">
        <f>"9780415137218"</f>
        <v>9780415137218</v>
      </c>
      <c r="D1111" t="str">
        <f>"9780203982273"</f>
        <v>9780203982273</v>
      </c>
      <c r="E1111" t="s">
        <v>15</v>
      </c>
      <c r="F1111" t="s">
        <v>16</v>
      </c>
      <c r="G1111" s="1">
        <v>35160</v>
      </c>
      <c r="H1111" s="1">
        <v>38589</v>
      </c>
      <c r="I1111" t="s">
        <v>12</v>
      </c>
      <c r="J1111" t="s">
        <v>11881</v>
      </c>
    </row>
    <row r="1112" spans="1:10" x14ac:dyDescent="0.25">
      <c r="A1112">
        <v>235396</v>
      </c>
      <c r="B1112" t="s">
        <v>1181</v>
      </c>
      <c r="C1112" t="str">
        <f>"9780415199490"</f>
        <v>9780415199490</v>
      </c>
      <c r="D1112" t="str">
        <f>"9780203984536"</f>
        <v>9780203984536</v>
      </c>
      <c r="E1112" t="s">
        <v>15</v>
      </c>
      <c r="F1112" t="s">
        <v>16</v>
      </c>
      <c r="G1112" s="1">
        <v>36564</v>
      </c>
      <c r="H1112" s="1">
        <v>38589</v>
      </c>
      <c r="I1112" t="s">
        <v>12</v>
      </c>
      <c r="J1112" t="s">
        <v>11882</v>
      </c>
    </row>
    <row r="1113" spans="1:10" x14ac:dyDescent="0.25">
      <c r="A1113">
        <v>235401</v>
      </c>
      <c r="B1113" t="s">
        <v>1182</v>
      </c>
      <c r="C1113" t="str">
        <f>"9781841691800"</f>
        <v>9781841691800</v>
      </c>
      <c r="D1113" t="str">
        <f>"9780203989173"</f>
        <v>9780203989173</v>
      </c>
      <c r="E1113" t="s">
        <v>15</v>
      </c>
      <c r="F1113" t="s">
        <v>55</v>
      </c>
      <c r="G1113" s="1">
        <v>37351</v>
      </c>
      <c r="H1113" s="1">
        <v>38587</v>
      </c>
      <c r="I1113" t="s">
        <v>12</v>
      </c>
      <c r="J1113" t="s">
        <v>11883</v>
      </c>
    </row>
    <row r="1114" spans="1:10" x14ac:dyDescent="0.25">
      <c r="A1114">
        <v>235406</v>
      </c>
      <c r="B1114" t="s">
        <v>1183</v>
      </c>
      <c r="C1114" t="str">
        <f>"9780415127431"</f>
        <v>9780415127431</v>
      </c>
      <c r="D1114" t="str">
        <f>"9780203974360"</f>
        <v>9780203974360</v>
      </c>
      <c r="E1114" t="s">
        <v>15</v>
      </c>
      <c r="F1114" t="s">
        <v>16</v>
      </c>
      <c r="G1114" s="1">
        <v>35649</v>
      </c>
      <c r="H1114" s="1">
        <v>38587</v>
      </c>
      <c r="I1114" t="s">
        <v>12</v>
      </c>
      <c r="J1114" t="s">
        <v>11884</v>
      </c>
    </row>
    <row r="1115" spans="1:10" x14ac:dyDescent="0.25">
      <c r="A1115">
        <v>236236</v>
      </c>
      <c r="B1115" t="s">
        <v>1184</v>
      </c>
      <c r="C1115" t="str">
        <f>"9789264006829"</f>
        <v>9789264006829</v>
      </c>
      <c r="D1115" t="str">
        <f>"9789264006843"</f>
        <v>9789264006843</v>
      </c>
      <c r="E1115" t="s">
        <v>1185</v>
      </c>
      <c r="F1115" t="s">
        <v>1186</v>
      </c>
      <c r="G1115" s="1">
        <v>28216</v>
      </c>
      <c r="H1115" s="1">
        <v>38583</v>
      </c>
      <c r="I1115" t="s">
        <v>12</v>
      </c>
      <c r="J1115" t="s">
        <v>11885</v>
      </c>
    </row>
    <row r="1116" spans="1:10" x14ac:dyDescent="0.25">
      <c r="A1116">
        <v>236274</v>
      </c>
      <c r="B1116" t="s">
        <v>1187</v>
      </c>
      <c r="C1116" t="str">
        <f>"9789264007062"</f>
        <v>9789264007062</v>
      </c>
      <c r="D1116" t="str">
        <f>"9789264007086"</f>
        <v>9789264007086</v>
      </c>
      <c r="E1116" t="s">
        <v>1185</v>
      </c>
      <c r="F1116" t="s">
        <v>1186</v>
      </c>
      <c r="G1116" s="1">
        <v>37895</v>
      </c>
      <c r="H1116" s="1">
        <v>38582</v>
      </c>
      <c r="I1116" t="s">
        <v>12</v>
      </c>
      <c r="J1116" t="s">
        <v>11886</v>
      </c>
    </row>
    <row r="1117" spans="1:10" x14ac:dyDescent="0.25">
      <c r="A1117">
        <v>236590</v>
      </c>
      <c r="B1117" t="s">
        <v>1188</v>
      </c>
      <c r="C1117" t="str">
        <f>"9781591406402"</f>
        <v>9781591406402</v>
      </c>
      <c r="D1117" t="str">
        <f>"9781591406433"</f>
        <v>9781591406433</v>
      </c>
      <c r="E1117" t="s">
        <v>623</v>
      </c>
      <c r="F1117" t="s">
        <v>624</v>
      </c>
      <c r="G1117" s="1">
        <v>38625</v>
      </c>
      <c r="H1117" s="1">
        <v>38587</v>
      </c>
      <c r="I1117" t="s">
        <v>12</v>
      </c>
      <c r="J1117" t="s">
        <v>11887</v>
      </c>
    </row>
    <row r="1118" spans="1:10" x14ac:dyDescent="0.25">
      <c r="A1118">
        <v>236834</v>
      </c>
      <c r="B1118" t="s">
        <v>1189</v>
      </c>
      <c r="C1118" t="str">
        <f>"9780833036940"</f>
        <v>9780833036940</v>
      </c>
      <c r="D1118" t="str">
        <f>"9780833040626"</f>
        <v>9780833040626</v>
      </c>
      <c r="E1118" t="s">
        <v>1063</v>
      </c>
      <c r="F1118" t="s">
        <v>1064</v>
      </c>
      <c r="G1118" s="1">
        <v>36952</v>
      </c>
      <c r="H1118" s="1">
        <v>39260</v>
      </c>
      <c r="I1118" t="s">
        <v>12</v>
      </c>
      <c r="J1118" t="s">
        <v>11888</v>
      </c>
    </row>
    <row r="1119" spans="1:10" x14ac:dyDescent="0.25">
      <c r="A1119">
        <v>237250</v>
      </c>
      <c r="B1119" t="s">
        <v>1190</v>
      </c>
      <c r="C1119" t="str">
        <f>"9780415069250"</f>
        <v>9780415069250</v>
      </c>
      <c r="D1119" t="str">
        <f>"9780203421772"</f>
        <v>9780203421772</v>
      </c>
      <c r="E1119" t="s">
        <v>15</v>
      </c>
      <c r="F1119" t="s">
        <v>16</v>
      </c>
      <c r="G1119" s="1">
        <v>33871</v>
      </c>
      <c r="H1119" s="1">
        <v>38592</v>
      </c>
      <c r="I1119" t="s">
        <v>12</v>
      </c>
      <c r="J1119" t="s">
        <v>11889</v>
      </c>
    </row>
    <row r="1120" spans="1:10" x14ac:dyDescent="0.25">
      <c r="A1120">
        <v>237251</v>
      </c>
      <c r="B1120" t="s">
        <v>1191</v>
      </c>
      <c r="C1120" t="str">
        <f>"9780415073530"</f>
        <v>9780415073530</v>
      </c>
      <c r="D1120" t="str">
        <f>"9780203981498"</f>
        <v>9780203981498</v>
      </c>
      <c r="E1120" t="s">
        <v>15</v>
      </c>
      <c r="F1120" t="s">
        <v>16</v>
      </c>
      <c r="G1120" s="1">
        <v>34305</v>
      </c>
      <c r="H1120" s="1">
        <v>38592</v>
      </c>
      <c r="I1120" t="s">
        <v>12</v>
      </c>
      <c r="J1120" t="s">
        <v>11890</v>
      </c>
    </row>
    <row r="1121" spans="1:10" x14ac:dyDescent="0.25">
      <c r="A1121">
        <v>237253</v>
      </c>
      <c r="B1121" t="s">
        <v>1192</v>
      </c>
      <c r="C1121" t="str">
        <f>"9780415089401"</f>
        <v>9780415089401</v>
      </c>
      <c r="D1121" t="str">
        <f>"9780203979433"</f>
        <v>9780203979433</v>
      </c>
      <c r="E1121" t="s">
        <v>15</v>
      </c>
      <c r="F1121" t="s">
        <v>16</v>
      </c>
      <c r="G1121" s="1">
        <v>33988</v>
      </c>
      <c r="H1121" s="1">
        <v>38592</v>
      </c>
      <c r="I1121" t="s">
        <v>12</v>
      </c>
      <c r="J1121" t="s">
        <v>11891</v>
      </c>
    </row>
    <row r="1122" spans="1:10" x14ac:dyDescent="0.25">
      <c r="A1122">
        <v>237257</v>
      </c>
      <c r="B1122" t="s">
        <v>1193</v>
      </c>
      <c r="C1122" t="str">
        <f>"9780415093576"</f>
        <v>9780415093576</v>
      </c>
      <c r="D1122" t="str">
        <f>"9780203978979"</f>
        <v>9780203978979</v>
      </c>
      <c r="E1122" t="s">
        <v>15</v>
      </c>
      <c r="F1122" t="s">
        <v>16</v>
      </c>
      <c r="G1122" s="1">
        <v>38624</v>
      </c>
      <c r="H1122" s="1">
        <v>38594</v>
      </c>
      <c r="I1122" t="s">
        <v>12</v>
      </c>
      <c r="J1122" t="s">
        <v>11892</v>
      </c>
    </row>
    <row r="1123" spans="1:10" x14ac:dyDescent="0.25">
      <c r="A1123">
        <v>237259</v>
      </c>
      <c r="B1123" t="s">
        <v>1194</v>
      </c>
      <c r="C1123" t="str">
        <f>"9780415095631"</f>
        <v>9780415095631</v>
      </c>
      <c r="D1123" t="str">
        <f>"9780203985236"</f>
        <v>9780203985236</v>
      </c>
      <c r="E1123" t="s">
        <v>16</v>
      </c>
      <c r="F1123" t="s">
        <v>16</v>
      </c>
      <c r="G1123" s="1">
        <v>34466</v>
      </c>
      <c r="H1123" s="1">
        <v>38595</v>
      </c>
      <c r="I1123" t="s">
        <v>12</v>
      </c>
      <c r="J1123" t="s">
        <v>11893</v>
      </c>
    </row>
    <row r="1124" spans="1:10" x14ac:dyDescent="0.25">
      <c r="A1124">
        <v>237287</v>
      </c>
      <c r="B1124" t="s">
        <v>1195</v>
      </c>
      <c r="C1124" t="str">
        <f>"9780415138734"</f>
        <v>9780415138734</v>
      </c>
      <c r="D1124" t="str">
        <f>"9780203992098"</f>
        <v>9780203992098</v>
      </c>
      <c r="E1124" t="s">
        <v>15</v>
      </c>
      <c r="F1124" t="s">
        <v>16</v>
      </c>
      <c r="G1124" s="1">
        <v>35702</v>
      </c>
      <c r="H1124" s="1">
        <v>38596</v>
      </c>
      <c r="I1124" t="s">
        <v>12</v>
      </c>
      <c r="J1124" t="s">
        <v>11894</v>
      </c>
    </row>
    <row r="1125" spans="1:10" x14ac:dyDescent="0.25">
      <c r="A1125">
        <v>237293</v>
      </c>
      <c r="B1125" t="s">
        <v>1196</v>
      </c>
      <c r="C1125" t="str">
        <f>"9780415148450"</f>
        <v>9780415148450</v>
      </c>
      <c r="D1125" t="str">
        <f>"9780203977767"</f>
        <v>9780203977767</v>
      </c>
      <c r="E1125" t="s">
        <v>15</v>
      </c>
      <c r="F1125" t="s">
        <v>16</v>
      </c>
      <c r="G1125" s="1">
        <v>36032</v>
      </c>
      <c r="H1125" s="1">
        <v>38592</v>
      </c>
      <c r="I1125" t="s">
        <v>12</v>
      </c>
      <c r="J1125" t="s">
        <v>11895</v>
      </c>
    </row>
    <row r="1126" spans="1:10" x14ac:dyDescent="0.25">
      <c r="A1126">
        <v>237328</v>
      </c>
      <c r="B1126" t="s">
        <v>1197</v>
      </c>
      <c r="C1126" t="str">
        <f>"9780415170635"</f>
        <v>9780415170635</v>
      </c>
      <c r="D1126" t="str">
        <f>"9780203983492"</f>
        <v>9780203983492</v>
      </c>
      <c r="E1126" t="s">
        <v>15</v>
      </c>
      <c r="F1126" t="s">
        <v>16</v>
      </c>
      <c r="G1126" s="1">
        <v>36189</v>
      </c>
      <c r="H1126" s="1">
        <v>38592</v>
      </c>
      <c r="I1126" t="s">
        <v>12</v>
      </c>
      <c r="J1126" t="s">
        <v>11896</v>
      </c>
    </row>
    <row r="1127" spans="1:10" x14ac:dyDescent="0.25">
      <c r="A1127">
        <v>237342</v>
      </c>
      <c r="B1127" t="s">
        <v>1198</v>
      </c>
      <c r="C1127" t="str">
        <f>"9780415257220"</f>
        <v>9780415257220</v>
      </c>
      <c r="D1127" t="str">
        <f>"9780203986899"</f>
        <v>9780203986899</v>
      </c>
      <c r="E1127" t="s">
        <v>15</v>
      </c>
      <c r="F1127" t="s">
        <v>16</v>
      </c>
      <c r="G1127" s="1">
        <v>37722</v>
      </c>
      <c r="H1127" s="1">
        <v>38592</v>
      </c>
      <c r="I1127" t="s">
        <v>12</v>
      </c>
      <c r="J1127" t="s">
        <v>11897</v>
      </c>
    </row>
    <row r="1128" spans="1:10" x14ac:dyDescent="0.25">
      <c r="A1128">
        <v>237344</v>
      </c>
      <c r="B1128" t="s">
        <v>1199</v>
      </c>
      <c r="C1128" t="str">
        <f>"9780415266475"</f>
        <v>9780415266475</v>
      </c>
      <c r="D1128" t="str">
        <f>"9780203987650"</f>
        <v>9780203987650</v>
      </c>
      <c r="E1128" t="s">
        <v>16</v>
      </c>
      <c r="F1128" t="s">
        <v>16</v>
      </c>
      <c r="G1128" s="1">
        <v>36526</v>
      </c>
      <c r="H1128" s="1">
        <v>38930</v>
      </c>
      <c r="I1128" t="s">
        <v>12</v>
      </c>
      <c r="J1128" t="s">
        <v>11898</v>
      </c>
    </row>
    <row r="1129" spans="1:10" x14ac:dyDescent="0.25">
      <c r="A1129">
        <v>237366</v>
      </c>
      <c r="B1129" t="s">
        <v>1200</v>
      </c>
      <c r="C1129" t="str">
        <f>"9780415950152"</f>
        <v>9780415950152</v>
      </c>
      <c r="D1129" t="str">
        <f>"9780203997918"</f>
        <v>9780203997918</v>
      </c>
      <c r="E1129" t="s">
        <v>15</v>
      </c>
      <c r="F1129" t="s">
        <v>16</v>
      </c>
      <c r="G1129" s="1">
        <v>38347</v>
      </c>
      <c r="H1129" s="1">
        <v>38592</v>
      </c>
      <c r="I1129" t="s">
        <v>12</v>
      </c>
      <c r="J1129" t="s">
        <v>11899</v>
      </c>
    </row>
    <row r="1130" spans="1:10" x14ac:dyDescent="0.25">
      <c r="A1130">
        <v>237371</v>
      </c>
      <c r="B1130" t="s">
        <v>1201</v>
      </c>
      <c r="C1130" t="str">
        <f>"9780419245308"</f>
        <v>9780419245308</v>
      </c>
      <c r="D1130" t="str">
        <f>"9780203984956"</f>
        <v>9780203984956</v>
      </c>
      <c r="E1130" t="s">
        <v>144</v>
      </c>
      <c r="F1130" t="s">
        <v>153</v>
      </c>
      <c r="G1130" s="1">
        <v>36266</v>
      </c>
      <c r="H1130" s="1">
        <v>38596</v>
      </c>
      <c r="I1130" t="s">
        <v>12</v>
      </c>
      <c r="J1130" t="s">
        <v>11900</v>
      </c>
    </row>
    <row r="1131" spans="1:10" x14ac:dyDescent="0.25">
      <c r="A1131">
        <v>237580</v>
      </c>
      <c r="B1131" t="s">
        <v>1202</v>
      </c>
      <c r="C1131" t="str">
        <f>"9780521839075"</f>
        <v>9780521839075</v>
      </c>
      <c r="D1131" t="str">
        <f>"9780511199684"</f>
        <v>9780511199684</v>
      </c>
      <c r="E1131" t="s">
        <v>18</v>
      </c>
      <c r="F1131" t="s">
        <v>18</v>
      </c>
      <c r="G1131" s="1">
        <v>38473</v>
      </c>
      <c r="H1131" s="1">
        <v>38598</v>
      </c>
      <c r="I1131" t="s">
        <v>12</v>
      </c>
      <c r="J1131" t="s">
        <v>11901</v>
      </c>
    </row>
    <row r="1132" spans="1:10" x14ac:dyDescent="0.25">
      <c r="A1132">
        <v>237593</v>
      </c>
      <c r="B1132" t="s">
        <v>1203</v>
      </c>
      <c r="C1132" t="str">
        <f>"9780521651172"</f>
        <v>9780521651172</v>
      </c>
      <c r="D1132" t="str">
        <f>"9780511199479"</f>
        <v>9780511199479</v>
      </c>
      <c r="E1132" t="s">
        <v>18</v>
      </c>
      <c r="F1132" t="s">
        <v>18</v>
      </c>
      <c r="G1132" s="1">
        <v>38504</v>
      </c>
      <c r="H1132" s="1">
        <v>38628</v>
      </c>
      <c r="I1132" t="s">
        <v>12</v>
      </c>
      <c r="J1132" t="s">
        <v>11902</v>
      </c>
    </row>
    <row r="1133" spans="1:10" x14ac:dyDescent="0.25">
      <c r="A1133">
        <v>237613</v>
      </c>
      <c r="B1133" t="s">
        <v>1204</v>
      </c>
      <c r="C1133" t="str">
        <f>"9780521845274"</f>
        <v>9780521845274</v>
      </c>
      <c r="D1133" t="str">
        <f>"9780511199158"</f>
        <v>9780511199158</v>
      </c>
      <c r="E1133" t="s">
        <v>18</v>
      </c>
      <c r="F1133" t="s">
        <v>18</v>
      </c>
      <c r="G1133" s="1">
        <v>38498</v>
      </c>
      <c r="H1133" s="1">
        <v>38598</v>
      </c>
      <c r="I1133" t="s">
        <v>12</v>
      </c>
      <c r="J1133" t="s">
        <v>11903</v>
      </c>
    </row>
    <row r="1134" spans="1:10" x14ac:dyDescent="0.25">
      <c r="A1134">
        <v>237615</v>
      </c>
      <c r="B1134" t="s">
        <v>1205</v>
      </c>
      <c r="C1134" t="str">
        <f>"9780521842914"</f>
        <v>9780521842914</v>
      </c>
      <c r="D1134" t="str">
        <f>"9780511199080"</f>
        <v>9780511199080</v>
      </c>
      <c r="E1134" t="s">
        <v>18</v>
      </c>
      <c r="F1134" t="s">
        <v>18</v>
      </c>
      <c r="G1134" s="1">
        <v>38617</v>
      </c>
      <c r="H1134" s="1">
        <v>38598</v>
      </c>
      <c r="I1134" t="s">
        <v>12</v>
      </c>
      <c r="J1134" t="s">
        <v>11904</v>
      </c>
    </row>
    <row r="1135" spans="1:10" x14ac:dyDescent="0.25">
      <c r="A1135">
        <v>238208</v>
      </c>
      <c r="B1135" t="s">
        <v>1206</v>
      </c>
      <c r="C1135" t="str">
        <f>"9781591407263"</f>
        <v>9781591407263</v>
      </c>
      <c r="D1135" t="str">
        <f>"9781591407287"</f>
        <v>9781591407287</v>
      </c>
      <c r="E1135" t="s">
        <v>623</v>
      </c>
      <c r="F1135" t="s">
        <v>624</v>
      </c>
      <c r="G1135" s="1">
        <v>38353</v>
      </c>
      <c r="H1135" s="1">
        <v>40634</v>
      </c>
      <c r="I1135" t="s">
        <v>12</v>
      </c>
      <c r="J1135" t="s">
        <v>11905</v>
      </c>
    </row>
    <row r="1136" spans="1:10" x14ac:dyDescent="0.25">
      <c r="A1136">
        <v>238269</v>
      </c>
      <c r="B1136" t="s">
        <v>1207</v>
      </c>
      <c r="C1136" t="str">
        <f>"9780521806879"</f>
        <v>9780521806879</v>
      </c>
      <c r="D1136" t="str">
        <f>"9780511199943"</f>
        <v>9780511199943</v>
      </c>
      <c r="E1136" t="s">
        <v>18</v>
      </c>
      <c r="F1136" t="s">
        <v>18</v>
      </c>
      <c r="G1136" s="1">
        <v>38520</v>
      </c>
      <c r="H1136" s="1">
        <v>38612</v>
      </c>
      <c r="I1136" t="s">
        <v>12</v>
      </c>
      <c r="J1136" t="s">
        <v>11906</v>
      </c>
    </row>
    <row r="1137" spans="1:10" x14ac:dyDescent="0.25">
      <c r="A1137">
        <v>238293</v>
      </c>
      <c r="B1137" t="s">
        <v>1208</v>
      </c>
      <c r="C1137" t="str">
        <f>"9780521853040"</f>
        <v>9780521853040</v>
      </c>
      <c r="D1137" t="str">
        <f>"9780511198502"</f>
        <v>9780511198502</v>
      </c>
      <c r="E1137" t="s">
        <v>18</v>
      </c>
      <c r="F1137" t="s">
        <v>18</v>
      </c>
      <c r="G1137" s="1">
        <v>38502</v>
      </c>
      <c r="H1137" s="1">
        <v>38628</v>
      </c>
      <c r="I1137" t="s">
        <v>12</v>
      </c>
      <c r="J1137" t="s">
        <v>11907</v>
      </c>
    </row>
    <row r="1138" spans="1:10" x14ac:dyDescent="0.25">
      <c r="A1138">
        <v>238299</v>
      </c>
      <c r="B1138" t="s">
        <v>1209</v>
      </c>
      <c r="C1138" t="str">
        <f>"9780521620093"</f>
        <v>9780521620093</v>
      </c>
      <c r="D1138" t="str">
        <f>"9780511199929"</f>
        <v>9780511199929</v>
      </c>
      <c r="E1138" t="s">
        <v>18</v>
      </c>
      <c r="F1138" t="s">
        <v>18</v>
      </c>
      <c r="G1138" s="1">
        <v>38673</v>
      </c>
      <c r="H1138" s="1">
        <v>38643</v>
      </c>
      <c r="I1138" t="s">
        <v>12</v>
      </c>
      <c r="J1138" t="s">
        <v>11908</v>
      </c>
    </row>
    <row r="1139" spans="1:10" x14ac:dyDescent="0.25">
      <c r="A1139">
        <v>238316</v>
      </c>
      <c r="B1139" t="s">
        <v>1210</v>
      </c>
      <c r="C1139" t="str">
        <f>"9789812386694"</f>
        <v>9789812386694</v>
      </c>
      <c r="D1139" t="str">
        <f>"9789812565457"</f>
        <v>9789812565457</v>
      </c>
      <c r="E1139" t="s">
        <v>1056</v>
      </c>
      <c r="F1139" t="s">
        <v>1056</v>
      </c>
      <c r="G1139" s="1">
        <v>38322</v>
      </c>
      <c r="H1139" s="1">
        <v>38610</v>
      </c>
      <c r="I1139" t="s">
        <v>12</v>
      </c>
      <c r="J1139" t="s">
        <v>11909</v>
      </c>
    </row>
    <row r="1140" spans="1:10" x14ac:dyDescent="0.25">
      <c r="A1140">
        <v>238334</v>
      </c>
      <c r="B1140" t="s">
        <v>1211</v>
      </c>
      <c r="C1140" t="str">
        <f>"9789812382900"</f>
        <v>9789812382900</v>
      </c>
      <c r="D1140" t="str">
        <f>"9789812565402"</f>
        <v>9789812565402</v>
      </c>
      <c r="E1140" t="s">
        <v>1056</v>
      </c>
      <c r="F1140" t="s">
        <v>1056</v>
      </c>
      <c r="G1140" s="1">
        <v>38139</v>
      </c>
      <c r="H1140" s="1">
        <v>38652</v>
      </c>
      <c r="I1140" t="s">
        <v>12</v>
      </c>
      <c r="J1140" t="s">
        <v>11910</v>
      </c>
    </row>
    <row r="1141" spans="1:10" x14ac:dyDescent="0.25">
      <c r="A1141">
        <v>238402</v>
      </c>
      <c r="B1141" t="s">
        <v>1212</v>
      </c>
      <c r="C1141" t="str">
        <f>"9780631215226"</f>
        <v>9780631215226</v>
      </c>
      <c r="D1141" t="str">
        <f>"9781405145411"</f>
        <v>9781405145411</v>
      </c>
      <c r="E1141" t="s">
        <v>1088</v>
      </c>
      <c r="F1141" t="s">
        <v>1089</v>
      </c>
      <c r="G1141" s="1">
        <v>38590</v>
      </c>
      <c r="H1141" s="1">
        <v>40696</v>
      </c>
      <c r="I1141" t="s">
        <v>12</v>
      </c>
      <c r="J1141" t="s">
        <v>11911</v>
      </c>
    </row>
    <row r="1142" spans="1:10" x14ac:dyDescent="0.25">
      <c r="A1142">
        <v>238677</v>
      </c>
      <c r="B1142" t="s">
        <v>1213</v>
      </c>
      <c r="C1142" t="str">
        <f>"9780415050838"</f>
        <v>9780415050838</v>
      </c>
      <c r="D1142" t="str">
        <f>"9780203983409"</f>
        <v>9780203983409</v>
      </c>
      <c r="E1142" t="s">
        <v>15</v>
      </c>
      <c r="F1142" t="s">
        <v>16</v>
      </c>
      <c r="G1142" s="1">
        <v>32133</v>
      </c>
      <c r="H1142" s="1">
        <v>38617</v>
      </c>
      <c r="I1142" t="s">
        <v>12</v>
      </c>
      <c r="J1142" t="s">
        <v>11912</v>
      </c>
    </row>
    <row r="1143" spans="1:10" x14ac:dyDescent="0.25">
      <c r="A1143">
        <v>238876</v>
      </c>
      <c r="B1143" t="s">
        <v>1214</v>
      </c>
      <c r="C1143" t="str">
        <f>"9781593571269"</f>
        <v>9781593571269</v>
      </c>
      <c r="D1143" t="str">
        <f>"9781593571474"</f>
        <v>9781593571474</v>
      </c>
      <c r="E1143" t="s">
        <v>1142</v>
      </c>
      <c r="F1143" t="s">
        <v>1143</v>
      </c>
      <c r="G1143" s="1">
        <v>38412</v>
      </c>
      <c r="H1143" s="1">
        <v>38631</v>
      </c>
      <c r="I1143" t="s">
        <v>12</v>
      </c>
      <c r="J1143" t="s">
        <v>11913</v>
      </c>
    </row>
    <row r="1144" spans="1:10" x14ac:dyDescent="0.25">
      <c r="A1144">
        <v>239179</v>
      </c>
      <c r="B1144" t="s">
        <v>1215</v>
      </c>
      <c r="C1144" t="str">
        <f>"9780521836319"</f>
        <v>9780521836319</v>
      </c>
      <c r="D1144" t="str">
        <f>"9780511200441"</f>
        <v>9780511200441</v>
      </c>
      <c r="E1144" t="s">
        <v>18</v>
      </c>
      <c r="F1144" t="s">
        <v>18</v>
      </c>
      <c r="G1144" s="1">
        <v>38603</v>
      </c>
      <c r="H1144" s="1">
        <v>38635</v>
      </c>
      <c r="I1144" t="s">
        <v>12</v>
      </c>
      <c r="J1144" t="s">
        <v>11914</v>
      </c>
    </row>
    <row r="1145" spans="1:10" x14ac:dyDescent="0.25">
      <c r="A1145">
        <v>239182</v>
      </c>
      <c r="B1145" t="s">
        <v>1216</v>
      </c>
      <c r="C1145" t="str">
        <f>"9780521838993"</f>
        <v>9780521838993</v>
      </c>
      <c r="D1145" t="str">
        <f>"9780511200564"</f>
        <v>9780511200564</v>
      </c>
      <c r="E1145" t="s">
        <v>18</v>
      </c>
      <c r="F1145" t="s">
        <v>18</v>
      </c>
      <c r="G1145" s="1">
        <v>38511</v>
      </c>
      <c r="H1145" s="1">
        <v>38635</v>
      </c>
      <c r="I1145" t="s">
        <v>12</v>
      </c>
      <c r="J1145" t="s">
        <v>11915</v>
      </c>
    </row>
    <row r="1146" spans="1:10" x14ac:dyDescent="0.25">
      <c r="A1146">
        <v>239183</v>
      </c>
      <c r="B1146" t="s">
        <v>1217</v>
      </c>
      <c r="C1146" t="str">
        <f>"9780521839433"</f>
        <v>9780521839433</v>
      </c>
      <c r="D1146" t="str">
        <f>"9780511200113"</f>
        <v>9780511200113</v>
      </c>
      <c r="E1146" t="s">
        <v>18</v>
      </c>
      <c r="F1146" t="s">
        <v>18</v>
      </c>
      <c r="G1146" s="1">
        <v>38547</v>
      </c>
      <c r="H1146" s="1">
        <v>38635</v>
      </c>
      <c r="I1146" t="s">
        <v>12</v>
      </c>
      <c r="J1146" t="s">
        <v>11916</v>
      </c>
    </row>
    <row r="1147" spans="1:10" x14ac:dyDescent="0.25">
      <c r="A1147">
        <v>239192</v>
      </c>
      <c r="B1147" t="s">
        <v>1218</v>
      </c>
      <c r="C1147" t="str">
        <f>"9780521845403"</f>
        <v>9780521845403</v>
      </c>
      <c r="D1147" t="str">
        <f>"9780511200496"</f>
        <v>9780511200496</v>
      </c>
      <c r="E1147" t="s">
        <v>18</v>
      </c>
      <c r="F1147" t="s">
        <v>18</v>
      </c>
      <c r="G1147" s="1">
        <v>38603</v>
      </c>
      <c r="H1147" s="1">
        <v>38643</v>
      </c>
      <c r="I1147" t="s">
        <v>12</v>
      </c>
      <c r="J1147" t="s">
        <v>11917</v>
      </c>
    </row>
    <row r="1148" spans="1:10" x14ac:dyDescent="0.25">
      <c r="A1148">
        <v>239208</v>
      </c>
      <c r="B1148" t="s">
        <v>1219</v>
      </c>
      <c r="C1148" t="str">
        <f>"9780521851152"</f>
        <v>9780521851152</v>
      </c>
      <c r="D1148" t="str">
        <f>"9780511199769"</f>
        <v>9780511199769</v>
      </c>
      <c r="E1148" t="s">
        <v>18</v>
      </c>
      <c r="F1148" t="s">
        <v>18</v>
      </c>
      <c r="G1148" s="1">
        <v>38544</v>
      </c>
      <c r="H1148" s="1">
        <v>38628</v>
      </c>
      <c r="I1148" t="s">
        <v>12</v>
      </c>
      <c r="J1148" t="s">
        <v>11918</v>
      </c>
    </row>
    <row r="1149" spans="1:10" x14ac:dyDescent="0.25">
      <c r="A1149">
        <v>239209</v>
      </c>
      <c r="B1149" t="s">
        <v>1220</v>
      </c>
      <c r="C1149" t="str">
        <f>"9780521851169"</f>
        <v>9780521851169</v>
      </c>
      <c r="D1149" t="str">
        <f>"9780511200229"</f>
        <v>9780511200229</v>
      </c>
      <c r="E1149" t="s">
        <v>18</v>
      </c>
      <c r="F1149" t="s">
        <v>18</v>
      </c>
      <c r="G1149" s="1">
        <v>38544</v>
      </c>
      <c r="H1149" s="1">
        <v>38635</v>
      </c>
      <c r="I1149" t="s">
        <v>12</v>
      </c>
      <c r="J1149" t="s">
        <v>11919</v>
      </c>
    </row>
    <row r="1150" spans="1:10" x14ac:dyDescent="0.25">
      <c r="A1150">
        <v>239803</v>
      </c>
      <c r="B1150" t="s">
        <v>1221</v>
      </c>
      <c r="C1150" t="str">
        <f>"9781741146509"</f>
        <v>9781741146509</v>
      </c>
      <c r="D1150" t="str">
        <f>"9781741156126"</f>
        <v>9781741156126</v>
      </c>
      <c r="E1150" t="s">
        <v>979</v>
      </c>
      <c r="F1150" t="s">
        <v>979</v>
      </c>
      <c r="G1150" s="1">
        <v>38596</v>
      </c>
      <c r="H1150" s="1">
        <v>38682</v>
      </c>
      <c r="I1150" t="s">
        <v>12</v>
      </c>
      <c r="J1150" t="s">
        <v>11920</v>
      </c>
    </row>
    <row r="1151" spans="1:10" x14ac:dyDescent="0.25">
      <c r="A1151">
        <v>239815</v>
      </c>
      <c r="B1151" t="s">
        <v>1222</v>
      </c>
      <c r="C1151" t="str">
        <f>"9781405176088"</f>
        <v>9781405176088</v>
      </c>
      <c r="D1151" t="str">
        <f>"9781405148849"</f>
        <v>9781405148849</v>
      </c>
      <c r="E1151" t="s">
        <v>1088</v>
      </c>
      <c r="F1151" t="s">
        <v>1089</v>
      </c>
      <c r="G1151" s="1">
        <v>39363</v>
      </c>
      <c r="H1151" s="1">
        <v>40696</v>
      </c>
      <c r="I1151" t="s">
        <v>12</v>
      </c>
      <c r="J1151" t="s">
        <v>11921</v>
      </c>
    </row>
    <row r="1152" spans="1:10" x14ac:dyDescent="0.25">
      <c r="A1152">
        <v>239840</v>
      </c>
      <c r="B1152" t="s">
        <v>1223</v>
      </c>
      <c r="C1152" t="str">
        <f>"9780632064595"</f>
        <v>9780632064595</v>
      </c>
      <c r="D1152" t="str">
        <f>"9781405150941"</f>
        <v>9781405150941</v>
      </c>
      <c r="E1152" t="s">
        <v>1088</v>
      </c>
      <c r="F1152" t="s">
        <v>1089</v>
      </c>
      <c r="G1152" s="1">
        <v>37526</v>
      </c>
      <c r="H1152" s="1">
        <v>38677</v>
      </c>
      <c r="I1152" t="s">
        <v>12</v>
      </c>
      <c r="J1152" t="s">
        <v>11922</v>
      </c>
    </row>
    <row r="1153" spans="1:10" x14ac:dyDescent="0.25">
      <c r="A1153">
        <v>239867</v>
      </c>
      <c r="B1153" t="s">
        <v>1224</v>
      </c>
      <c r="C1153" t="str">
        <f>"9781405188210"</f>
        <v>9781405188210</v>
      </c>
      <c r="D1153" t="str">
        <f>"9781405150231"</f>
        <v>9781405150231</v>
      </c>
      <c r="E1153" t="s">
        <v>1088</v>
      </c>
      <c r="F1153" t="s">
        <v>1089</v>
      </c>
      <c r="G1153" s="1">
        <v>39153</v>
      </c>
      <c r="H1153" s="1">
        <v>40696</v>
      </c>
      <c r="I1153" t="s">
        <v>12</v>
      </c>
      <c r="J1153" t="s">
        <v>11923</v>
      </c>
    </row>
    <row r="1154" spans="1:10" x14ac:dyDescent="0.25">
      <c r="A1154">
        <v>239899</v>
      </c>
      <c r="B1154" t="s">
        <v>1225</v>
      </c>
      <c r="C1154" t="str">
        <f>"9781405130387"</f>
        <v>9781405130387</v>
      </c>
      <c r="D1154" t="str">
        <f>"9781405150187"</f>
        <v>9781405150187</v>
      </c>
      <c r="E1154" t="s">
        <v>1088</v>
      </c>
      <c r="F1154" t="s">
        <v>1089</v>
      </c>
      <c r="G1154" s="1">
        <v>38653</v>
      </c>
      <c r="H1154" s="1">
        <v>40696</v>
      </c>
      <c r="I1154" t="s">
        <v>12</v>
      </c>
      <c r="J1154" t="s">
        <v>11924</v>
      </c>
    </row>
    <row r="1155" spans="1:10" x14ac:dyDescent="0.25">
      <c r="A1155">
        <v>240105</v>
      </c>
      <c r="B1155" t="s">
        <v>1226</v>
      </c>
      <c r="C1155" t="str">
        <f>"9780824748104"</f>
        <v>9780824748104</v>
      </c>
      <c r="D1155" t="str">
        <f>"9780203021729"</f>
        <v>9780203021729</v>
      </c>
      <c r="E1155" t="s">
        <v>15</v>
      </c>
      <c r="F1155" t="s">
        <v>153</v>
      </c>
      <c r="G1155" s="1">
        <v>38253</v>
      </c>
      <c r="H1155" s="1">
        <v>38680</v>
      </c>
      <c r="I1155" t="s">
        <v>12</v>
      </c>
      <c r="J1155" t="s">
        <v>11925</v>
      </c>
    </row>
    <row r="1156" spans="1:10" x14ac:dyDescent="0.25">
      <c r="A1156">
        <v>240174</v>
      </c>
      <c r="B1156" t="s">
        <v>1227</v>
      </c>
      <c r="C1156" t="str">
        <f>"9780749431303"</f>
        <v>9780749431303</v>
      </c>
      <c r="D1156" t="str">
        <f>"9780203416693"</f>
        <v>9780203416693</v>
      </c>
      <c r="E1156" t="s">
        <v>15</v>
      </c>
      <c r="F1156" t="s">
        <v>16</v>
      </c>
      <c r="G1156" s="1">
        <v>37681</v>
      </c>
      <c r="H1156" s="1">
        <v>38668</v>
      </c>
      <c r="I1156" t="s">
        <v>12</v>
      </c>
      <c r="J1156" t="s">
        <v>11926</v>
      </c>
    </row>
    <row r="1157" spans="1:10" x14ac:dyDescent="0.25">
      <c r="A1157">
        <v>240179</v>
      </c>
      <c r="B1157" t="s">
        <v>1228</v>
      </c>
      <c r="C1157" t="str">
        <f>"9780415297981"</f>
        <v>9780415297981</v>
      </c>
      <c r="D1157" t="str">
        <f>"9780203643662"</f>
        <v>9780203643662</v>
      </c>
      <c r="E1157" t="s">
        <v>144</v>
      </c>
      <c r="F1157" t="s">
        <v>144</v>
      </c>
      <c r="G1157" s="1">
        <v>38034</v>
      </c>
      <c r="H1157" s="1">
        <v>38664</v>
      </c>
      <c r="I1157" t="s">
        <v>12</v>
      </c>
      <c r="J1157" t="s">
        <v>11927</v>
      </c>
    </row>
    <row r="1158" spans="1:10" x14ac:dyDescent="0.25">
      <c r="A1158">
        <v>240214</v>
      </c>
      <c r="B1158" t="s">
        <v>1229</v>
      </c>
      <c r="C1158" t="str">
        <f>"9780415096133"</f>
        <v>9780415096133</v>
      </c>
      <c r="D1158" t="str">
        <f>"9780203975725"</f>
        <v>9780203975725</v>
      </c>
      <c r="E1158" t="s">
        <v>15</v>
      </c>
      <c r="F1158" t="s">
        <v>16</v>
      </c>
      <c r="G1158" s="1">
        <v>34543</v>
      </c>
      <c r="H1158" s="1">
        <v>38668</v>
      </c>
      <c r="I1158" t="s">
        <v>12</v>
      </c>
      <c r="J1158" t="s">
        <v>11928</v>
      </c>
    </row>
    <row r="1159" spans="1:10" x14ac:dyDescent="0.25">
      <c r="A1159">
        <v>240229</v>
      </c>
      <c r="B1159" t="s">
        <v>1230</v>
      </c>
      <c r="C1159" t="str">
        <f>"9780415112178"</f>
        <v>9780415112178</v>
      </c>
      <c r="D1159" t="str">
        <f>"9780203976319"</f>
        <v>9780203976319</v>
      </c>
      <c r="E1159" t="s">
        <v>15</v>
      </c>
      <c r="F1159" t="s">
        <v>16</v>
      </c>
      <c r="G1159" s="1">
        <v>34621</v>
      </c>
      <c r="H1159" s="1">
        <v>38665</v>
      </c>
      <c r="I1159" t="s">
        <v>12</v>
      </c>
      <c r="J1159" t="s">
        <v>11929</v>
      </c>
    </row>
    <row r="1160" spans="1:10" x14ac:dyDescent="0.25">
      <c r="A1160">
        <v>240232</v>
      </c>
      <c r="B1160" t="s">
        <v>1231</v>
      </c>
      <c r="C1160" t="str">
        <f>"9780415059565"</f>
        <v>9780415059565</v>
      </c>
      <c r="D1160" t="str">
        <f>"9780203976395"</f>
        <v>9780203976395</v>
      </c>
      <c r="E1160" t="s">
        <v>15</v>
      </c>
      <c r="F1160" t="s">
        <v>16</v>
      </c>
      <c r="G1160" s="1">
        <v>34822</v>
      </c>
      <c r="H1160" s="1">
        <v>38657</v>
      </c>
      <c r="I1160" t="s">
        <v>12</v>
      </c>
      <c r="J1160" t="s">
        <v>11930</v>
      </c>
    </row>
    <row r="1161" spans="1:10" x14ac:dyDescent="0.25">
      <c r="A1161">
        <v>240238</v>
      </c>
      <c r="B1161" t="s">
        <v>1232</v>
      </c>
      <c r="C1161" t="str">
        <f>"9780415029414"</f>
        <v>9780415029414</v>
      </c>
      <c r="D1161" t="str">
        <f>"9780203976845"</f>
        <v>9780203976845</v>
      </c>
      <c r="E1161" t="s">
        <v>15</v>
      </c>
      <c r="F1161" t="s">
        <v>16</v>
      </c>
      <c r="G1161" s="1">
        <v>32617</v>
      </c>
      <c r="H1161" s="1">
        <v>38664</v>
      </c>
      <c r="I1161" t="s">
        <v>12</v>
      </c>
      <c r="J1161" t="s">
        <v>11931</v>
      </c>
    </row>
    <row r="1162" spans="1:10" x14ac:dyDescent="0.25">
      <c r="A1162">
        <v>240264</v>
      </c>
      <c r="B1162" t="s">
        <v>1233</v>
      </c>
      <c r="C1162" t="str">
        <f>"9780415040112"</f>
        <v>9780415040112</v>
      </c>
      <c r="D1162" t="str">
        <f>"9780203977644"</f>
        <v>9780203977644</v>
      </c>
      <c r="E1162" t="s">
        <v>15</v>
      </c>
      <c r="F1162" t="s">
        <v>16</v>
      </c>
      <c r="G1162" s="1">
        <v>30897</v>
      </c>
      <c r="H1162" s="1">
        <v>38663</v>
      </c>
      <c r="I1162" t="s">
        <v>12</v>
      </c>
      <c r="J1162" t="s">
        <v>11932</v>
      </c>
    </row>
    <row r="1163" spans="1:10" x14ac:dyDescent="0.25">
      <c r="A1163">
        <v>240267</v>
      </c>
      <c r="B1163" t="s">
        <v>1234</v>
      </c>
      <c r="C1163" t="str">
        <f>"9780415128445"</f>
        <v>9780415128445</v>
      </c>
      <c r="D1163" t="str">
        <f>"9780203977798"</f>
        <v>9780203977798</v>
      </c>
      <c r="E1163" t="s">
        <v>15</v>
      </c>
      <c r="F1163" t="s">
        <v>16</v>
      </c>
      <c r="G1163" s="1">
        <v>35023</v>
      </c>
      <c r="H1163" s="1">
        <v>38664</v>
      </c>
      <c r="I1163" t="s">
        <v>12</v>
      </c>
      <c r="J1163" t="s">
        <v>11933</v>
      </c>
    </row>
    <row r="1164" spans="1:10" x14ac:dyDescent="0.25">
      <c r="A1164">
        <v>240277</v>
      </c>
      <c r="B1164" t="s">
        <v>1235</v>
      </c>
      <c r="C1164" t="str">
        <f>"9780415118224"</f>
        <v>9780415118224</v>
      </c>
      <c r="D1164" t="str">
        <f>"9780203978283"</f>
        <v>9780203978283</v>
      </c>
      <c r="E1164" t="s">
        <v>15</v>
      </c>
      <c r="F1164" t="s">
        <v>16</v>
      </c>
      <c r="G1164" s="1">
        <v>35296</v>
      </c>
      <c r="H1164" s="1">
        <v>38664</v>
      </c>
      <c r="I1164" t="s">
        <v>12</v>
      </c>
      <c r="J1164" t="s">
        <v>11934</v>
      </c>
    </row>
    <row r="1165" spans="1:10" x14ac:dyDescent="0.25">
      <c r="A1165">
        <v>240278</v>
      </c>
      <c r="B1165" t="s">
        <v>1236</v>
      </c>
      <c r="C1165" t="str">
        <f>"9780415172875"</f>
        <v>9780415172875</v>
      </c>
      <c r="D1165" t="str">
        <f>"9780203978290"</f>
        <v>9780203978290</v>
      </c>
      <c r="E1165" t="s">
        <v>15</v>
      </c>
      <c r="F1165" t="s">
        <v>16</v>
      </c>
      <c r="G1165" s="1">
        <v>36110</v>
      </c>
      <c r="H1165" s="1">
        <v>38664</v>
      </c>
      <c r="I1165" t="s">
        <v>12</v>
      </c>
      <c r="J1165" t="s">
        <v>11935</v>
      </c>
    </row>
    <row r="1166" spans="1:10" x14ac:dyDescent="0.25">
      <c r="A1166">
        <v>240288</v>
      </c>
      <c r="B1166" t="s">
        <v>1237</v>
      </c>
      <c r="C1166" t="str">
        <f>"9780415135054"</f>
        <v>9780415135054</v>
      </c>
      <c r="D1166" t="str">
        <f>"9780203978665"</f>
        <v>9780203978665</v>
      </c>
      <c r="E1166" t="s">
        <v>15</v>
      </c>
      <c r="F1166" t="s">
        <v>16</v>
      </c>
      <c r="G1166" s="1">
        <v>36202</v>
      </c>
      <c r="H1166" s="1">
        <v>38665</v>
      </c>
      <c r="I1166" t="s">
        <v>12</v>
      </c>
      <c r="J1166" t="s">
        <v>11936</v>
      </c>
    </row>
    <row r="1167" spans="1:10" x14ac:dyDescent="0.25">
      <c r="A1167">
        <v>240297</v>
      </c>
      <c r="B1167" t="s">
        <v>1238</v>
      </c>
      <c r="C1167" t="str">
        <f>"9780750707688"</f>
        <v>9780750707688</v>
      </c>
      <c r="D1167" t="str">
        <f>"9780203979013"</f>
        <v>9780203979013</v>
      </c>
      <c r="E1167" t="s">
        <v>15</v>
      </c>
      <c r="F1167" t="s">
        <v>16</v>
      </c>
      <c r="G1167" s="1">
        <v>36130</v>
      </c>
      <c r="H1167" s="1">
        <v>38657</v>
      </c>
      <c r="I1167" t="s">
        <v>12</v>
      </c>
      <c r="J1167" t="s">
        <v>11937</v>
      </c>
    </row>
    <row r="1168" spans="1:10" x14ac:dyDescent="0.25">
      <c r="A1168">
        <v>240338</v>
      </c>
      <c r="B1168" t="s">
        <v>1239</v>
      </c>
      <c r="C1168" t="str">
        <f>"9780415119764"</f>
        <v>9780415119764</v>
      </c>
      <c r="D1168" t="str">
        <f>"9780203980903"</f>
        <v>9780203980903</v>
      </c>
      <c r="E1168" t="s">
        <v>15</v>
      </c>
      <c r="F1168" t="s">
        <v>16</v>
      </c>
      <c r="G1168" s="1">
        <v>35905</v>
      </c>
      <c r="H1168" s="1">
        <v>38665</v>
      </c>
      <c r="I1168" t="s">
        <v>12</v>
      </c>
      <c r="J1168" t="s">
        <v>11938</v>
      </c>
    </row>
    <row r="1169" spans="1:10" x14ac:dyDescent="0.25">
      <c r="A1169">
        <v>240348</v>
      </c>
      <c r="B1169" t="s">
        <v>1240</v>
      </c>
      <c r="C1169" t="str">
        <f>"9780415206839"</f>
        <v>9780415206839</v>
      </c>
      <c r="D1169" t="str">
        <f>"9780203981405"</f>
        <v>9780203981405</v>
      </c>
      <c r="E1169" t="s">
        <v>15</v>
      </c>
      <c r="F1169" t="s">
        <v>16</v>
      </c>
      <c r="G1169" s="1">
        <v>36516</v>
      </c>
      <c r="H1169" s="1">
        <v>39165</v>
      </c>
      <c r="I1169" t="s">
        <v>12</v>
      </c>
      <c r="J1169" t="s">
        <v>11939</v>
      </c>
    </row>
    <row r="1170" spans="1:10" x14ac:dyDescent="0.25">
      <c r="A1170">
        <v>240349</v>
      </c>
      <c r="B1170" t="s">
        <v>1241</v>
      </c>
      <c r="C1170" t="str">
        <f>"9780415210577"</f>
        <v>9780415210577</v>
      </c>
      <c r="D1170" t="str">
        <f>"9780203981504"</f>
        <v>9780203981504</v>
      </c>
      <c r="E1170" t="s">
        <v>15</v>
      </c>
      <c r="F1170" t="s">
        <v>16</v>
      </c>
      <c r="G1170" s="1">
        <v>36372</v>
      </c>
      <c r="H1170" s="1">
        <v>38665</v>
      </c>
      <c r="I1170" t="s">
        <v>12</v>
      </c>
      <c r="J1170" t="s">
        <v>11940</v>
      </c>
    </row>
    <row r="1171" spans="1:10" x14ac:dyDescent="0.25">
      <c r="A1171">
        <v>240379</v>
      </c>
      <c r="B1171" t="s">
        <v>1242</v>
      </c>
      <c r="C1171" t="str">
        <f>"9780415133791"</f>
        <v>9780415133791</v>
      </c>
      <c r="D1171" t="str">
        <f>"9780203983676"</f>
        <v>9780203983676</v>
      </c>
      <c r="E1171" t="s">
        <v>15</v>
      </c>
      <c r="F1171" t="s">
        <v>16</v>
      </c>
      <c r="G1171" s="1">
        <v>35881</v>
      </c>
      <c r="H1171" s="1">
        <v>38670</v>
      </c>
      <c r="I1171" t="s">
        <v>12</v>
      </c>
      <c r="J1171" t="s">
        <v>11941</v>
      </c>
    </row>
    <row r="1172" spans="1:10" x14ac:dyDescent="0.25">
      <c r="A1172">
        <v>240391</v>
      </c>
      <c r="B1172" t="s">
        <v>1243</v>
      </c>
      <c r="C1172" t="str">
        <f>"9780415180818"</f>
        <v>9780415180818</v>
      </c>
      <c r="D1172" t="str">
        <f>"9780203984192"</f>
        <v>9780203984192</v>
      </c>
      <c r="E1172" t="s">
        <v>15</v>
      </c>
      <c r="F1172" t="s">
        <v>16</v>
      </c>
      <c r="G1172" s="1">
        <v>35955</v>
      </c>
      <c r="H1172" s="1">
        <v>38664</v>
      </c>
      <c r="I1172" t="s">
        <v>12</v>
      </c>
      <c r="J1172" t="s">
        <v>11942</v>
      </c>
    </row>
    <row r="1173" spans="1:10" x14ac:dyDescent="0.25">
      <c r="A1173">
        <v>240399</v>
      </c>
      <c r="B1173" t="s">
        <v>1244</v>
      </c>
      <c r="C1173" t="str">
        <f>"9780750708692"</f>
        <v>9780750708692</v>
      </c>
      <c r="D1173" t="str">
        <f>"9780203984734"</f>
        <v>9780203984734</v>
      </c>
      <c r="E1173" t="s">
        <v>15</v>
      </c>
      <c r="F1173" t="s">
        <v>16</v>
      </c>
      <c r="G1173" s="1">
        <v>35886</v>
      </c>
      <c r="H1173" s="1">
        <v>38666</v>
      </c>
      <c r="I1173" t="s">
        <v>12</v>
      </c>
      <c r="J1173" t="s">
        <v>11943</v>
      </c>
    </row>
    <row r="1174" spans="1:10" x14ac:dyDescent="0.25">
      <c r="A1174">
        <v>240408</v>
      </c>
      <c r="B1174" t="s">
        <v>1245</v>
      </c>
      <c r="C1174" t="str">
        <f>"9780728600096"</f>
        <v>9780728600096</v>
      </c>
      <c r="D1174" t="str">
        <f>"9780203985847"</f>
        <v>9780203985847</v>
      </c>
      <c r="E1174" t="s">
        <v>15</v>
      </c>
      <c r="F1174" t="s">
        <v>16</v>
      </c>
      <c r="G1174" s="1">
        <v>37034</v>
      </c>
      <c r="H1174" s="1">
        <v>41571</v>
      </c>
      <c r="I1174" t="s">
        <v>12</v>
      </c>
      <c r="J1174" t="s">
        <v>11944</v>
      </c>
    </row>
    <row r="1175" spans="1:10" x14ac:dyDescent="0.25">
      <c r="A1175">
        <v>240418</v>
      </c>
      <c r="B1175" t="s">
        <v>1246</v>
      </c>
      <c r="C1175" t="str">
        <f>"9780415289535"</f>
        <v>9780415289535</v>
      </c>
      <c r="D1175" t="str">
        <f>"9780203986592"</f>
        <v>9780203986592</v>
      </c>
      <c r="E1175" t="s">
        <v>15</v>
      </c>
      <c r="F1175" t="s">
        <v>16</v>
      </c>
      <c r="G1175" s="1">
        <v>37701</v>
      </c>
      <c r="H1175" s="1">
        <v>38666</v>
      </c>
      <c r="I1175" t="s">
        <v>12</v>
      </c>
      <c r="J1175" t="s">
        <v>11945</v>
      </c>
    </row>
    <row r="1176" spans="1:10" x14ac:dyDescent="0.25">
      <c r="A1176">
        <v>240452</v>
      </c>
      <c r="B1176" t="s">
        <v>1247</v>
      </c>
      <c r="C1176" t="str">
        <f>"9780415298568"</f>
        <v>9780415298568</v>
      </c>
      <c r="D1176" t="str">
        <f>"9780203987674"</f>
        <v>9780203987674</v>
      </c>
      <c r="E1176" t="s">
        <v>15</v>
      </c>
      <c r="F1176" t="s">
        <v>16</v>
      </c>
      <c r="G1176" s="1">
        <v>37722</v>
      </c>
      <c r="H1176" s="1">
        <v>38665</v>
      </c>
      <c r="I1176" t="s">
        <v>12</v>
      </c>
      <c r="J1176" t="s">
        <v>11946</v>
      </c>
    </row>
    <row r="1177" spans="1:10" x14ac:dyDescent="0.25">
      <c r="A1177">
        <v>240466</v>
      </c>
      <c r="B1177" t="s">
        <v>1248</v>
      </c>
      <c r="C1177" t="str">
        <f>"9780714622668"</f>
        <v>9780714622668</v>
      </c>
      <c r="D1177" t="str">
        <f>"9780203988305"</f>
        <v>9780203988305</v>
      </c>
      <c r="E1177" t="s">
        <v>15</v>
      </c>
      <c r="F1177" t="s">
        <v>16</v>
      </c>
      <c r="G1177" s="1">
        <v>28292</v>
      </c>
      <c r="H1177" s="1">
        <v>38664</v>
      </c>
      <c r="I1177" t="s">
        <v>12</v>
      </c>
      <c r="J1177" t="s">
        <v>11947</v>
      </c>
    </row>
    <row r="1178" spans="1:10" x14ac:dyDescent="0.25">
      <c r="A1178">
        <v>240490</v>
      </c>
      <c r="B1178" t="s">
        <v>1249</v>
      </c>
      <c r="C1178" t="str">
        <f>"9781841692463"</f>
        <v>9781841692463</v>
      </c>
      <c r="D1178" t="str">
        <f>"9780203989388"</f>
        <v>9780203989388</v>
      </c>
      <c r="E1178" t="s">
        <v>15</v>
      </c>
      <c r="F1178" t="s">
        <v>55</v>
      </c>
      <c r="G1178" s="1">
        <v>37628</v>
      </c>
      <c r="H1178" s="1">
        <v>38663</v>
      </c>
      <c r="I1178" t="s">
        <v>12</v>
      </c>
      <c r="J1178" t="s">
        <v>11948</v>
      </c>
    </row>
    <row r="1179" spans="1:10" x14ac:dyDescent="0.25">
      <c r="A1179">
        <v>240501</v>
      </c>
      <c r="B1179" t="s">
        <v>1250</v>
      </c>
      <c r="C1179" t="str">
        <f>"9781841692906"</f>
        <v>9781841692906</v>
      </c>
      <c r="D1179" t="str">
        <f>"9780203990292"</f>
        <v>9780203990292</v>
      </c>
      <c r="E1179" t="s">
        <v>15</v>
      </c>
      <c r="F1179" t="s">
        <v>55</v>
      </c>
      <c r="G1179" s="1">
        <v>37568</v>
      </c>
      <c r="H1179" s="1">
        <v>38663</v>
      </c>
      <c r="I1179" t="s">
        <v>12</v>
      </c>
      <c r="J1179" t="s">
        <v>11949</v>
      </c>
    </row>
    <row r="1180" spans="1:10" x14ac:dyDescent="0.25">
      <c r="A1180">
        <v>240508</v>
      </c>
      <c r="B1180" t="s">
        <v>1251</v>
      </c>
      <c r="C1180" t="str">
        <f>"9780415038294"</f>
        <v>9780415038294</v>
      </c>
      <c r="D1180" t="str">
        <f>"9780203991176"</f>
        <v>9780203991176</v>
      </c>
      <c r="E1180" t="s">
        <v>15</v>
      </c>
      <c r="F1180" t="s">
        <v>16</v>
      </c>
      <c r="G1180" s="1">
        <v>32926</v>
      </c>
      <c r="H1180" s="1">
        <v>38666</v>
      </c>
      <c r="I1180" t="s">
        <v>12</v>
      </c>
      <c r="J1180" t="s">
        <v>11950</v>
      </c>
    </row>
    <row r="1181" spans="1:10" x14ac:dyDescent="0.25">
      <c r="A1181">
        <v>240542</v>
      </c>
      <c r="B1181" t="s">
        <v>1252</v>
      </c>
      <c r="C1181" t="str">
        <f>"9780415117364"</f>
        <v>9780415117364</v>
      </c>
      <c r="D1181" t="str">
        <f>"9780203992722"</f>
        <v>9780203992722</v>
      </c>
      <c r="E1181" t="s">
        <v>15</v>
      </c>
      <c r="F1181" t="s">
        <v>16</v>
      </c>
      <c r="G1181" s="1">
        <v>35433</v>
      </c>
      <c r="H1181" s="1">
        <v>38667</v>
      </c>
      <c r="I1181" t="s">
        <v>12</v>
      </c>
      <c r="J1181" t="s">
        <v>11951</v>
      </c>
    </row>
    <row r="1182" spans="1:10" x14ac:dyDescent="0.25">
      <c r="A1182">
        <v>240557</v>
      </c>
      <c r="B1182" t="s">
        <v>1253</v>
      </c>
      <c r="C1182" t="str">
        <f>"9780415076715"</f>
        <v>9780415076715</v>
      </c>
      <c r="D1182" t="str">
        <f>"9780203993286"</f>
        <v>9780203993286</v>
      </c>
      <c r="E1182" t="s">
        <v>15</v>
      </c>
      <c r="F1182" t="s">
        <v>16</v>
      </c>
      <c r="G1182" s="1">
        <v>34681</v>
      </c>
      <c r="H1182" s="1">
        <v>38665</v>
      </c>
      <c r="I1182" t="s">
        <v>12</v>
      </c>
      <c r="J1182" t="s">
        <v>11952</v>
      </c>
    </row>
    <row r="1183" spans="1:10" x14ac:dyDescent="0.25">
      <c r="A1183">
        <v>240578</v>
      </c>
      <c r="B1183" t="s">
        <v>1254</v>
      </c>
      <c r="C1183" t="str">
        <f>"9780415247405"</f>
        <v>9780415247405</v>
      </c>
      <c r="D1183" t="str">
        <f>"9780203994306"</f>
        <v>9780203994306</v>
      </c>
      <c r="E1183" t="s">
        <v>15</v>
      </c>
      <c r="F1183" t="s">
        <v>16</v>
      </c>
      <c r="G1183" s="1">
        <v>37628</v>
      </c>
      <c r="H1183" s="1">
        <v>38677</v>
      </c>
      <c r="I1183" t="s">
        <v>12</v>
      </c>
      <c r="J1183" t="s">
        <v>11953</v>
      </c>
    </row>
    <row r="1184" spans="1:10" x14ac:dyDescent="0.25">
      <c r="A1184">
        <v>240592</v>
      </c>
      <c r="B1184" t="s">
        <v>1255</v>
      </c>
      <c r="C1184" t="str">
        <f>"9780415261357"</f>
        <v>9780415261357</v>
      </c>
      <c r="D1184" t="str">
        <f>"9780203994894"</f>
        <v>9780203994894</v>
      </c>
      <c r="E1184" t="s">
        <v>15</v>
      </c>
      <c r="F1184" t="s">
        <v>16</v>
      </c>
      <c r="G1184" s="1">
        <v>37596</v>
      </c>
      <c r="H1184" s="1">
        <v>38667</v>
      </c>
      <c r="I1184" t="s">
        <v>12</v>
      </c>
      <c r="J1184" t="s">
        <v>11954</v>
      </c>
    </row>
    <row r="1185" spans="1:10" x14ac:dyDescent="0.25">
      <c r="A1185">
        <v>240643</v>
      </c>
      <c r="B1185" t="s">
        <v>1256</v>
      </c>
      <c r="C1185" t="str">
        <f>"9780415232807"</f>
        <v>9780415232807</v>
      </c>
      <c r="D1185" t="str">
        <f>"9780203996423"</f>
        <v>9780203996423</v>
      </c>
      <c r="E1185" t="s">
        <v>15</v>
      </c>
      <c r="F1185" t="s">
        <v>16</v>
      </c>
      <c r="G1185" s="1">
        <v>37246</v>
      </c>
      <c r="H1185" s="1">
        <v>38663</v>
      </c>
      <c r="I1185" t="s">
        <v>12</v>
      </c>
      <c r="J1185" t="s">
        <v>11955</v>
      </c>
    </row>
    <row r="1186" spans="1:10" x14ac:dyDescent="0.25">
      <c r="A1186">
        <v>240659</v>
      </c>
      <c r="B1186" t="s">
        <v>1257</v>
      </c>
      <c r="C1186" t="str">
        <f>"9781579583866"</f>
        <v>9781579583866</v>
      </c>
      <c r="D1186" t="str">
        <f>"9780203996997"</f>
        <v>9780203996997</v>
      </c>
      <c r="E1186" t="s">
        <v>15</v>
      </c>
      <c r="F1186" t="s">
        <v>16</v>
      </c>
      <c r="G1186" s="1">
        <v>38308</v>
      </c>
      <c r="H1186" s="1">
        <v>38684</v>
      </c>
      <c r="I1186" t="s">
        <v>12</v>
      </c>
      <c r="J1186" t="s">
        <v>11956</v>
      </c>
    </row>
    <row r="1187" spans="1:10" x14ac:dyDescent="0.25">
      <c r="A1187">
        <v>240674</v>
      </c>
      <c r="B1187" t="s">
        <v>1258</v>
      </c>
      <c r="C1187" t="str">
        <f>"9780415967983"</f>
        <v>9780415967983</v>
      </c>
      <c r="D1187" t="str">
        <f>"9780203997703"</f>
        <v>9780203997703</v>
      </c>
      <c r="E1187" t="s">
        <v>15</v>
      </c>
      <c r="F1187" t="s">
        <v>16</v>
      </c>
      <c r="G1187" s="1">
        <v>38271</v>
      </c>
      <c r="H1187" s="1">
        <v>38666</v>
      </c>
      <c r="I1187" t="s">
        <v>12</v>
      </c>
      <c r="J1187" t="s">
        <v>11957</v>
      </c>
    </row>
    <row r="1188" spans="1:10" x14ac:dyDescent="0.25">
      <c r="A1188">
        <v>240677</v>
      </c>
      <c r="B1188" t="s">
        <v>1259</v>
      </c>
      <c r="C1188" t="str">
        <f>"9780415969918"</f>
        <v>9780415969918</v>
      </c>
      <c r="D1188" t="str">
        <f>"9780203997734"</f>
        <v>9780203997734</v>
      </c>
      <c r="E1188" t="s">
        <v>15</v>
      </c>
      <c r="F1188" t="s">
        <v>16</v>
      </c>
      <c r="G1188" s="1">
        <v>38333</v>
      </c>
      <c r="H1188" s="1">
        <v>38670</v>
      </c>
      <c r="I1188" t="s">
        <v>12</v>
      </c>
      <c r="J1188" t="s">
        <v>11958</v>
      </c>
    </row>
    <row r="1189" spans="1:10" x14ac:dyDescent="0.25">
      <c r="A1189">
        <v>240681</v>
      </c>
      <c r="B1189" t="s">
        <v>1260</v>
      </c>
      <c r="C1189" t="str">
        <f>"9780415949750"</f>
        <v>9780415949750</v>
      </c>
      <c r="D1189" t="str">
        <f>"9780203997963"</f>
        <v>9780203997963</v>
      </c>
      <c r="E1189" t="s">
        <v>15</v>
      </c>
      <c r="F1189" t="s">
        <v>16</v>
      </c>
      <c r="G1189" s="1">
        <v>38346</v>
      </c>
      <c r="H1189" s="1">
        <v>38797</v>
      </c>
      <c r="I1189" t="s">
        <v>12</v>
      </c>
      <c r="J1189" t="s">
        <v>11959</v>
      </c>
    </row>
    <row r="1190" spans="1:10" x14ac:dyDescent="0.25">
      <c r="A1190">
        <v>240809</v>
      </c>
      <c r="B1190" t="s">
        <v>1261</v>
      </c>
      <c r="C1190" t="str">
        <f>"9781859418017"</f>
        <v>9781859418017</v>
      </c>
      <c r="D1190" t="str">
        <f>"9781843145226"</f>
        <v>9781843145226</v>
      </c>
      <c r="E1190" t="s">
        <v>15</v>
      </c>
      <c r="F1190" t="s">
        <v>1262</v>
      </c>
      <c r="G1190" s="1">
        <v>37622</v>
      </c>
      <c r="H1190" s="1">
        <v>38663</v>
      </c>
      <c r="I1190" t="s">
        <v>12</v>
      </c>
      <c r="J1190" t="s">
        <v>11960</v>
      </c>
    </row>
    <row r="1191" spans="1:10" x14ac:dyDescent="0.25">
      <c r="A1191">
        <v>240854</v>
      </c>
      <c r="B1191" t="s">
        <v>1263</v>
      </c>
      <c r="C1191" t="str">
        <f>"9781859416730"</f>
        <v>9781859416730</v>
      </c>
      <c r="D1191" t="str">
        <f>"9781843143222"</f>
        <v>9781843143222</v>
      </c>
      <c r="E1191" t="s">
        <v>15</v>
      </c>
      <c r="F1191" t="s">
        <v>1262</v>
      </c>
      <c r="G1191" s="1">
        <v>37257</v>
      </c>
      <c r="H1191" s="1">
        <v>1</v>
      </c>
      <c r="I1191" t="s">
        <v>12</v>
      </c>
      <c r="J1191" t="s">
        <v>11961</v>
      </c>
    </row>
    <row r="1192" spans="1:10" x14ac:dyDescent="0.25">
      <c r="A1192">
        <v>240875</v>
      </c>
      <c r="B1192" t="s">
        <v>1264</v>
      </c>
      <c r="C1192" t="str">
        <f>"9781859410509"</f>
        <v>9781859410509</v>
      </c>
      <c r="D1192" t="str">
        <f>"9781843143802"</f>
        <v>9781843143802</v>
      </c>
      <c r="E1192" t="s">
        <v>15</v>
      </c>
      <c r="F1192" t="s">
        <v>1022</v>
      </c>
      <c r="G1192" s="1">
        <v>35840</v>
      </c>
      <c r="H1192" s="1">
        <v>38685</v>
      </c>
      <c r="I1192" t="s">
        <v>12</v>
      </c>
      <c r="J1192" t="s">
        <v>11962</v>
      </c>
    </row>
    <row r="1193" spans="1:10" x14ac:dyDescent="0.25">
      <c r="A1193">
        <v>241101</v>
      </c>
      <c r="B1193" t="s">
        <v>1265</v>
      </c>
      <c r="C1193" t="str">
        <f>"9780521854399"</f>
        <v>9780521854399</v>
      </c>
      <c r="D1193" t="str">
        <f>"9780511200328"</f>
        <v>9780511200328</v>
      </c>
      <c r="E1193" t="s">
        <v>18</v>
      </c>
      <c r="F1193" t="s">
        <v>18</v>
      </c>
      <c r="G1193" s="1">
        <v>38603</v>
      </c>
      <c r="H1193" s="1">
        <v>38741</v>
      </c>
      <c r="I1193" t="s">
        <v>12</v>
      </c>
      <c r="J1193" t="s">
        <v>11963</v>
      </c>
    </row>
    <row r="1194" spans="1:10" x14ac:dyDescent="0.25">
      <c r="A1194">
        <v>241103</v>
      </c>
      <c r="B1194" t="s">
        <v>1266</v>
      </c>
      <c r="C1194" t="str">
        <f>"9780521860017"</f>
        <v>9780521860017</v>
      </c>
      <c r="D1194" t="str">
        <f>"9780511200632"</f>
        <v>9780511200632</v>
      </c>
      <c r="E1194" t="s">
        <v>18</v>
      </c>
      <c r="F1194" t="s">
        <v>18</v>
      </c>
      <c r="G1194" s="1">
        <v>38596</v>
      </c>
      <c r="H1194" s="1">
        <v>38672</v>
      </c>
      <c r="I1194" t="s">
        <v>12</v>
      </c>
      <c r="J1194" t="s">
        <v>11964</v>
      </c>
    </row>
    <row r="1195" spans="1:10" x14ac:dyDescent="0.25">
      <c r="A1195">
        <v>241245</v>
      </c>
      <c r="B1195" t="s">
        <v>1267</v>
      </c>
      <c r="C1195" t="str">
        <f>"9780195076240"</f>
        <v>9780195076240</v>
      </c>
      <c r="D1195" t="str">
        <f>"9780198023944"</f>
        <v>9780198023944</v>
      </c>
      <c r="E1195" t="s">
        <v>1268</v>
      </c>
      <c r="F1195" t="s">
        <v>1268</v>
      </c>
      <c r="G1195" s="1">
        <v>34067</v>
      </c>
      <c r="H1195" s="1">
        <v>39006</v>
      </c>
      <c r="I1195" t="s">
        <v>12</v>
      </c>
      <c r="J1195" t="s">
        <v>11965</v>
      </c>
    </row>
    <row r="1196" spans="1:10" x14ac:dyDescent="0.25">
      <c r="A1196">
        <v>241247</v>
      </c>
      <c r="B1196" t="s">
        <v>1269</v>
      </c>
      <c r="C1196" t="str">
        <f>"9780195132939"</f>
        <v>9780195132939</v>
      </c>
      <c r="D1196" t="str">
        <f>"9780199729067"</f>
        <v>9780199729067</v>
      </c>
      <c r="E1196" t="s">
        <v>1270</v>
      </c>
      <c r="F1196" t="s">
        <v>1270</v>
      </c>
      <c r="G1196" s="1">
        <v>37532</v>
      </c>
      <c r="H1196" s="1">
        <v>39006</v>
      </c>
      <c r="I1196" t="s">
        <v>12</v>
      </c>
      <c r="J1196" t="s">
        <v>11966</v>
      </c>
    </row>
    <row r="1197" spans="1:10" x14ac:dyDescent="0.25">
      <c r="A1197">
        <v>241256</v>
      </c>
      <c r="B1197" t="s">
        <v>1271</v>
      </c>
      <c r="C1197" t="str">
        <f>"9780195045857"</f>
        <v>9780195045857</v>
      </c>
      <c r="D1197" t="str">
        <f>"9780198021483"</f>
        <v>9780198021483</v>
      </c>
      <c r="E1197" t="s">
        <v>1268</v>
      </c>
      <c r="F1197" t="s">
        <v>1268</v>
      </c>
      <c r="G1197" s="1">
        <v>32555</v>
      </c>
      <c r="H1197" s="1">
        <v>39049</v>
      </c>
      <c r="I1197" t="s">
        <v>12</v>
      </c>
      <c r="J1197" t="s">
        <v>11967</v>
      </c>
    </row>
    <row r="1198" spans="1:10" x14ac:dyDescent="0.25">
      <c r="A1198">
        <v>241360</v>
      </c>
      <c r="B1198" t="s">
        <v>1272</v>
      </c>
      <c r="C1198" t="str">
        <f>"9780195049541"</f>
        <v>9780195049541</v>
      </c>
      <c r="D1198" t="str">
        <f>"9780198021636"</f>
        <v>9780198021636</v>
      </c>
      <c r="E1198" t="s">
        <v>1133</v>
      </c>
      <c r="F1198" t="s">
        <v>1273</v>
      </c>
      <c r="G1198" s="1">
        <v>32247</v>
      </c>
      <c r="H1198" s="1">
        <v>39050</v>
      </c>
      <c r="I1198" t="s">
        <v>12</v>
      </c>
      <c r="J1198" t="s">
        <v>11968</v>
      </c>
    </row>
    <row r="1199" spans="1:10" x14ac:dyDescent="0.25">
      <c r="A1199">
        <v>241378</v>
      </c>
      <c r="B1199" t="s">
        <v>1274</v>
      </c>
      <c r="C1199" t="str">
        <f>"9780195089752"</f>
        <v>9780195089752</v>
      </c>
      <c r="D1199" t="str">
        <f>"9781601299840"</f>
        <v>9781601299840</v>
      </c>
      <c r="E1199" t="s">
        <v>1133</v>
      </c>
      <c r="F1199" t="s">
        <v>1273</v>
      </c>
      <c r="G1199" s="1">
        <v>34516</v>
      </c>
      <c r="H1199" s="1">
        <v>39006</v>
      </c>
      <c r="I1199" t="s">
        <v>12</v>
      </c>
      <c r="J1199" t="s">
        <v>11969</v>
      </c>
    </row>
    <row r="1200" spans="1:10" x14ac:dyDescent="0.25">
      <c r="A1200">
        <v>241395</v>
      </c>
      <c r="B1200" t="s">
        <v>1275</v>
      </c>
      <c r="C1200" t="str">
        <f>"9780195061857"</f>
        <v>9780195061857</v>
      </c>
      <c r="D1200" t="str">
        <f>"9780198022749"</f>
        <v>9780198022749</v>
      </c>
      <c r="E1200" t="s">
        <v>1270</v>
      </c>
      <c r="F1200" t="s">
        <v>1270</v>
      </c>
      <c r="G1200" s="1">
        <v>32989</v>
      </c>
      <c r="H1200" s="1">
        <v>39006</v>
      </c>
      <c r="I1200" t="s">
        <v>12</v>
      </c>
      <c r="J1200" t="s">
        <v>11970</v>
      </c>
    </row>
    <row r="1201" spans="1:10" x14ac:dyDescent="0.25">
      <c r="A1201">
        <v>241397</v>
      </c>
      <c r="B1201" t="s">
        <v>1276</v>
      </c>
      <c r="C1201" t="str">
        <f>"9780195120172"</f>
        <v>9780195120172</v>
      </c>
      <c r="D1201" t="str">
        <f>"9780198028192"</f>
        <v>9780198028192</v>
      </c>
      <c r="E1201" t="s">
        <v>1270</v>
      </c>
      <c r="F1201" t="s">
        <v>1270</v>
      </c>
      <c r="G1201" s="1">
        <v>35985</v>
      </c>
      <c r="H1201" s="1">
        <v>39050</v>
      </c>
      <c r="I1201" t="s">
        <v>12</v>
      </c>
      <c r="J1201" t="s">
        <v>11971</v>
      </c>
    </row>
    <row r="1202" spans="1:10" x14ac:dyDescent="0.25">
      <c r="A1202">
        <v>241403</v>
      </c>
      <c r="B1202" t="s">
        <v>1277</v>
      </c>
      <c r="C1202" t="str">
        <f>"9780195073010"</f>
        <v>9780195073010</v>
      </c>
      <c r="D1202" t="str">
        <f>"9781601298638"</f>
        <v>9781601298638</v>
      </c>
      <c r="E1202" t="s">
        <v>1270</v>
      </c>
      <c r="F1202" t="s">
        <v>1270</v>
      </c>
      <c r="G1202" s="1">
        <v>35306</v>
      </c>
      <c r="H1202" s="1">
        <v>39006</v>
      </c>
      <c r="I1202" t="s">
        <v>12</v>
      </c>
      <c r="J1202" t="s">
        <v>11972</v>
      </c>
    </row>
    <row r="1203" spans="1:10" x14ac:dyDescent="0.25">
      <c r="A1203">
        <v>241411</v>
      </c>
      <c r="B1203" t="s">
        <v>1278</v>
      </c>
      <c r="C1203" t="str">
        <f>"9780195073256"</f>
        <v>9780195073256</v>
      </c>
      <c r="D1203" t="str">
        <f>"9780195360912"</f>
        <v>9780195360912</v>
      </c>
      <c r="E1203" t="s">
        <v>1270</v>
      </c>
      <c r="F1203" t="s">
        <v>1270</v>
      </c>
      <c r="G1203" s="1">
        <v>33899</v>
      </c>
      <c r="H1203" s="1">
        <v>39050</v>
      </c>
      <c r="I1203" t="s">
        <v>12</v>
      </c>
      <c r="J1203" t="s">
        <v>11973</v>
      </c>
    </row>
    <row r="1204" spans="1:10" x14ac:dyDescent="0.25">
      <c r="A1204">
        <v>241511</v>
      </c>
      <c r="B1204" t="s">
        <v>1279</v>
      </c>
      <c r="C1204" t="str">
        <f>"9780195097726"</f>
        <v>9780195097726</v>
      </c>
      <c r="D1204" t="str">
        <f>"9781602560550"</f>
        <v>9781602560550</v>
      </c>
      <c r="E1204" t="s">
        <v>1270</v>
      </c>
      <c r="F1204" t="s">
        <v>1270</v>
      </c>
      <c r="G1204" s="1">
        <v>35075</v>
      </c>
      <c r="H1204" s="1">
        <v>39006</v>
      </c>
      <c r="I1204" t="s">
        <v>12</v>
      </c>
      <c r="J1204" t="s">
        <v>11974</v>
      </c>
    </row>
    <row r="1205" spans="1:10" x14ac:dyDescent="0.25">
      <c r="A1205">
        <v>241620</v>
      </c>
      <c r="B1205" t="s">
        <v>1280</v>
      </c>
      <c r="C1205" t="str">
        <f>"9780195123470"</f>
        <v>9780195123470</v>
      </c>
      <c r="D1205" t="str">
        <f>"9780195302004"</f>
        <v>9780195302004</v>
      </c>
      <c r="E1205" t="s">
        <v>1133</v>
      </c>
      <c r="F1205" t="s">
        <v>1273</v>
      </c>
      <c r="G1205" s="1">
        <v>36526</v>
      </c>
      <c r="H1205" s="1">
        <v>39797</v>
      </c>
      <c r="I1205" t="s">
        <v>12</v>
      </c>
      <c r="J1205" t="s">
        <v>11975</v>
      </c>
    </row>
    <row r="1206" spans="1:10" x14ac:dyDescent="0.25">
      <c r="A1206">
        <v>241689</v>
      </c>
      <c r="B1206" t="s">
        <v>1281</v>
      </c>
      <c r="C1206" t="str">
        <f>"9780195064957"</f>
        <v>9780195064957</v>
      </c>
      <c r="D1206" t="str">
        <f>"9781602566095"</f>
        <v>9781602566095</v>
      </c>
      <c r="E1206" t="s">
        <v>1270</v>
      </c>
      <c r="F1206" t="s">
        <v>1270</v>
      </c>
      <c r="G1206" s="1">
        <v>34704</v>
      </c>
      <c r="H1206" s="1">
        <v>39066</v>
      </c>
      <c r="I1206" t="s">
        <v>12</v>
      </c>
      <c r="J1206" t="s">
        <v>11976</v>
      </c>
    </row>
    <row r="1207" spans="1:10" x14ac:dyDescent="0.25">
      <c r="A1207">
        <v>241724</v>
      </c>
      <c r="B1207" t="s">
        <v>1282</v>
      </c>
      <c r="C1207" t="str">
        <f>"9780415289825"</f>
        <v>9780415289825</v>
      </c>
      <c r="D1207" t="str">
        <f>"9780203995068"</f>
        <v>9780203995068</v>
      </c>
      <c r="E1207" t="s">
        <v>15</v>
      </c>
      <c r="F1207" t="s">
        <v>16</v>
      </c>
      <c r="G1207" s="1">
        <v>37575</v>
      </c>
      <c r="H1207" s="1">
        <v>38686</v>
      </c>
      <c r="I1207" t="s">
        <v>12</v>
      </c>
      <c r="J1207" t="s">
        <v>11977</v>
      </c>
    </row>
    <row r="1208" spans="1:10" x14ac:dyDescent="0.25">
      <c r="A1208">
        <v>241737</v>
      </c>
      <c r="B1208" t="s">
        <v>1283</v>
      </c>
      <c r="C1208" t="str">
        <f>"9781841693934"</f>
        <v>9781841693934</v>
      </c>
      <c r="D1208" t="str">
        <f>"9780203015827"</f>
        <v>9780203015827</v>
      </c>
      <c r="E1208" t="s">
        <v>15</v>
      </c>
      <c r="F1208" t="s">
        <v>55</v>
      </c>
      <c r="G1208" s="1">
        <v>38406</v>
      </c>
      <c r="H1208" s="1">
        <v>38684</v>
      </c>
      <c r="I1208" t="s">
        <v>12</v>
      </c>
      <c r="J1208" t="s">
        <v>11978</v>
      </c>
    </row>
    <row r="1209" spans="1:10" x14ac:dyDescent="0.25">
      <c r="A1209">
        <v>241740</v>
      </c>
      <c r="B1209" t="s">
        <v>1284</v>
      </c>
      <c r="C1209" t="str">
        <f>"9780415319997"</f>
        <v>9780415319997</v>
      </c>
      <c r="D1209" t="str">
        <f>"9780203987544"</f>
        <v>9780203987544</v>
      </c>
      <c r="E1209" t="s">
        <v>15</v>
      </c>
      <c r="F1209" t="s">
        <v>16</v>
      </c>
      <c r="G1209" s="1">
        <v>37964</v>
      </c>
      <c r="H1209" s="1">
        <v>38706</v>
      </c>
      <c r="I1209" t="s">
        <v>12</v>
      </c>
      <c r="J1209" t="s">
        <v>11979</v>
      </c>
    </row>
    <row r="1210" spans="1:10" x14ac:dyDescent="0.25">
      <c r="A1210">
        <v>241772</v>
      </c>
      <c r="B1210" t="s">
        <v>1285</v>
      </c>
      <c r="C1210" t="str">
        <f>"9780415949774"</f>
        <v>9780415949774</v>
      </c>
      <c r="D1210" t="str">
        <f>"9780203997956"</f>
        <v>9780203997956</v>
      </c>
      <c r="E1210" t="s">
        <v>15</v>
      </c>
      <c r="F1210" t="s">
        <v>16</v>
      </c>
      <c r="G1210" s="1">
        <v>38347</v>
      </c>
      <c r="H1210" s="1">
        <v>38684</v>
      </c>
      <c r="I1210" t="s">
        <v>12</v>
      </c>
      <c r="J1210" t="s">
        <v>11980</v>
      </c>
    </row>
    <row r="1211" spans="1:10" x14ac:dyDescent="0.25">
      <c r="A1211">
        <v>241791</v>
      </c>
      <c r="B1211" t="s">
        <v>1286</v>
      </c>
      <c r="C1211" t="str">
        <f>"9780415286923"</f>
        <v>9780415286923</v>
      </c>
      <c r="D1211" t="str">
        <f>"9780203987490"</f>
        <v>9780203987490</v>
      </c>
      <c r="E1211" t="s">
        <v>16</v>
      </c>
      <c r="F1211" t="s">
        <v>16</v>
      </c>
      <c r="G1211" s="1">
        <v>36944</v>
      </c>
      <c r="H1211" s="1">
        <v>39175</v>
      </c>
      <c r="I1211" t="s">
        <v>12</v>
      </c>
      <c r="J1211" t="s">
        <v>11981</v>
      </c>
    </row>
    <row r="1212" spans="1:10" x14ac:dyDescent="0.25">
      <c r="A1212">
        <v>241792</v>
      </c>
      <c r="B1212" t="s">
        <v>1287</v>
      </c>
      <c r="C1212" t="str">
        <f>"9780415221610"</f>
        <v>9780415221610</v>
      </c>
      <c r="D1212" t="str">
        <f>"9780203987124"</f>
        <v>9780203987124</v>
      </c>
      <c r="E1212" t="s">
        <v>15</v>
      </c>
      <c r="F1212" t="s">
        <v>16</v>
      </c>
      <c r="G1212" s="1">
        <v>36526</v>
      </c>
      <c r="H1212" s="1">
        <v>38682</v>
      </c>
      <c r="I1212" t="s">
        <v>12</v>
      </c>
      <c r="J1212" t="s">
        <v>11982</v>
      </c>
    </row>
    <row r="1213" spans="1:10" x14ac:dyDescent="0.25">
      <c r="A1213">
        <v>241793</v>
      </c>
      <c r="B1213" t="s">
        <v>1288</v>
      </c>
      <c r="C1213" t="str">
        <f>"9780415191456"</f>
        <v>9780415191456</v>
      </c>
      <c r="D1213" t="str">
        <f>"9780203991848"</f>
        <v>9780203991848</v>
      </c>
      <c r="E1213" t="s">
        <v>15</v>
      </c>
      <c r="F1213" t="s">
        <v>16</v>
      </c>
      <c r="G1213" s="1">
        <v>36986</v>
      </c>
      <c r="H1213" s="1">
        <v>38795</v>
      </c>
      <c r="I1213" t="s">
        <v>12</v>
      </c>
      <c r="J1213" t="s">
        <v>11983</v>
      </c>
    </row>
    <row r="1214" spans="1:10" x14ac:dyDescent="0.25">
      <c r="A1214">
        <v>241807</v>
      </c>
      <c r="B1214" t="s">
        <v>1289</v>
      </c>
      <c r="C1214" t="str">
        <f>"9780415162067"</f>
        <v>9780415162067</v>
      </c>
      <c r="D1214" t="str">
        <f>"9780203987568"</f>
        <v>9780203987568</v>
      </c>
      <c r="E1214" t="s">
        <v>15</v>
      </c>
      <c r="F1214" t="s">
        <v>16</v>
      </c>
      <c r="G1214" s="1">
        <v>35786</v>
      </c>
      <c r="H1214" s="1">
        <v>38682</v>
      </c>
      <c r="I1214" t="s">
        <v>12</v>
      </c>
      <c r="J1214" t="s">
        <v>11984</v>
      </c>
    </row>
    <row r="1215" spans="1:10" x14ac:dyDescent="0.25">
      <c r="A1215">
        <v>241829</v>
      </c>
      <c r="B1215" t="s">
        <v>1290</v>
      </c>
      <c r="C1215" t="str">
        <f>"9780415288996"</f>
        <v>9780415288996</v>
      </c>
      <c r="D1215" t="str">
        <f>"9780203987766"</f>
        <v>9780203987766</v>
      </c>
      <c r="E1215" t="s">
        <v>15</v>
      </c>
      <c r="F1215" t="s">
        <v>16</v>
      </c>
      <c r="G1215" s="1">
        <v>37874</v>
      </c>
      <c r="H1215" s="1">
        <v>41877</v>
      </c>
      <c r="I1215" t="s">
        <v>12</v>
      </c>
      <c r="J1215" t="s">
        <v>11985</v>
      </c>
    </row>
    <row r="1216" spans="1:10" x14ac:dyDescent="0.25">
      <c r="A1216">
        <v>241833</v>
      </c>
      <c r="B1216" t="s">
        <v>1291</v>
      </c>
      <c r="C1216" t="str">
        <f>"9780750702164"</f>
        <v>9780750702164</v>
      </c>
      <c r="D1216" t="str">
        <f>"9780203975565"</f>
        <v>9780203975565</v>
      </c>
      <c r="E1216" t="s">
        <v>15</v>
      </c>
      <c r="F1216" t="s">
        <v>16</v>
      </c>
      <c r="G1216" s="1">
        <v>34182</v>
      </c>
      <c r="H1216" s="1">
        <v>38684</v>
      </c>
      <c r="I1216" t="s">
        <v>12</v>
      </c>
      <c r="J1216" t="s">
        <v>11986</v>
      </c>
    </row>
    <row r="1217" spans="1:10" x14ac:dyDescent="0.25">
      <c r="A1217">
        <v>241856</v>
      </c>
      <c r="B1217" t="s">
        <v>1292</v>
      </c>
      <c r="C1217" t="str">
        <f>"9780415216173"</f>
        <v>9780415216173</v>
      </c>
      <c r="D1217" t="str">
        <f>"9780203994900"</f>
        <v>9780203994900</v>
      </c>
      <c r="E1217" t="s">
        <v>15</v>
      </c>
      <c r="F1217" t="s">
        <v>16</v>
      </c>
      <c r="G1217" s="1">
        <v>37603</v>
      </c>
      <c r="H1217" s="1">
        <v>38685</v>
      </c>
      <c r="I1217" t="s">
        <v>12</v>
      </c>
      <c r="J1217" t="s">
        <v>11987</v>
      </c>
    </row>
    <row r="1218" spans="1:10" x14ac:dyDescent="0.25">
      <c r="A1218">
        <v>241874</v>
      </c>
      <c r="B1218" t="s">
        <v>1293</v>
      </c>
      <c r="C1218" t="str">
        <f>"9780415224543"</f>
        <v>9780415224543</v>
      </c>
      <c r="D1218" t="str">
        <f>"9780203990735"</f>
        <v>9780203990735</v>
      </c>
      <c r="E1218" t="s">
        <v>15</v>
      </c>
      <c r="F1218" t="s">
        <v>16</v>
      </c>
      <c r="G1218" s="1">
        <v>37617</v>
      </c>
      <c r="H1218" s="1">
        <v>38684</v>
      </c>
      <c r="I1218" t="s">
        <v>12</v>
      </c>
      <c r="J1218" t="s">
        <v>11988</v>
      </c>
    </row>
    <row r="1219" spans="1:10" x14ac:dyDescent="0.25">
      <c r="A1219">
        <v>241877</v>
      </c>
      <c r="B1219" t="s">
        <v>1294</v>
      </c>
      <c r="C1219" t="str">
        <f>"9780415153218"</f>
        <v>9780415153218</v>
      </c>
      <c r="D1219" t="str">
        <f>"9781134742325"</f>
        <v>9781134742325</v>
      </c>
      <c r="E1219" t="s">
        <v>15</v>
      </c>
      <c r="F1219" t="s">
        <v>16</v>
      </c>
      <c r="G1219" s="1">
        <v>35944</v>
      </c>
      <c r="H1219" s="1">
        <v>38796</v>
      </c>
      <c r="I1219" t="s">
        <v>12</v>
      </c>
      <c r="J1219" t="s">
        <v>11989</v>
      </c>
    </row>
    <row r="1220" spans="1:10" x14ac:dyDescent="0.25">
      <c r="A1220">
        <v>241889</v>
      </c>
      <c r="B1220" t="s">
        <v>1295</v>
      </c>
      <c r="C1220" t="str">
        <f>"9780415169059"</f>
        <v>9780415169059</v>
      </c>
      <c r="D1220" t="str">
        <f>"9780203988817"</f>
        <v>9780203988817</v>
      </c>
      <c r="E1220" t="s">
        <v>15</v>
      </c>
      <c r="F1220" t="s">
        <v>16</v>
      </c>
      <c r="G1220" s="1">
        <v>37526</v>
      </c>
      <c r="H1220" s="1">
        <v>38775</v>
      </c>
      <c r="I1220" t="s">
        <v>12</v>
      </c>
      <c r="J1220" t="s">
        <v>11990</v>
      </c>
    </row>
    <row r="1221" spans="1:10" x14ac:dyDescent="0.25">
      <c r="A1221">
        <v>241900</v>
      </c>
      <c r="B1221" t="s">
        <v>1296</v>
      </c>
      <c r="C1221" t="str">
        <f>"9780415325370"</f>
        <v>9780415325370</v>
      </c>
      <c r="D1221" t="str">
        <f>"9780203358238"</f>
        <v>9780203358238</v>
      </c>
      <c r="E1221" t="s">
        <v>15</v>
      </c>
      <c r="F1221" t="s">
        <v>16</v>
      </c>
      <c r="G1221" s="1">
        <v>38411</v>
      </c>
      <c r="H1221" s="1">
        <v>38685</v>
      </c>
      <c r="I1221" t="s">
        <v>12</v>
      </c>
      <c r="J1221" t="s">
        <v>11991</v>
      </c>
    </row>
    <row r="1222" spans="1:10" x14ac:dyDescent="0.25">
      <c r="A1222">
        <v>241933</v>
      </c>
      <c r="B1222" t="s">
        <v>1297</v>
      </c>
      <c r="C1222" t="str">
        <f>"9780415078504"</f>
        <v>9780415078504</v>
      </c>
      <c r="D1222" t="str">
        <f>"9780203980354"</f>
        <v>9780203980354</v>
      </c>
      <c r="E1222" t="s">
        <v>15</v>
      </c>
      <c r="F1222" t="s">
        <v>16</v>
      </c>
      <c r="G1222" s="1">
        <v>33899</v>
      </c>
      <c r="H1222" s="1">
        <v>38684</v>
      </c>
      <c r="I1222" t="s">
        <v>12</v>
      </c>
      <c r="J1222" t="s">
        <v>11992</v>
      </c>
    </row>
    <row r="1223" spans="1:10" x14ac:dyDescent="0.25">
      <c r="A1223">
        <v>241944</v>
      </c>
      <c r="B1223" t="s">
        <v>1298</v>
      </c>
      <c r="C1223" t="str">
        <f>"9780415197793"</f>
        <v>9780415197793</v>
      </c>
      <c r="D1223" t="str">
        <f>"9780203984208"</f>
        <v>9780203984208</v>
      </c>
      <c r="E1223" t="s">
        <v>15</v>
      </c>
      <c r="F1223" t="s">
        <v>16</v>
      </c>
      <c r="G1223" s="1">
        <v>36476</v>
      </c>
      <c r="H1223" s="1">
        <v>39095</v>
      </c>
      <c r="I1223" t="s">
        <v>12</v>
      </c>
      <c r="J1223" t="s">
        <v>11993</v>
      </c>
    </row>
    <row r="1224" spans="1:10" x14ac:dyDescent="0.25">
      <c r="A1224">
        <v>241961</v>
      </c>
      <c r="B1224" t="s">
        <v>1299</v>
      </c>
      <c r="C1224" t="str">
        <f>"9780709935902"</f>
        <v>9780709935902</v>
      </c>
      <c r="D1224" t="str">
        <f>"9780203975107"</f>
        <v>9780203975107</v>
      </c>
      <c r="E1224" t="s">
        <v>15</v>
      </c>
      <c r="F1224" t="s">
        <v>16</v>
      </c>
      <c r="G1224" s="1">
        <v>33238</v>
      </c>
      <c r="H1224" s="1">
        <v>38684</v>
      </c>
      <c r="I1224" t="s">
        <v>12</v>
      </c>
      <c r="J1224" t="s">
        <v>11994</v>
      </c>
    </row>
    <row r="1225" spans="1:10" x14ac:dyDescent="0.25">
      <c r="A1225">
        <v>241965</v>
      </c>
      <c r="B1225" t="s">
        <v>1300</v>
      </c>
      <c r="C1225" t="str">
        <f>"9780415223492"</f>
        <v>9780415223492</v>
      </c>
      <c r="D1225" t="str">
        <f>"9780203991886"</f>
        <v>9780203991886</v>
      </c>
      <c r="E1225" t="s">
        <v>15</v>
      </c>
      <c r="F1225" t="s">
        <v>16</v>
      </c>
      <c r="G1225" s="1">
        <v>36818</v>
      </c>
      <c r="H1225" s="1">
        <v>38684</v>
      </c>
      <c r="I1225" t="s">
        <v>12</v>
      </c>
      <c r="J1225" t="s">
        <v>11995</v>
      </c>
    </row>
    <row r="1226" spans="1:10" x14ac:dyDescent="0.25">
      <c r="A1226">
        <v>241967</v>
      </c>
      <c r="B1226" t="s">
        <v>1301</v>
      </c>
      <c r="C1226" t="str">
        <f>"9780419223504"</f>
        <v>9780419223504</v>
      </c>
      <c r="D1226" t="str">
        <f>"9780203979129"</f>
        <v>9780203979129</v>
      </c>
      <c r="E1226" t="s">
        <v>15</v>
      </c>
      <c r="F1226" t="s">
        <v>153</v>
      </c>
      <c r="G1226" s="1">
        <v>36307</v>
      </c>
      <c r="H1226" s="1">
        <v>38686</v>
      </c>
      <c r="I1226" t="s">
        <v>12</v>
      </c>
      <c r="J1226" t="s">
        <v>11996</v>
      </c>
    </row>
    <row r="1227" spans="1:10" x14ac:dyDescent="0.25">
      <c r="A1227">
        <v>241992</v>
      </c>
      <c r="B1227" t="s">
        <v>1302</v>
      </c>
      <c r="C1227" t="str">
        <f>"9780750708814"</f>
        <v>9780750708814</v>
      </c>
      <c r="D1227" t="str">
        <f>"9780203980842"</f>
        <v>9780203980842</v>
      </c>
      <c r="E1227" t="s">
        <v>15</v>
      </c>
      <c r="F1227" t="s">
        <v>16</v>
      </c>
      <c r="G1227" s="1">
        <v>36100</v>
      </c>
      <c r="H1227" s="1">
        <v>38796</v>
      </c>
      <c r="I1227" t="s">
        <v>12</v>
      </c>
      <c r="J1227" t="s">
        <v>11997</v>
      </c>
    </row>
    <row r="1228" spans="1:10" x14ac:dyDescent="0.25">
      <c r="A1228">
        <v>242008</v>
      </c>
      <c r="B1228" t="s">
        <v>1303</v>
      </c>
      <c r="C1228" t="str">
        <f>"9780136516132"</f>
        <v>9780136516132</v>
      </c>
      <c r="D1228" t="str">
        <f>"9780203984178"</f>
        <v>9780203984178</v>
      </c>
      <c r="E1228" t="s">
        <v>144</v>
      </c>
      <c r="F1228" t="s">
        <v>144</v>
      </c>
      <c r="G1228" s="1">
        <v>33785</v>
      </c>
      <c r="H1228" s="1">
        <v>38765</v>
      </c>
      <c r="I1228" t="s">
        <v>12</v>
      </c>
      <c r="J1228" t="s">
        <v>11998</v>
      </c>
    </row>
    <row r="1229" spans="1:10" x14ac:dyDescent="0.25">
      <c r="A1229">
        <v>242036</v>
      </c>
      <c r="B1229" t="s">
        <v>1304</v>
      </c>
      <c r="C1229" t="str">
        <f>"9780415253574"</f>
        <v>9780415253574</v>
      </c>
      <c r="D1229" t="str">
        <f>"9780203994597"</f>
        <v>9780203994597</v>
      </c>
      <c r="E1229" t="s">
        <v>15</v>
      </c>
      <c r="F1229" t="s">
        <v>16</v>
      </c>
      <c r="G1229" s="1">
        <v>37407</v>
      </c>
      <c r="H1229" s="1">
        <v>38797</v>
      </c>
      <c r="I1229" t="s">
        <v>12</v>
      </c>
      <c r="J1229" t="s">
        <v>11999</v>
      </c>
    </row>
    <row r="1230" spans="1:10" x14ac:dyDescent="0.25">
      <c r="A1230">
        <v>242038</v>
      </c>
      <c r="B1230" t="s">
        <v>1305</v>
      </c>
      <c r="C1230" t="str">
        <f>"9780863775321"</f>
        <v>9780863775321</v>
      </c>
      <c r="D1230" t="str">
        <f>"9780203016398"</f>
        <v>9780203016398</v>
      </c>
      <c r="E1230" t="s">
        <v>15</v>
      </c>
      <c r="F1230" t="s">
        <v>55</v>
      </c>
      <c r="G1230" s="1">
        <v>35886</v>
      </c>
      <c r="H1230" s="1">
        <v>38685</v>
      </c>
      <c r="I1230" t="s">
        <v>12</v>
      </c>
      <c r="J1230" t="s">
        <v>12000</v>
      </c>
    </row>
    <row r="1231" spans="1:10" x14ac:dyDescent="0.25">
      <c r="A1231">
        <v>242045</v>
      </c>
      <c r="B1231" t="s">
        <v>1306</v>
      </c>
      <c r="C1231" t="str">
        <f>"9780824059361"</f>
        <v>9780824059361</v>
      </c>
      <c r="D1231" t="str">
        <f>"9780203997246"</f>
        <v>9780203997246</v>
      </c>
      <c r="E1231" t="s">
        <v>15</v>
      </c>
      <c r="F1231" t="s">
        <v>16</v>
      </c>
      <c r="G1231" s="1">
        <v>38319</v>
      </c>
      <c r="H1231" s="1">
        <v>38686</v>
      </c>
      <c r="I1231" t="s">
        <v>12</v>
      </c>
      <c r="J1231" t="s">
        <v>12001</v>
      </c>
    </row>
    <row r="1232" spans="1:10" x14ac:dyDescent="0.25">
      <c r="A1232">
        <v>242055</v>
      </c>
      <c r="B1232" t="s">
        <v>1307</v>
      </c>
      <c r="C1232" t="str">
        <f>"9780863777080"</f>
        <v>9780863777080</v>
      </c>
      <c r="D1232" t="str">
        <f>"9780203015568"</f>
        <v>9780203015568</v>
      </c>
      <c r="E1232" t="s">
        <v>15</v>
      </c>
      <c r="F1232" t="s">
        <v>55</v>
      </c>
      <c r="G1232" s="1">
        <v>36251</v>
      </c>
      <c r="H1232" s="1">
        <v>38783</v>
      </c>
      <c r="I1232" t="s">
        <v>12</v>
      </c>
      <c r="J1232" t="s">
        <v>12002</v>
      </c>
    </row>
    <row r="1233" spans="1:10" x14ac:dyDescent="0.25">
      <c r="A1233">
        <v>242080</v>
      </c>
      <c r="B1233" t="s">
        <v>1308</v>
      </c>
      <c r="C1233" t="str">
        <f>"9780415276672"</f>
        <v>9780415276672</v>
      </c>
      <c r="D1233" t="str">
        <f>"9780203994092"</f>
        <v>9780203994092</v>
      </c>
      <c r="E1233" t="s">
        <v>15</v>
      </c>
      <c r="F1233" t="s">
        <v>16</v>
      </c>
      <c r="G1233" s="1">
        <v>37393</v>
      </c>
      <c r="H1233" s="1">
        <v>38686</v>
      </c>
      <c r="I1233" t="s">
        <v>12</v>
      </c>
      <c r="J1233" t="s">
        <v>12003</v>
      </c>
    </row>
    <row r="1234" spans="1:10" x14ac:dyDescent="0.25">
      <c r="A1234">
        <v>242086</v>
      </c>
      <c r="B1234" t="s">
        <v>1309</v>
      </c>
      <c r="C1234" t="str">
        <f>"9780415128483"</f>
        <v>9780415128483</v>
      </c>
      <c r="D1234" t="str">
        <f>"9780203990346"</f>
        <v>9780203990346</v>
      </c>
      <c r="E1234" t="s">
        <v>15</v>
      </c>
      <c r="F1234" t="s">
        <v>16</v>
      </c>
      <c r="G1234" s="1">
        <v>35024</v>
      </c>
      <c r="H1234" s="1">
        <v>38798</v>
      </c>
      <c r="I1234" t="s">
        <v>12</v>
      </c>
      <c r="J1234" t="s">
        <v>12004</v>
      </c>
    </row>
    <row r="1235" spans="1:10" x14ac:dyDescent="0.25">
      <c r="A1235">
        <v>242090</v>
      </c>
      <c r="B1235" t="s">
        <v>1310</v>
      </c>
      <c r="C1235" t="str">
        <f>"9780750710060"</f>
        <v>9780750710060</v>
      </c>
      <c r="D1235" t="str">
        <f>"9780203984093"</f>
        <v>9780203984093</v>
      </c>
      <c r="E1235" t="s">
        <v>15</v>
      </c>
      <c r="F1235" t="s">
        <v>16</v>
      </c>
      <c r="G1235" s="1">
        <v>36495</v>
      </c>
      <c r="H1235" s="1">
        <v>38685</v>
      </c>
      <c r="I1235" t="s">
        <v>12</v>
      </c>
      <c r="J1235" t="s">
        <v>12005</v>
      </c>
    </row>
    <row r="1236" spans="1:10" x14ac:dyDescent="0.25">
      <c r="A1236">
        <v>242097</v>
      </c>
      <c r="B1236" t="s">
        <v>1311</v>
      </c>
      <c r="C1236" t="str">
        <f>"9780415278300"</f>
        <v>9780415278300</v>
      </c>
      <c r="D1236" t="str">
        <f>"9780203994320"</f>
        <v>9780203994320</v>
      </c>
      <c r="E1236" t="s">
        <v>15</v>
      </c>
      <c r="F1236" t="s">
        <v>16</v>
      </c>
      <c r="G1236" s="1">
        <v>37308</v>
      </c>
      <c r="H1236" s="1">
        <v>38800</v>
      </c>
      <c r="I1236" t="s">
        <v>12</v>
      </c>
      <c r="J1236" t="s">
        <v>12006</v>
      </c>
    </row>
    <row r="1237" spans="1:10" x14ac:dyDescent="0.25">
      <c r="A1237">
        <v>242187</v>
      </c>
      <c r="B1237" t="s">
        <v>1312</v>
      </c>
      <c r="C1237" t="str">
        <f>"9780415297813"</f>
        <v>9780415297813</v>
      </c>
      <c r="D1237" t="str">
        <f>"9780203987223"</f>
        <v>9780203987223</v>
      </c>
      <c r="E1237" t="s">
        <v>15</v>
      </c>
      <c r="F1237" t="s">
        <v>16</v>
      </c>
      <c r="G1237" s="1">
        <v>37973</v>
      </c>
      <c r="H1237" s="1">
        <v>38685</v>
      </c>
      <c r="I1237" t="s">
        <v>12</v>
      </c>
      <c r="J1237" t="s">
        <v>12007</v>
      </c>
    </row>
    <row r="1238" spans="1:10" x14ac:dyDescent="0.25">
      <c r="A1238">
        <v>242193</v>
      </c>
      <c r="B1238" t="s">
        <v>1313</v>
      </c>
      <c r="C1238" t="str">
        <f>"9780415112901"</f>
        <v>9780415112901</v>
      </c>
      <c r="D1238" t="str">
        <f>"9780203992197"</f>
        <v>9780203992197</v>
      </c>
      <c r="E1238" t="s">
        <v>15</v>
      </c>
      <c r="F1238" t="s">
        <v>16</v>
      </c>
      <c r="G1238" s="1">
        <v>35100</v>
      </c>
      <c r="H1238" s="1">
        <v>38804</v>
      </c>
      <c r="I1238" t="s">
        <v>12</v>
      </c>
      <c r="J1238" t="s">
        <v>12008</v>
      </c>
    </row>
    <row r="1239" spans="1:10" x14ac:dyDescent="0.25">
      <c r="A1239">
        <v>242218</v>
      </c>
      <c r="B1239" t="s">
        <v>1314</v>
      </c>
      <c r="C1239" t="str">
        <f>"9780415115896"</f>
        <v>9780415115896</v>
      </c>
      <c r="D1239" t="str">
        <f>"9780203991534"</f>
        <v>9780203991534</v>
      </c>
      <c r="E1239" t="s">
        <v>15</v>
      </c>
      <c r="F1239" t="s">
        <v>16</v>
      </c>
      <c r="G1239" s="1">
        <v>35199</v>
      </c>
      <c r="H1239" s="1">
        <v>38686</v>
      </c>
      <c r="I1239" t="s">
        <v>12</v>
      </c>
      <c r="J1239" t="s">
        <v>12009</v>
      </c>
    </row>
    <row r="1240" spans="1:10" x14ac:dyDescent="0.25">
      <c r="A1240">
        <v>242219</v>
      </c>
      <c r="B1240" t="s">
        <v>1315</v>
      </c>
      <c r="C1240" t="str">
        <f>"9780415168656"</f>
        <v>9780415168656</v>
      </c>
      <c r="D1240" t="str">
        <f>"9780203979860"</f>
        <v>9780203979860</v>
      </c>
      <c r="E1240" t="s">
        <v>15</v>
      </c>
      <c r="F1240" t="s">
        <v>16</v>
      </c>
      <c r="G1240" s="1">
        <v>36235</v>
      </c>
      <c r="H1240" s="1">
        <v>38686</v>
      </c>
      <c r="I1240" t="s">
        <v>12</v>
      </c>
      <c r="J1240" t="s">
        <v>12010</v>
      </c>
    </row>
    <row r="1241" spans="1:10" x14ac:dyDescent="0.25">
      <c r="A1241">
        <v>242247</v>
      </c>
      <c r="B1241" t="s">
        <v>1316</v>
      </c>
      <c r="C1241" t="str">
        <f>"9780415169097"</f>
        <v>9780415169097</v>
      </c>
      <c r="D1241" t="str">
        <f>"9780203976753"</f>
        <v>9780203976753</v>
      </c>
      <c r="E1241" t="s">
        <v>15</v>
      </c>
      <c r="F1241" t="s">
        <v>16</v>
      </c>
      <c r="G1241" s="1">
        <v>36332</v>
      </c>
      <c r="H1241" s="1">
        <v>38807</v>
      </c>
      <c r="I1241" t="s">
        <v>12</v>
      </c>
      <c r="J1241" t="s">
        <v>12011</v>
      </c>
    </row>
    <row r="1242" spans="1:10" x14ac:dyDescent="0.25">
      <c r="A1242">
        <v>242264</v>
      </c>
      <c r="B1242" t="s">
        <v>1317</v>
      </c>
      <c r="C1242" t="str">
        <f>"9780415029704"</f>
        <v>9780415029704</v>
      </c>
      <c r="D1242" t="str">
        <f>"9780203979457"</f>
        <v>9780203979457</v>
      </c>
      <c r="E1242" t="s">
        <v>15</v>
      </c>
      <c r="F1242" t="s">
        <v>16</v>
      </c>
      <c r="G1242" s="1">
        <v>36083</v>
      </c>
      <c r="H1242" s="1">
        <v>38682</v>
      </c>
      <c r="I1242" t="s">
        <v>12</v>
      </c>
      <c r="J1242" t="s">
        <v>12012</v>
      </c>
    </row>
    <row r="1243" spans="1:10" x14ac:dyDescent="0.25">
      <c r="A1243">
        <v>242265</v>
      </c>
      <c r="B1243" t="s">
        <v>1318</v>
      </c>
      <c r="C1243" t="str">
        <f>"9789058230072"</f>
        <v>9789058230072</v>
      </c>
      <c r="D1243" t="str">
        <f>"9780203988978"</f>
        <v>9780203988978</v>
      </c>
      <c r="E1243" t="s">
        <v>15</v>
      </c>
      <c r="F1243" t="s">
        <v>16</v>
      </c>
      <c r="G1243" s="1">
        <v>36526</v>
      </c>
      <c r="H1243" s="1">
        <v>38682</v>
      </c>
      <c r="I1243" t="s">
        <v>12</v>
      </c>
      <c r="J1243" t="s">
        <v>12013</v>
      </c>
    </row>
    <row r="1244" spans="1:10" x14ac:dyDescent="0.25">
      <c r="A1244">
        <v>242284</v>
      </c>
      <c r="B1244" t="s">
        <v>1319</v>
      </c>
      <c r="C1244" t="str">
        <f>"9781841695686"</f>
        <v>9781841695686</v>
      </c>
      <c r="D1244" t="str">
        <f>"9780203015056"</f>
        <v>9780203015056</v>
      </c>
      <c r="E1244" t="s">
        <v>15</v>
      </c>
      <c r="F1244" t="s">
        <v>55</v>
      </c>
      <c r="G1244" s="1">
        <v>38722</v>
      </c>
      <c r="H1244" s="1">
        <v>38700</v>
      </c>
      <c r="I1244" t="s">
        <v>12</v>
      </c>
      <c r="J1244" t="s">
        <v>12014</v>
      </c>
    </row>
    <row r="1245" spans="1:10" x14ac:dyDescent="0.25">
      <c r="A1245">
        <v>242289</v>
      </c>
      <c r="B1245" t="s">
        <v>1320</v>
      </c>
      <c r="C1245" t="str">
        <f>"9780415949637"</f>
        <v>9780415949637</v>
      </c>
      <c r="D1245" t="str">
        <f>"9780203997123"</f>
        <v>9780203997123</v>
      </c>
      <c r="E1245" t="s">
        <v>15</v>
      </c>
      <c r="F1245" t="s">
        <v>16</v>
      </c>
      <c r="G1245" s="1">
        <v>38318</v>
      </c>
      <c r="H1245" s="1">
        <v>38684</v>
      </c>
      <c r="I1245" t="s">
        <v>12</v>
      </c>
      <c r="J1245" t="s">
        <v>12015</v>
      </c>
    </row>
    <row r="1246" spans="1:10" x14ac:dyDescent="0.25">
      <c r="A1246">
        <v>242291</v>
      </c>
      <c r="B1246" t="s">
        <v>1321</v>
      </c>
      <c r="C1246" t="str">
        <f>"9780415256148"</f>
        <v>9780415256148</v>
      </c>
      <c r="D1246" t="str">
        <f>"9780203986905"</f>
        <v>9780203986905</v>
      </c>
      <c r="E1246" t="s">
        <v>15</v>
      </c>
      <c r="F1246" t="s">
        <v>16</v>
      </c>
      <c r="G1246" s="1">
        <v>37610</v>
      </c>
      <c r="H1246" s="1">
        <v>38796</v>
      </c>
      <c r="I1246" t="s">
        <v>12</v>
      </c>
      <c r="J1246" t="s">
        <v>12016</v>
      </c>
    </row>
    <row r="1247" spans="1:10" x14ac:dyDescent="0.25">
      <c r="A1247">
        <v>242294</v>
      </c>
      <c r="B1247" t="s">
        <v>1322</v>
      </c>
      <c r="C1247" t="str">
        <f>"9780415158336"</f>
        <v>9780415158336</v>
      </c>
      <c r="D1247" t="str">
        <f>"9780203977439"</f>
        <v>9780203977439</v>
      </c>
      <c r="E1247" t="s">
        <v>15</v>
      </c>
      <c r="F1247" t="s">
        <v>16</v>
      </c>
      <c r="G1247" s="1">
        <v>41773</v>
      </c>
      <c r="H1247" s="1">
        <v>38685</v>
      </c>
      <c r="I1247" t="s">
        <v>12</v>
      </c>
      <c r="J1247" t="s">
        <v>12017</v>
      </c>
    </row>
    <row r="1248" spans="1:10" x14ac:dyDescent="0.25">
      <c r="A1248">
        <v>242295</v>
      </c>
      <c r="B1248" t="s">
        <v>1323</v>
      </c>
      <c r="C1248" t="str">
        <f>"9780415194365"</f>
        <v>9780415194365</v>
      </c>
      <c r="D1248" t="str">
        <f>"9780203976326"</f>
        <v>9780203976326</v>
      </c>
      <c r="E1248" t="s">
        <v>15</v>
      </c>
      <c r="F1248" t="s">
        <v>16</v>
      </c>
      <c r="G1248" s="1">
        <v>36640</v>
      </c>
      <c r="H1248" s="1">
        <v>38685</v>
      </c>
      <c r="I1248" t="s">
        <v>12</v>
      </c>
      <c r="J1248" t="s">
        <v>12018</v>
      </c>
    </row>
    <row r="1249" spans="1:10" x14ac:dyDescent="0.25">
      <c r="A1249">
        <v>242302</v>
      </c>
      <c r="B1249" t="s">
        <v>1324</v>
      </c>
      <c r="C1249" t="str">
        <f>"9780415083799"</f>
        <v>9780415083799</v>
      </c>
      <c r="D1249" t="str">
        <f>"9780203980101"</f>
        <v>9780203980101</v>
      </c>
      <c r="E1249" t="s">
        <v>15</v>
      </c>
      <c r="F1249" t="s">
        <v>16</v>
      </c>
      <c r="G1249" s="1">
        <v>33878</v>
      </c>
      <c r="H1249" s="1">
        <v>38796</v>
      </c>
      <c r="I1249" t="s">
        <v>12</v>
      </c>
      <c r="J1249" t="s">
        <v>12019</v>
      </c>
    </row>
    <row r="1250" spans="1:10" x14ac:dyDescent="0.25">
      <c r="A1250">
        <v>242306</v>
      </c>
      <c r="B1250" t="s">
        <v>1325</v>
      </c>
      <c r="C1250" t="str">
        <f>"9789026519666"</f>
        <v>9789026519666</v>
      </c>
      <c r="D1250" t="str">
        <f>"9780203971086"</f>
        <v>9780203971086</v>
      </c>
      <c r="E1250" t="s">
        <v>15</v>
      </c>
      <c r="F1250" t="s">
        <v>16</v>
      </c>
      <c r="G1250" s="1">
        <v>37987</v>
      </c>
      <c r="H1250" s="1">
        <v>38685</v>
      </c>
      <c r="I1250" t="s">
        <v>12</v>
      </c>
      <c r="J1250" t="s">
        <v>12020</v>
      </c>
    </row>
    <row r="1251" spans="1:10" x14ac:dyDescent="0.25">
      <c r="A1251">
        <v>242320</v>
      </c>
      <c r="B1251" t="s">
        <v>1326</v>
      </c>
      <c r="C1251" t="str">
        <f>"9780415219846"</f>
        <v>9780415219846</v>
      </c>
      <c r="D1251" t="str">
        <f>"9780203996119"</f>
        <v>9780203996119</v>
      </c>
      <c r="E1251" t="s">
        <v>15</v>
      </c>
      <c r="F1251" t="s">
        <v>16</v>
      </c>
      <c r="G1251" s="1">
        <v>37068</v>
      </c>
      <c r="H1251" s="1">
        <v>38685</v>
      </c>
      <c r="I1251" t="s">
        <v>12</v>
      </c>
      <c r="J1251" t="s">
        <v>12021</v>
      </c>
    </row>
    <row r="1252" spans="1:10" x14ac:dyDescent="0.25">
      <c r="A1252">
        <v>242323</v>
      </c>
      <c r="B1252" t="s">
        <v>1327</v>
      </c>
      <c r="C1252" t="str">
        <f>"9780415255349"</f>
        <v>9780415255349</v>
      </c>
      <c r="D1252" t="str">
        <f>"9780203996065"</f>
        <v>9780203996065</v>
      </c>
      <c r="E1252" t="s">
        <v>15</v>
      </c>
      <c r="F1252" t="s">
        <v>16</v>
      </c>
      <c r="G1252" s="1">
        <v>33319</v>
      </c>
      <c r="H1252" s="1">
        <v>38686</v>
      </c>
      <c r="I1252" t="s">
        <v>12</v>
      </c>
      <c r="J1252" t="s">
        <v>12022</v>
      </c>
    </row>
    <row r="1253" spans="1:10" x14ac:dyDescent="0.25">
      <c r="A1253">
        <v>242693</v>
      </c>
      <c r="B1253" t="s">
        <v>1328</v>
      </c>
      <c r="C1253" t="str">
        <f>"9781571103437"</f>
        <v>9781571103437</v>
      </c>
      <c r="D1253" t="str">
        <f>"9781571104496"</f>
        <v>9781571104496</v>
      </c>
      <c r="E1253" t="s">
        <v>1329</v>
      </c>
      <c r="F1253" t="s">
        <v>1330</v>
      </c>
      <c r="G1253" s="1">
        <v>38702</v>
      </c>
      <c r="H1253" s="1">
        <v>38736</v>
      </c>
      <c r="I1253" t="s">
        <v>12</v>
      </c>
      <c r="J1253" t="s">
        <v>12023</v>
      </c>
    </row>
    <row r="1254" spans="1:10" x14ac:dyDescent="0.25">
      <c r="A1254">
        <v>242739</v>
      </c>
      <c r="B1254" t="s">
        <v>1331</v>
      </c>
      <c r="C1254" t="str">
        <f>"9780749441029"</f>
        <v>9780749441029</v>
      </c>
      <c r="D1254" t="str">
        <f>"9780749446062"</f>
        <v>9780749446062</v>
      </c>
      <c r="E1254" t="s">
        <v>1059</v>
      </c>
      <c r="F1254" t="s">
        <v>1059</v>
      </c>
      <c r="G1254" s="1">
        <v>38622</v>
      </c>
      <c r="H1254" s="1">
        <v>38713</v>
      </c>
      <c r="I1254" t="s">
        <v>12</v>
      </c>
      <c r="J1254" t="s">
        <v>12024</v>
      </c>
    </row>
    <row r="1255" spans="1:10" x14ac:dyDescent="0.25">
      <c r="A1255">
        <v>242740</v>
      </c>
      <c r="B1255" t="s">
        <v>1332</v>
      </c>
      <c r="C1255" t="str">
        <f>"9780749442941"</f>
        <v>9780749442941</v>
      </c>
      <c r="D1255" t="str">
        <f>"9780749446154"</f>
        <v>9780749446154</v>
      </c>
      <c r="E1255" t="s">
        <v>1059</v>
      </c>
      <c r="F1255" t="s">
        <v>1059</v>
      </c>
      <c r="G1255" s="1">
        <v>38622</v>
      </c>
      <c r="H1255" s="1">
        <v>38763</v>
      </c>
      <c r="I1255" t="s">
        <v>12</v>
      </c>
      <c r="J1255" t="s">
        <v>12025</v>
      </c>
    </row>
    <row r="1256" spans="1:10" x14ac:dyDescent="0.25">
      <c r="A1256">
        <v>242746</v>
      </c>
      <c r="B1256" t="s">
        <v>1333</v>
      </c>
      <c r="C1256" t="str">
        <f>"9780749443801"</f>
        <v>9780749443801</v>
      </c>
      <c r="D1256" t="str">
        <f>"9780749446055"</f>
        <v>9780749446055</v>
      </c>
      <c r="E1256" t="s">
        <v>1059</v>
      </c>
      <c r="F1256" t="s">
        <v>1059</v>
      </c>
      <c r="G1256" s="1">
        <v>38622</v>
      </c>
      <c r="H1256" s="1">
        <v>38713</v>
      </c>
      <c r="I1256" t="s">
        <v>12</v>
      </c>
      <c r="J1256" t="s">
        <v>12026</v>
      </c>
    </row>
    <row r="1257" spans="1:10" x14ac:dyDescent="0.25">
      <c r="A1257">
        <v>242755</v>
      </c>
      <c r="B1257" t="s">
        <v>1334</v>
      </c>
      <c r="C1257" t="str">
        <f>"9780749442965"</f>
        <v>9780749442965</v>
      </c>
      <c r="D1257" t="str">
        <f>"9780749446109"</f>
        <v>9780749446109</v>
      </c>
      <c r="E1257" t="s">
        <v>1059</v>
      </c>
      <c r="F1257" t="s">
        <v>1059</v>
      </c>
      <c r="G1257" s="1">
        <v>38622</v>
      </c>
      <c r="H1257" s="1">
        <v>38715</v>
      </c>
      <c r="I1257" t="s">
        <v>12</v>
      </c>
      <c r="J1257" t="s">
        <v>12027</v>
      </c>
    </row>
    <row r="1258" spans="1:10" x14ac:dyDescent="0.25">
      <c r="A1258">
        <v>242849</v>
      </c>
      <c r="B1258" t="s">
        <v>1335</v>
      </c>
      <c r="C1258" t="str">
        <f>"9780749443818"</f>
        <v>9780749443818</v>
      </c>
      <c r="D1258" t="str">
        <f>"9780749445836"</f>
        <v>9780749445836</v>
      </c>
      <c r="E1258" t="s">
        <v>1059</v>
      </c>
      <c r="F1258" t="s">
        <v>1059</v>
      </c>
      <c r="G1258" s="1">
        <v>38353</v>
      </c>
      <c r="H1258" s="1">
        <v>1</v>
      </c>
      <c r="I1258" t="s">
        <v>12</v>
      </c>
      <c r="J1258" t="s">
        <v>12028</v>
      </c>
    </row>
    <row r="1259" spans="1:10" x14ac:dyDescent="0.25">
      <c r="A1259">
        <v>242982</v>
      </c>
      <c r="B1259" t="s">
        <v>1336</v>
      </c>
      <c r="C1259" t="str">
        <f>"9780814408636"</f>
        <v>9780814408636</v>
      </c>
      <c r="D1259" t="str">
        <f>"9780814429068"</f>
        <v>9780814429068</v>
      </c>
      <c r="E1259" t="s">
        <v>1080</v>
      </c>
      <c r="F1259" t="s">
        <v>1080</v>
      </c>
      <c r="G1259" s="1">
        <v>38501</v>
      </c>
      <c r="H1259" s="1">
        <v>38760</v>
      </c>
      <c r="I1259" t="s">
        <v>12</v>
      </c>
      <c r="J1259" t="s">
        <v>12029</v>
      </c>
    </row>
    <row r="1260" spans="1:10" x14ac:dyDescent="0.25">
      <c r="A1260">
        <v>242984</v>
      </c>
      <c r="B1260" t="s">
        <v>1337</v>
      </c>
      <c r="C1260" t="str">
        <f>"9780814408513"</f>
        <v>9780814408513</v>
      </c>
      <c r="D1260" t="str">
        <f>"9780814428627"</f>
        <v>9780814428627</v>
      </c>
      <c r="E1260" t="s">
        <v>1080</v>
      </c>
      <c r="F1260" t="s">
        <v>1080</v>
      </c>
      <c r="G1260" s="1">
        <v>38313</v>
      </c>
      <c r="H1260" s="1">
        <v>38760</v>
      </c>
      <c r="I1260" t="s">
        <v>12</v>
      </c>
      <c r="J1260" t="s">
        <v>12030</v>
      </c>
    </row>
    <row r="1261" spans="1:10" x14ac:dyDescent="0.25">
      <c r="A1261">
        <v>242993</v>
      </c>
      <c r="B1261" t="s">
        <v>1338</v>
      </c>
      <c r="C1261" t="str">
        <f>"9780814406823"</f>
        <v>9780814406823</v>
      </c>
      <c r="D1261" t="str">
        <f>"9780814426630"</f>
        <v>9780814426630</v>
      </c>
      <c r="E1261" t="s">
        <v>1080</v>
      </c>
      <c r="F1261" t="s">
        <v>1080</v>
      </c>
      <c r="G1261" s="1">
        <v>37425</v>
      </c>
      <c r="H1261" s="1">
        <v>38760</v>
      </c>
      <c r="I1261" t="s">
        <v>12</v>
      </c>
      <c r="J1261" t="s">
        <v>12031</v>
      </c>
    </row>
    <row r="1262" spans="1:10" x14ac:dyDescent="0.25">
      <c r="A1262">
        <v>242995</v>
      </c>
      <c r="B1262" t="s">
        <v>1339</v>
      </c>
      <c r="C1262" t="str">
        <f>"9780814407660"</f>
        <v>9780814407660</v>
      </c>
      <c r="D1262" t="str">
        <f>"9780814427040"</f>
        <v>9780814427040</v>
      </c>
      <c r="E1262" t="s">
        <v>1080</v>
      </c>
      <c r="F1262" t="s">
        <v>1080</v>
      </c>
      <c r="G1262" s="1">
        <v>37662</v>
      </c>
      <c r="H1262" s="1">
        <v>38760</v>
      </c>
      <c r="I1262" t="s">
        <v>12</v>
      </c>
      <c r="J1262" t="s">
        <v>12032</v>
      </c>
    </row>
    <row r="1263" spans="1:10" x14ac:dyDescent="0.25">
      <c r="A1263">
        <v>242998</v>
      </c>
      <c r="B1263" t="s">
        <v>1340</v>
      </c>
      <c r="C1263" t="str">
        <f>"9780814472873"</f>
        <v>9780814472873</v>
      </c>
      <c r="D1263" t="str">
        <f>"9780814428900"</f>
        <v>9780814428900</v>
      </c>
      <c r="E1263" t="s">
        <v>1080</v>
      </c>
      <c r="F1263" t="s">
        <v>1080</v>
      </c>
      <c r="G1263" s="1">
        <v>38541</v>
      </c>
      <c r="H1263" s="1">
        <v>38760</v>
      </c>
      <c r="I1263" t="s">
        <v>12</v>
      </c>
      <c r="J1263" t="s">
        <v>12033</v>
      </c>
    </row>
    <row r="1264" spans="1:10" x14ac:dyDescent="0.25">
      <c r="A1264">
        <v>242999</v>
      </c>
      <c r="B1264" t="s">
        <v>1341</v>
      </c>
      <c r="C1264" t="str">
        <f>"9780814408629"</f>
        <v>9780814408629</v>
      </c>
      <c r="D1264" t="str">
        <f>"9780814429129"</f>
        <v>9780814429129</v>
      </c>
      <c r="E1264" t="s">
        <v>1080</v>
      </c>
      <c r="F1264" t="s">
        <v>1080</v>
      </c>
      <c r="G1264" s="1">
        <v>38649</v>
      </c>
      <c r="H1264" s="1">
        <v>38760</v>
      </c>
      <c r="I1264" t="s">
        <v>12</v>
      </c>
      <c r="J1264" t="s">
        <v>12034</v>
      </c>
    </row>
    <row r="1265" spans="1:10" x14ac:dyDescent="0.25">
      <c r="A1265">
        <v>243000</v>
      </c>
      <c r="B1265" t="s">
        <v>1342</v>
      </c>
      <c r="C1265" t="str">
        <f>"9780814472699"</f>
        <v>9780814472699</v>
      </c>
      <c r="D1265" t="str">
        <f>"9780814428603"</f>
        <v>9780814428603</v>
      </c>
      <c r="E1265" t="s">
        <v>1080</v>
      </c>
      <c r="F1265" t="s">
        <v>1080</v>
      </c>
      <c r="G1265" s="1">
        <v>38363</v>
      </c>
      <c r="H1265" s="1">
        <v>38760</v>
      </c>
      <c r="I1265" t="s">
        <v>12</v>
      </c>
      <c r="J1265" t="s">
        <v>12035</v>
      </c>
    </row>
    <row r="1266" spans="1:10" x14ac:dyDescent="0.25">
      <c r="A1266">
        <v>243009</v>
      </c>
      <c r="B1266" t="s">
        <v>1343</v>
      </c>
      <c r="C1266" t="str">
        <f>"9780814407226"</f>
        <v>9780814407226</v>
      </c>
      <c r="D1266" t="str">
        <f>"9780814427002"</f>
        <v>9780814427002</v>
      </c>
      <c r="E1266" t="s">
        <v>1080</v>
      </c>
      <c r="F1266" t="s">
        <v>1080</v>
      </c>
      <c r="G1266" s="1">
        <v>37575</v>
      </c>
      <c r="H1266" s="1">
        <v>38760</v>
      </c>
      <c r="I1266" t="s">
        <v>12</v>
      </c>
      <c r="J1266" t="s">
        <v>12036</v>
      </c>
    </row>
    <row r="1267" spans="1:10" x14ac:dyDescent="0.25">
      <c r="A1267">
        <v>243015</v>
      </c>
      <c r="B1267" t="s">
        <v>1344</v>
      </c>
      <c r="C1267" t="str">
        <f>"9780814472972"</f>
        <v>9780814472972</v>
      </c>
      <c r="D1267" t="str">
        <f>"9780814429013"</f>
        <v>9780814429013</v>
      </c>
      <c r="E1267" t="s">
        <v>1080</v>
      </c>
      <c r="F1267" t="s">
        <v>1080</v>
      </c>
      <c r="G1267" s="1">
        <v>38649</v>
      </c>
      <c r="H1267" s="1">
        <v>38760</v>
      </c>
      <c r="I1267" t="s">
        <v>12</v>
      </c>
      <c r="J1267" t="s">
        <v>12037</v>
      </c>
    </row>
    <row r="1268" spans="1:10" x14ac:dyDescent="0.25">
      <c r="A1268">
        <v>243020</v>
      </c>
      <c r="B1268" t="s">
        <v>1345</v>
      </c>
      <c r="C1268" t="str">
        <f>"9780814408421"</f>
        <v>9780814408421</v>
      </c>
      <c r="D1268" t="str">
        <f>"9780814428764"</f>
        <v>9780814428764</v>
      </c>
      <c r="E1268" t="s">
        <v>1080</v>
      </c>
      <c r="F1268" t="s">
        <v>1080</v>
      </c>
      <c r="G1268" s="1">
        <v>38484</v>
      </c>
      <c r="H1268" s="1">
        <v>38760</v>
      </c>
      <c r="I1268" t="s">
        <v>12</v>
      </c>
      <c r="J1268" t="s">
        <v>12038</v>
      </c>
    </row>
    <row r="1269" spans="1:10" x14ac:dyDescent="0.25">
      <c r="A1269">
        <v>243021</v>
      </c>
      <c r="B1269" t="s">
        <v>1346</v>
      </c>
      <c r="C1269" t="str">
        <f>"9780814472804"</f>
        <v>9780814472804</v>
      </c>
      <c r="D1269" t="str">
        <f>"9780814428917"</f>
        <v>9780814428917</v>
      </c>
      <c r="E1269" t="s">
        <v>1080</v>
      </c>
      <c r="F1269" t="s">
        <v>1080</v>
      </c>
      <c r="G1269" s="1">
        <v>38513</v>
      </c>
      <c r="H1269" s="1">
        <v>38760</v>
      </c>
      <c r="I1269" t="s">
        <v>12</v>
      </c>
      <c r="J1269" t="s">
        <v>12039</v>
      </c>
    </row>
    <row r="1270" spans="1:10" x14ac:dyDescent="0.25">
      <c r="A1270">
        <v>243025</v>
      </c>
      <c r="B1270" t="s">
        <v>1347</v>
      </c>
      <c r="C1270" t="str">
        <f>"9780814407189"</f>
        <v>9780814407189</v>
      </c>
      <c r="D1270" t="str">
        <f>"9780814427156"</f>
        <v>9780814427156</v>
      </c>
      <c r="E1270" t="s">
        <v>1080</v>
      </c>
      <c r="F1270" t="s">
        <v>1080</v>
      </c>
      <c r="G1270" s="1">
        <v>37714</v>
      </c>
      <c r="H1270" s="1">
        <v>38765</v>
      </c>
      <c r="I1270" t="s">
        <v>12</v>
      </c>
      <c r="J1270" t="s">
        <v>12040</v>
      </c>
    </row>
    <row r="1271" spans="1:10" x14ac:dyDescent="0.25">
      <c r="A1271">
        <v>243027</v>
      </c>
      <c r="B1271" t="s">
        <v>1348</v>
      </c>
      <c r="C1271" t="str">
        <f>"9780814410950"</f>
        <v>9780814410950</v>
      </c>
      <c r="D1271" t="str">
        <f>"9780814429099"</f>
        <v>9780814429099</v>
      </c>
      <c r="E1271" t="s">
        <v>1080</v>
      </c>
      <c r="F1271" t="s">
        <v>1080</v>
      </c>
      <c r="G1271" s="1">
        <v>38597</v>
      </c>
      <c r="H1271" s="1">
        <v>38765</v>
      </c>
      <c r="I1271" t="s">
        <v>12</v>
      </c>
      <c r="J1271" t="s">
        <v>12041</v>
      </c>
    </row>
    <row r="1272" spans="1:10" x14ac:dyDescent="0.25">
      <c r="A1272">
        <v>243028</v>
      </c>
      <c r="B1272" t="s">
        <v>1349</v>
      </c>
      <c r="C1272" t="str">
        <f>"9780814472224"</f>
        <v>9780814472224</v>
      </c>
      <c r="D1272" t="str">
        <f>"9780814427798"</f>
        <v>9780814427798</v>
      </c>
      <c r="E1272" t="s">
        <v>1080</v>
      </c>
      <c r="F1272" t="s">
        <v>1080</v>
      </c>
      <c r="G1272" s="1">
        <v>37946</v>
      </c>
      <c r="H1272" s="1">
        <v>38764</v>
      </c>
      <c r="I1272" t="s">
        <v>12</v>
      </c>
      <c r="J1272" t="s">
        <v>12042</v>
      </c>
    </row>
    <row r="1273" spans="1:10" x14ac:dyDescent="0.25">
      <c r="A1273">
        <v>243033</v>
      </c>
      <c r="B1273" t="s">
        <v>1350</v>
      </c>
      <c r="C1273" t="str">
        <f>"9780814473016"</f>
        <v>9780814473016</v>
      </c>
      <c r="D1273" t="str">
        <f>"9780814429112"</f>
        <v>9780814429112</v>
      </c>
      <c r="E1273" t="s">
        <v>1080</v>
      </c>
      <c r="F1273" t="s">
        <v>1080</v>
      </c>
      <c r="G1273" s="1">
        <v>43027</v>
      </c>
      <c r="H1273" s="1">
        <v>38765</v>
      </c>
      <c r="I1273" t="s">
        <v>12</v>
      </c>
      <c r="J1273" t="s">
        <v>12043</v>
      </c>
    </row>
    <row r="1274" spans="1:10" x14ac:dyDescent="0.25">
      <c r="A1274">
        <v>243038</v>
      </c>
      <c r="B1274" t="s">
        <v>1351</v>
      </c>
      <c r="C1274" t="str">
        <f>"9780814472941"</f>
        <v>9780814472941</v>
      </c>
      <c r="D1274" t="str">
        <f>"9780814428962"</f>
        <v>9780814428962</v>
      </c>
      <c r="E1274" t="s">
        <v>1080</v>
      </c>
      <c r="F1274" t="s">
        <v>1080</v>
      </c>
      <c r="G1274" s="1">
        <v>38611</v>
      </c>
      <c r="H1274" s="1">
        <v>38765</v>
      </c>
      <c r="I1274" t="s">
        <v>12</v>
      </c>
      <c r="J1274" t="s">
        <v>12044</v>
      </c>
    </row>
    <row r="1275" spans="1:10" x14ac:dyDescent="0.25">
      <c r="A1275">
        <v>243041</v>
      </c>
      <c r="B1275" t="s">
        <v>1352</v>
      </c>
      <c r="C1275" t="str">
        <f>"9780814408537"</f>
        <v>9780814408537</v>
      </c>
      <c r="D1275" t="str">
        <f>"9780814428948"</f>
        <v>9780814428948</v>
      </c>
      <c r="E1275" t="s">
        <v>1080</v>
      </c>
      <c r="F1275" t="s">
        <v>1080</v>
      </c>
      <c r="G1275" s="1">
        <v>38464</v>
      </c>
      <c r="H1275" s="1">
        <v>38826</v>
      </c>
      <c r="I1275" t="s">
        <v>12</v>
      </c>
      <c r="J1275" t="s">
        <v>12045</v>
      </c>
    </row>
    <row r="1276" spans="1:10" x14ac:dyDescent="0.25">
      <c r="A1276">
        <v>243042</v>
      </c>
      <c r="B1276" t="s">
        <v>1353</v>
      </c>
      <c r="C1276" t="str">
        <f>"9780814408605"</f>
        <v>9780814408605</v>
      </c>
      <c r="D1276" t="str">
        <f>"9780814429105"</f>
        <v>9780814429105</v>
      </c>
      <c r="E1276" t="s">
        <v>1080</v>
      </c>
      <c r="F1276" t="s">
        <v>1080</v>
      </c>
      <c r="G1276" s="1">
        <v>38574</v>
      </c>
      <c r="H1276" s="1">
        <v>38765</v>
      </c>
      <c r="I1276" t="s">
        <v>12</v>
      </c>
      <c r="J1276" t="s">
        <v>12046</v>
      </c>
    </row>
    <row r="1277" spans="1:10" x14ac:dyDescent="0.25">
      <c r="A1277">
        <v>243045</v>
      </c>
      <c r="B1277" t="s">
        <v>1354</v>
      </c>
      <c r="C1277" t="str">
        <f>"9780814472750"</f>
        <v>9780814472750</v>
      </c>
      <c r="D1277" t="str">
        <f>"9780814428658"</f>
        <v>9780814428658</v>
      </c>
      <c r="E1277" t="s">
        <v>1080</v>
      </c>
      <c r="F1277" t="s">
        <v>1080</v>
      </c>
      <c r="G1277" s="1">
        <v>38408</v>
      </c>
      <c r="H1277" s="1">
        <v>38765</v>
      </c>
      <c r="I1277" t="s">
        <v>12</v>
      </c>
      <c r="J1277" t="s">
        <v>12047</v>
      </c>
    </row>
    <row r="1278" spans="1:10" x14ac:dyDescent="0.25">
      <c r="A1278">
        <v>243047</v>
      </c>
      <c r="B1278" t="s">
        <v>1355</v>
      </c>
      <c r="C1278" t="str">
        <f>"9780814472859"</f>
        <v>9780814472859</v>
      </c>
      <c r="D1278" t="str">
        <f>"9780814428719"</f>
        <v>9780814428719</v>
      </c>
      <c r="E1278" t="s">
        <v>1080</v>
      </c>
      <c r="F1278" t="s">
        <v>1080</v>
      </c>
      <c r="G1278" s="1">
        <v>38485</v>
      </c>
      <c r="H1278" s="1">
        <v>38765</v>
      </c>
      <c r="I1278" t="s">
        <v>12</v>
      </c>
      <c r="J1278" t="s">
        <v>12048</v>
      </c>
    </row>
    <row r="1279" spans="1:10" x14ac:dyDescent="0.25">
      <c r="A1279">
        <v>243049</v>
      </c>
      <c r="B1279" t="s">
        <v>1356</v>
      </c>
      <c r="C1279" t="str">
        <f>"9780814408551"</f>
        <v>9780814408551</v>
      </c>
      <c r="D1279" t="str">
        <f>"9780814429006"</f>
        <v>9780814429006</v>
      </c>
      <c r="E1279" t="s">
        <v>1080</v>
      </c>
      <c r="F1279" t="s">
        <v>1080</v>
      </c>
      <c r="G1279" s="1">
        <v>38659</v>
      </c>
      <c r="H1279" s="1">
        <v>38765</v>
      </c>
      <c r="I1279" t="s">
        <v>12</v>
      </c>
      <c r="J1279" t="s">
        <v>12049</v>
      </c>
    </row>
    <row r="1280" spans="1:10" x14ac:dyDescent="0.25">
      <c r="A1280">
        <v>243055</v>
      </c>
      <c r="B1280" t="s">
        <v>1357</v>
      </c>
      <c r="C1280" t="str">
        <f>"9780814407585"</f>
        <v>9780814407585</v>
      </c>
      <c r="D1280" t="str">
        <f>"9780814427682"</f>
        <v>9780814427682</v>
      </c>
      <c r="E1280" t="s">
        <v>1080</v>
      </c>
      <c r="F1280" t="s">
        <v>1080</v>
      </c>
      <c r="G1280" s="1">
        <v>37757</v>
      </c>
      <c r="H1280" s="1">
        <v>38765</v>
      </c>
      <c r="I1280" t="s">
        <v>12</v>
      </c>
      <c r="J1280" t="s">
        <v>12050</v>
      </c>
    </row>
    <row r="1281" spans="1:10" x14ac:dyDescent="0.25">
      <c r="A1281">
        <v>243058</v>
      </c>
      <c r="B1281" t="s">
        <v>1358</v>
      </c>
      <c r="C1281" t="str">
        <f>"9780814408803"</f>
        <v>9780814408803</v>
      </c>
      <c r="D1281" t="str">
        <f>"9780814429204"</f>
        <v>9780814429204</v>
      </c>
      <c r="E1281" t="s">
        <v>1080</v>
      </c>
      <c r="F1281" t="s">
        <v>1080</v>
      </c>
      <c r="G1281" s="1">
        <v>38678</v>
      </c>
      <c r="H1281" s="1">
        <v>38826</v>
      </c>
      <c r="I1281" t="s">
        <v>12</v>
      </c>
      <c r="J1281" t="s">
        <v>12051</v>
      </c>
    </row>
    <row r="1282" spans="1:10" x14ac:dyDescent="0.25">
      <c r="A1282">
        <v>243066</v>
      </c>
      <c r="B1282" t="s">
        <v>1359</v>
      </c>
      <c r="C1282" t="str">
        <f>"9780814408384"</f>
        <v>9780814408384</v>
      </c>
      <c r="D1282" t="str">
        <f>"9780814428870"</f>
        <v>9780814428870</v>
      </c>
      <c r="E1282" t="s">
        <v>1080</v>
      </c>
      <c r="F1282" t="s">
        <v>1080</v>
      </c>
      <c r="G1282" s="1">
        <v>38562</v>
      </c>
      <c r="H1282" s="1">
        <v>38826</v>
      </c>
      <c r="I1282" t="s">
        <v>12</v>
      </c>
      <c r="J1282" t="s">
        <v>12052</v>
      </c>
    </row>
    <row r="1283" spans="1:10" x14ac:dyDescent="0.25">
      <c r="A1283">
        <v>243073</v>
      </c>
      <c r="B1283" t="s">
        <v>1360</v>
      </c>
      <c r="C1283" t="str">
        <f>"9780814414439"</f>
        <v>9780814414439</v>
      </c>
      <c r="D1283" t="str">
        <f>"9780814429082"</f>
        <v>9780814429082</v>
      </c>
      <c r="E1283" t="s">
        <v>1080</v>
      </c>
      <c r="F1283" t="s">
        <v>1080</v>
      </c>
      <c r="G1283" s="1">
        <v>38590</v>
      </c>
      <c r="H1283" s="1">
        <v>38783</v>
      </c>
      <c r="I1283" t="s">
        <v>12</v>
      </c>
      <c r="J1283" t="s">
        <v>12053</v>
      </c>
    </row>
    <row r="1284" spans="1:10" x14ac:dyDescent="0.25">
      <c r="A1284">
        <v>243074</v>
      </c>
      <c r="B1284" t="s">
        <v>1361</v>
      </c>
      <c r="C1284" t="str">
        <f>"9780814408612"</f>
        <v>9780814408612</v>
      </c>
      <c r="D1284" t="str">
        <f>"9780814429235"</f>
        <v>9780814429235</v>
      </c>
      <c r="E1284" t="s">
        <v>1080</v>
      </c>
      <c r="F1284" t="s">
        <v>1080</v>
      </c>
      <c r="G1284" s="1">
        <v>38650</v>
      </c>
      <c r="H1284" s="1">
        <v>38783</v>
      </c>
      <c r="I1284" t="s">
        <v>12</v>
      </c>
      <c r="J1284" t="s">
        <v>12054</v>
      </c>
    </row>
    <row r="1285" spans="1:10" x14ac:dyDescent="0.25">
      <c r="A1285">
        <v>243075</v>
      </c>
      <c r="B1285" t="s">
        <v>1362</v>
      </c>
      <c r="C1285" t="str">
        <f>"9780814408674"</f>
        <v>9780814408674</v>
      </c>
      <c r="D1285" t="str">
        <f>"9780814429136"</f>
        <v>9780814429136</v>
      </c>
      <c r="E1285" t="s">
        <v>1080</v>
      </c>
      <c r="F1285" t="s">
        <v>1080</v>
      </c>
      <c r="G1285" s="1">
        <v>38618</v>
      </c>
      <c r="H1285" s="1">
        <v>38797</v>
      </c>
      <c r="I1285" t="s">
        <v>12</v>
      </c>
      <c r="J1285" t="s">
        <v>12055</v>
      </c>
    </row>
    <row r="1286" spans="1:10" x14ac:dyDescent="0.25">
      <c r="A1286">
        <v>243079</v>
      </c>
      <c r="B1286" t="s">
        <v>1363</v>
      </c>
      <c r="C1286" t="str">
        <f>"9780814413500"</f>
        <v>9780814413500</v>
      </c>
      <c r="D1286" t="str">
        <f>"9780814429143"</f>
        <v>9780814429143</v>
      </c>
      <c r="E1286" t="s">
        <v>1080</v>
      </c>
      <c r="F1286" t="s">
        <v>1080</v>
      </c>
      <c r="G1286" s="1">
        <v>38604</v>
      </c>
      <c r="H1286" s="1">
        <v>38797</v>
      </c>
      <c r="I1286" t="s">
        <v>12</v>
      </c>
      <c r="J1286" t="s">
        <v>12056</v>
      </c>
    </row>
    <row r="1287" spans="1:10" x14ac:dyDescent="0.25">
      <c r="A1287">
        <v>243082</v>
      </c>
      <c r="B1287" t="s">
        <v>1364</v>
      </c>
      <c r="C1287" t="str">
        <f>"9780814472842"</f>
        <v>9780814472842</v>
      </c>
      <c r="D1287" t="str">
        <f>"9780814429174"</f>
        <v>9780814429174</v>
      </c>
      <c r="E1287" t="s">
        <v>1080</v>
      </c>
      <c r="F1287" t="s">
        <v>1080</v>
      </c>
      <c r="G1287" s="1">
        <v>38559</v>
      </c>
      <c r="H1287" s="1">
        <v>38797</v>
      </c>
      <c r="I1287" t="s">
        <v>12</v>
      </c>
      <c r="J1287" t="s">
        <v>12057</v>
      </c>
    </row>
    <row r="1288" spans="1:10" x14ac:dyDescent="0.25">
      <c r="A1288">
        <v>243086</v>
      </c>
      <c r="B1288" t="s">
        <v>1365</v>
      </c>
      <c r="C1288" t="str">
        <f>"9780814415962"</f>
        <v>9780814415962</v>
      </c>
      <c r="D1288" t="str">
        <f>"9780814428733"</f>
        <v>9780814428733</v>
      </c>
      <c r="E1288" t="s">
        <v>1080</v>
      </c>
      <c r="F1288" t="s">
        <v>1080</v>
      </c>
      <c r="G1288" s="1">
        <v>38464</v>
      </c>
      <c r="H1288" s="1">
        <v>40212</v>
      </c>
      <c r="I1288" t="s">
        <v>12</v>
      </c>
      <c r="J1288" t="s">
        <v>12058</v>
      </c>
    </row>
    <row r="1289" spans="1:10" x14ac:dyDescent="0.25">
      <c r="A1289">
        <v>243087</v>
      </c>
      <c r="B1289" t="s">
        <v>1366</v>
      </c>
      <c r="C1289" t="str">
        <f>"9780814471982"</f>
        <v>9780814471982</v>
      </c>
      <c r="D1289" t="str">
        <f>"9780814428757"</f>
        <v>9780814428757</v>
      </c>
      <c r="E1289" t="s">
        <v>1080</v>
      </c>
      <c r="F1289" t="s">
        <v>1080</v>
      </c>
      <c r="G1289" s="1">
        <v>38488</v>
      </c>
      <c r="H1289" s="1">
        <v>38799</v>
      </c>
      <c r="I1289" t="s">
        <v>12</v>
      </c>
      <c r="J1289" t="s">
        <v>12059</v>
      </c>
    </row>
    <row r="1290" spans="1:10" x14ac:dyDescent="0.25">
      <c r="A1290">
        <v>243089</v>
      </c>
      <c r="B1290" t="s">
        <v>1367</v>
      </c>
      <c r="C1290" t="str">
        <f>"9780814472743"</f>
        <v>9780814472743</v>
      </c>
      <c r="D1290" t="str">
        <f>"9780814428665"</f>
        <v>9780814428665</v>
      </c>
      <c r="E1290" t="s">
        <v>1080</v>
      </c>
      <c r="F1290" t="s">
        <v>1080</v>
      </c>
      <c r="G1290" s="1">
        <v>38364</v>
      </c>
      <c r="H1290" s="1">
        <v>38803</v>
      </c>
      <c r="I1290" t="s">
        <v>12</v>
      </c>
      <c r="J1290" t="s">
        <v>12060</v>
      </c>
    </row>
    <row r="1291" spans="1:10" x14ac:dyDescent="0.25">
      <c r="A1291">
        <v>243090</v>
      </c>
      <c r="B1291" t="s">
        <v>1368</v>
      </c>
      <c r="C1291" t="str">
        <f>"9780814472989"</f>
        <v>9780814472989</v>
      </c>
      <c r="D1291" t="str">
        <f>"9780814428979"</f>
        <v>9780814428979</v>
      </c>
      <c r="E1291" t="s">
        <v>1080</v>
      </c>
      <c r="F1291" t="s">
        <v>1080</v>
      </c>
      <c r="G1291" s="1">
        <v>38639</v>
      </c>
      <c r="H1291" s="1">
        <v>38803</v>
      </c>
      <c r="I1291" t="s">
        <v>12</v>
      </c>
      <c r="J1291" t="s">
        <v>12061</v>
      </c>
    </row>
    <row r="1292" spans="1:10" x14ac:dyDescent="0.25">
      <c r="A1292">
        <v>243091</v>
      </c>
      <c r="B1292" t="s">
        <v>1369</v>
      </c>
      <c r="C1292" t="str">
        <f>"9780814408490"</f>
        <v>9780814408490</v>
      </c>
      <c r="D1292" t="str">
        <f>"9780814428887"</f>
        <v>9780814428887</v>
      </c>
      <c r="E1292" t="s">
        <v>1080</v>
      </c>
      <c r="F1292" t="s">
        <v>1080</v>
      </c>
      <c r="G1292" s="1">
        <v>38492</v>
      </c>
      <c r="H1292" s="1">
        <v>38804</v>
      </c>
      <c r="I1292" t="s">
        <v>12</v>
      </c>
      <c r="J1292" t="s">
        <v>12062</v>
      </c>
    </row>
    <row r="1293" spans="1:10" x14ac:dyDescent="0.25">
      <c r="A1293">
        <v>243093</v>
      </c>
      <c r="B1293" t="s">
        <v>1370</v>
      </c>
      <c r="C1293" t="str">
        <f>"9780814472484"</f>
        <v>9780814472484</v>
      </c>
      <c r="D1293" t="str">
        <f>"9780814428559"</f>
        <v>9780814428559</v>
      </c>
      <c r="E1293" t="s">
        <v>1080</v>
      </c>
      <c r="F1293" t="s">
        <v>1080</v>
      </c>
      <c r="G1293" s="1">
        <v>38378</v>
      </c>
      <c r="H1293" s="1">
        <v>38770</v>
      </c>
      <c r="I1293" t="s">
        <v>12</v>
      </c>
      <c r="J1293" t="s">
        <v>12063</v>
      </c>
    </row>
    <row r="1294" spans="1:10" x14ac:dyDescent="0.25">
      <c r="A1294">
        <v>243097</v>
      </c>
      <c r="B1294" t="s">
        <v>1371</v>
      </c>
      <c r="C1294" t="str">
        <f>"9780814472101"</f>
        <v>9780814472101</v>
      </c>
      <c r="D1294" t="str">
        <f>"9780814428566"</f>
        <v>9780814428566</v>
      </c>
      <c r="E1294" t="s">
        <v>1080</v>
      </c>
      <c r="F1294" t="s">
        <v>1080</v>
      </c>
      <c r="G1294" s="1">
        <v>38329</v>
      </c>
      <c r="H1294" s="1">
        <v>38770</v>
      </c>
      <c r="I1294" t="s">
        <v>12</v>
      </c>
      <c r="J1294" t="s">
        <v>12064</v>
      </c>
    </row>
    <row r="1295" spans="1:10" x14ac:dyDescent="0.25">
      <c r="A1295">
        <v>243103</v>
      </c>
      <c r="B1295" t="s">
        <v>1372</v>
      </c>
      <c r="C1295" t="str">
        <f>"9780749424091"</f>
        <v>9780749424091</v>
      </c>
      <c r="D1295" t="str">
        <f>"9780203017302"</f>
        <v>9780203017302</v>
      </c>
      <c r="E1295" t="s">
        <v>15</v>
      </c>
      <c r="F1295" t="s">
        <v>16</v>
      </c>
      <c r="G1295" s="1">
        <v>36192</v>
      </c>
      <c r="H1295" s="1">
        <v>38732</v>
      </c>
      <c r="I1295" t="s">
        <v>12</v>
      </c>
      <c r="J1295" t="s">
        <v>12065</v>
      </c>
    </row>
    <row r="1296" spans="1:10" x14ac:dyDescent="0.25">
      <c r="A1296">
        <v>243108</v>
      </c>
      <c r="B1296" t="s">
        <v>1373</v>
      </c>
      <c r="C1296" t="str">
        <f>"9780749431136"</f>
        <v>9780749431136</v>
      </c>
      <c r="D1296" t="str">
        <f>"9780203016343"</f>
        <v>9780203016343</v>
      </c>
      <c r="E1296" t="s">
        <v>15</v>
      </c>
      <c r="F1296" t="s">
        <v>16</v>
      </c>
      <c r="G1296" s="1">
        <v>36647</v>
      </c>
      <c r="H1296" s="1">
        <v>38732</v>
      </c>
      <c r="I1296" t="s">
        <v>12</v>
      </c>
      <c r="J1296" t="s">
        <v>12066</v>
      </c>
    </row>
    <row r="1297" spans="1:10" x14ac:dyDescent="0.25">
      <c r="A1297">
        <v>243112</v>
      </c>
      <c r="B1297" t="s">
        <v>1374</v>
      </c>
      <c r="C1297" t="str">
        <f>"9780415375337"</f>
        <v>9780415375337</v>
      </c>
      <c r="D1297" t="str">
        <f>"9780203086841"</f>
        <v>9780203086841</v>
      </c>
      <c r="E1297" t="s">
        <v>144</v>
      </c>
      <c r="F1297" t="s">
        <v>144</v>
      </c>
      <c r="G1297" s="1">
        <v>38357</v>
      </c>
      <c r="H1297" s="1">
        <v>41553</v>
      </c>
      <c r="I1297" t="s">
        <v>12</v>
      </c>
      <c r="J1297" t="s">
        <v>12067</v>
      </c>
    </row>
    <row r="1298" spans="1:10" x14ac:dyDescent="0.25">
      <c r="A1298">
        <v>243113</v>
      </c>
      <c r="B1298" t="s">
        <v>1375</v>
      </c>
      <c r="C1298" t="str">
        <f>"9780750704410"</f>
        <v>9780750704410</v>
      </c>
      <c r="D1298" t="str">
        <f>"9780203975039"</f>
        <v>9780203975039</v>
      </c>
      <c r="E1298" t="s">
        <v>15</v>
      </c>
      <c r="F1298" t="s">
        <v>16</v>
      </c>
      <c r="G1298" s="1">
        <v>34943</v>
      </c>
      <c r="H1298" s="1">
        <v>38793</v>
      </c>
      <c r="I1298" t="s">
        <v>12</v>
      </c>
      <c r="J1298" t="s">
        <v>12068</v>
      </c>
    </row>
    <row r="1299" spans="1:10" x14ac:dyDescent="0.25">
      <c r="A1299">
        <v>243135</v>
      </c>
      <c r="B1299" t="s">
        <v>1376</v>
      </c>
      <c r="C1299" t="str">
        <f>"9780415314817"</f>
        <v>9780415314817</v>
      </c>
      <c r="D1299" t="str">
        <f>"9780203561317"</f>
        <v>9780203561317</v>
      </c>
      <c r="E1299" t="s">
        <v>15</v>
      </c>
      <c r="F1299" t="s">
        <v>16</v>
      </c>
      <c r="G1299" s="1">
        <v>38573</v>
      </c>
      <c r="H1299" s="1">
        <v>38732</v>
      </c>
      <c r="I1299" t="s">
        <v>12</v>
      </c>
      <c r="J1299" t="s">
        <v>12069</v>
      </c>
    </row>
    <row r="1300" spans="1:10" x14ac:dyDescent="0.25">
      <c r="A1300">
        <v>243141</v>
      </c>
      <c r="B1300" t="s">
        <v>1377</v>
      </c>
      <c r="C1300" t="str">
        <f>"9789026519697"</f>
        <v>9789026519697</v>
      </c>
      <c r="D1300" t="str">
        <f>"9780203017548"</f>
        <v>9780203017548</v>
      </c>
      <c r="E1300" t="s">
        <v>15</v>
      </c>
      <c r="F1300" t="s">
        <v>153</v>
      </c>
      <c r="G1300" s="1">
        <v>37987</v>
      </c>
      <c r="H1300" s="1">
        <v>38760</v>
      </c>
      <c r="I1300" t="s">
        <v>12</v>
      </c>
      <c r="J1300" t="s">
        <v>12070</v>
      </c>
    </row>
    <row r="1301" spans="1:10" x14ac:dyDescent="0.25">
      <c r="A1301">
        <v>243170</v>
      </c>
      <c r="B1301" t="s">
        <v>1378</v>
      </c>
      <c r="C1301" t="str">
        <f>"9780415207171"</f>
        <v>9780415207171</v>
      </c>
      <c r="D1301" t="str">
        <f>"9780203991930"</f>
        <v>9780203991930</v>
      </c>
      <c r="E1301" t="s">
        <v>15</v>
      </c>
      <c r="F1301" t="s">
        <v>16</v>
      </c>
      <c r="G1301" s="1">
        <v>36818</v>
      </c>
      <c r="H1301" s="1">
        <v>38733</v>
      </c>
      <c r="I1301" t="s">
        <v>12</v>
      </c>
      <c r="J1301" t="s">
        <v>12071</v>
      </c>
    </row>
    <row r="1302" spans="1:10" x14ac:dyDescent="0.25">
      <c r="A1302">
        <v>243171</v>
      </c>
      <c r="B1302" t="s">
        <v>1379</v>
      </c>
      <c r="C1302" t="str">
        <f>"9780415178778"</f>
        <v>9780415178778</v>
      </c>
      <c r="D1302" t="str">
        <f>"9780203996430"</f>
        <v>9780203996430</v>
      </c>
      <c r="E1302" t="s">
        <v>15</v>
      </c>
      <c r="F1302" t="s">
        <v>16</v>
      </c>
      <c r="G1302" s="1">
        <v>37253</v>
      </c>
      <c r="H1302" s="1">
        <v>38733</v>
      </c>
      <c r="I1302" t="s">
        <v>12</v>
      </c>
      <c r="J1302" t="s">
        <v>12072</v>
      </c>
    </row>
    <row r="1303" spans="1:10" x14ac:dyDescent="0.25">
      <c r="A1303">
        <v>243183</v>
      </c>
      <c r="B1303" t="s">
        <v>1380</v>
      </c>
      <c r="C1303" t="str">
        <f>"9780415278669"</f>
        <v>9780415278669</v>
      </c>
      <c r="D1303" t="str">
        <f>"9780203987636"</f>
        <v>9780203987636</v>
      </c>
      <c r="E1303" t="s">
        <v>15</v>
      </c>
      <c r="F1303" t="s">
        <v>16</v>
      </c>
      <c r="G1303" s="1">
        <v>37886</v>
      </c>
      <c r="H1303" s="1">
        <v>41877</v>
      </c>
      <c r="I1303" t="s">
        <v>12</v>
      </c>
      <c r="J1303" t="s">
        <v>12073</v>
      </c>
    </row>
    <row r="1304" spans="1:10" x14ac:dyDescent="0.25">
      <c r="A1304">
        <v>243206</v>
      </c>
      <c r="B1304" t="s">
        <v>1381</v>
      </c>
      <c r="C1304" t="str">
        <f>"9781841692012"</f>
        <v>9781841692012</v>
      </c>
      <c r="D1304" t="str">
        <f>"9780203989401"</f>
        <v>9780203989401</v>
      </c>
      <c r="E1304" t="s">
        <v>15</v>
      </c>
      <c r="F1304" t="s">
        <v>55</v>
      </c>
      <c r="G1304" s="1">
        <v>37407</v>
      </c>
      <c r="H1304" s="1">
        <v>41335</v>
      </c>
      <c r="I1304" t="s">
        <v>12</v>
      </c>
      <c r="J1304" t="s">
        <v>12074</v>
      </c>
    </row>
    <row r="1305" spans="1:10" x14ac:dyDescent="0.25">
      <c r="A1305">
        <v>243220</v>
      </c>
      <c r="B1305" t="s">
        <v>1382</v>
      </c>
      <c r="C1305" t="str">
        <f>"9780415114035"</f>
        <v>9780415114035</v>
      </c>
      <c r="D1305" t="str">
        <f>"9780203981849"</f>
        <v>9780203981849</v>
      </c>
      <c r="E1305" t="s">
        <v>15</v>
      </c>
      <c r="F1305" t="s">
        <v>16</v>
      </c>
      <c r="G1305" s="1">
        <v>36377</v>
      </c>
      <c r="H1305" s="1">
        <v>38734</v>
      </c>
      <c r="I1305" t="s">
        <v>12</v>
      </c>
      <c r="J1305" t="s">
        <v>12075</v>
      </c>
    </row>
    <row r="1306" spans="1:10" x14ac:dyDescent="0.25">
      <c r="A1306">
        <v>243230</v>
      </c>
      <c r="B1306" t="s">
        <v>1383</v>
      </c>
      <c r="C1306" t="str">
        <f>"9780415272889"</f>
        <v>9780415272889</v>
      </c>
      <c r="D1306" t="str">
        <f>"9780203995334"</f>
        <v>9780203995334</v>
      </c>
      <c r="E1306" t="s">
        <v>15</v>
      </c>
      <c r="F1306" t="s">
        <v>16</v>
      </c>
      <c r="G1306" s="1">
        <v>37512</v>
      </c>
      <c r="H1306" s="1">
        <v>40577</v>
      </c>
      <c r="I1306" t="s">
        <v>12</v>
      </c>
      <c r="J1306" t="s">
        <v>12076</v>
      </c>
    </row>
    <row r="1307" spans="1:10" x14ac:dyDescent="0.25">
      <c r="A1307">
        <v>243237</v>
      </c>
      <c r="B1307" t="s">
        <v>1384</v>
      </c>
      <c r="C1307" t="str">
        <f>"9780415239585"</f>
        <v>9780415239585</v>
      </c>
      <c r="D1307" t="str">
        <f>"9780203995709"</f>
        <v>9780203995709</v>
      </c>
      <c r="E1307" t="s">
        <v>15</v>
      </c>
      <c r="F1307" t="s">
        <v>16</v>
      </c>
      <c r="G1307" s="1">
        <v>41787</v>
      </c>
      <c r="H1307" s="1">
        <v>38776</v>
      </c>
      <c r="I1307" t="s">
        <v>12</v>
      </c>
      <c r="J1307" t="s">
        <v>12077</v>
      </c>
    </row>
    <row r="1308" spans="1:10" x14ac:dyDescent="0.25">
      <c r="A1308">
        <v>243242</v>
      </c>
      <c r="B1308" t="s">
        <v>1385</v>
      </c>
      <c r="C1308" t="str">
        <f>"9780415058926"</f>
        <v>9780415058926</v>
      </c>
      <c r="D1308" t="str">
        <f>"9780203980606"</f>
        <v>9780203980606</v>
      </c>
      <c r="E1308" t="s">
        <v>15</v>
      </c>
      <c r="F1308" t="s">
        <v>16</v>
      </c>
      <c r="G1308" s="1">
        <v>33381</v>
      </c>
      <c r="H1308" s="1">
        <v>38735</v>
      </c>
      <c r="I1308" t="s">
        <v>12</v>
      </c>
      <c r="J1308" t="s">
        <v>12078</v>
      </c>
    </row>
    <row r="1309" spans="1:10" x14ac:dyDescent="0.25">
      <c r="A1309">
        <v>243244</v>
      </c>
      <c r="B1309" t="s">
        <v>1386</v>
      </c>
      <c r="C1309" t="str">
        <f>"9780415341387"</f>
        <v>9780415341387</v>
      </c>
      <c r="D1309" t="str">
        <f>"9780203479476"</f>
        <v>9780203479476</v>
      </c>
      <c r="E1309" t="s">
        <v>15</v>
      </c>
      <c r="F1309" t="s">
        <v>16</v>
      </c>
      <c r="G1309" s="1">
        <v>38526</v>
      </c>
      <c r="H1309" s="1">
        <v>38765</v>
      </c>
      <c r="I1309" t="s">
        <v>12</v>
      </c>
      <c r="J1309" t="s">
        <v>12079</v>
      </c>
    </row>
    <row r="1310" spans="1:10" x14ac:dyDescent="0.25">
      <c r="A1310">
        <v>243266</v>
      </c>
      <c r="B1310" t="s">
        <v>1387</v>
      </c>
      <c r="C1310" t="str">
        <f>"9780415343169"</f>
        <v>9780415343169</v>
      </c>
      <c r="D1310" t="str">
        <f>"9780203087060"</f>
        <v>9780203087060</v>
      </c>
      <c r="E1310" t="s">
        <v>15</v>
      </c>
      <c r="F1310" t="s">
        <v>16</v>
      </c>
      <c r="G1310" s="1">
        <v>38615</v>
      </c>
      <c r="H1310" s="1">
        <v>38736</v>
      </c>
      <c r="I1310" t="s">
        <v>12</v>
      </c>
      <c r="J1310" t="s">
        <v>12080</v>
      </c>
    </row>
    <row r="1311" spans="1:10" x14ac:dyDescent="0.25">
      <c r="A1311">
        <v>243272</v>
      </c>
      <c r="B1311" t="s">
        <v>1388</v>
      </c>
      <c r="C1311" t="str">
        <f>"9780849319006"</f>
        <v>9780849319006</v>
      </c>
      <c r="D1311" t="str">
        <f>"9780849390302"</f>
        <v>9780849390302</v>
      </c>
      <c r="E1311" t="s">
        <v>144</v>
      </c>
      <c r="F1311" t="s">
        <v>144</v>
      </c>
      <c r="G1311" s="1">
        <v>38061</v>
      </c>
      <c r="H1311" s="1">
        <v>39721</v>
      </c>
      <c r="I1311" t="s">
        <v>12</v>
      </c>
      <c r="J1311" t="s">
        <v>12081</v>
      </c>
    </row>
    <row r="1312" spans="1:10" x14ac:dyDescent="0.25">
      <c r="A1312">
        <v>243277</v>
      </c>
      <c r="B1312" t="s">
        <v>1389</v>
      </c>
      <c r="C1312" t="str">
        <f>"9780824757465"</f>
        <v>9780824757465</v>
      </c>
      <c r="D1312" t="str">
        <f>"9780849390388"</f>
        <v>9780849390388</v>
      </c>
      <c r="E1312" t="s">
        <v>144</v>
      </c>
      <c r="F1312" t="s">
        <v>144</v>
      </c>
      <c r="G1312" s="1">
        <v>38321</v>
      </c>
      <c r="H1312" s="1">
        <v>38736</v>
      </c>
      <c r="I1312" t="s">
        <v>12</v>
      </c>
      <c r="J1312" t="s">
        <v>12082</v>
      </c>
    </row>
    <row r="1313" spans="1:10" x14ac:dyDescent="0.25">
      <c r="A1313">
        <v>243285</v>
      </c>
      <c r="B1313" t="s">
        <v>1390</v>
      </c>
      <c r="C1313" t="str">
        <f>"9780415343442"</f>
        <v>9780415343442</v>
      </c>
      <c r="D1313" t="str">
        <f>"9780203483220"</f>
        <v>9780203483220</v>
      </c>
      <c r="E1313" t="s">
        <v>15</v>
      </c>
      <c r="F1313" t="s">
        <v>16</v>
      </c>
      <c r="G1313" s="1">
        <v>38552</v>
      </c>
      <c r="H1313" s="1">
        <v>38736</v>
      </c>
      <c r="I1313" t="s">
        <v>12</v>
      </c>
      <c r="J1313" t="s">
        <v>12083</v>
      </c>
    </row>
    <row r="1314" spans="1:10" x14ac:dyDescent="0.25">
      <c r="A1314">
        <v>243298</v>
      </c>
      <c r="B1314" t="s">
        <v>1391</v>
      </c>
      <c r="C1314" t="str">
        <f>"9781583919842"</f>
        <v>9781583919842</v>
      </c>
      <c r="D1314" t="str">
        <f>"9780203086933"</f>
        <v>9780203086933</v>
      </c>
      <c r="E1314" t="s">
        <v>15</v>
      </c>
      <c r="F1314" t="s">
        <v>16</v>
      </c>
      <c r="G1314" s="1">
        <v>38615</v>
      </c>
      <c r="H1314" s="1">
        <v>38736</v>
      </c>
      <c r="I1314" t="s">
        <v>12</v>
      </c>
      <c r="J1314" t="s">
        <v>12084</v>
      </c>
    </row>
    <row r="1315" spans="1:10" x14ac:dyDescent="0.25">
      <c r="A1315">
        <v>243303</v>
      </c>
      <c r="B1315" t="s">
        <v>1392</v>
      </c>
      <c r="C1315" t="str">
        <f>"9780415368360"</f>
        <v>9780415368360</v>
      </c>
      <c r="D1315" t="str">
        <f>"9780203028377"</f>
        <v>9780203028377</v>
      </c>
      <c r="E1315" t="s">
        <v>15</v>
      </c>
      <c r="F1315" t="s">
        <v>16</v>
      </c>
      <c r="G1315" s="1">
        <v>38588</v>
      </c>
      <c r="H1315" s="1">
        <v>38736</v>
      </c>
      <c r="I1315" t="s">
        <v>12</v>
      </c>
      <c r="J1315" t="s">
        <v>12085</v>
      </c>
    </row>
    <row r="1316" spans="1:10" x14ac:dyDescent="0.25">
      <c r="A1316">
        <v>243308</v>
      </c>
      <c r="B1316" t="s">
        <v>1393</v>
      </c>
      <c r="C1316" t="str">
        <f>"9780415362238"</f>
        <v>9780415362238</v>
      </c>
      <c r="D1316" t="str">
        <f>"9780203012505"</f>
        <v>9780203012505</v>
      </c>
      <c r="E1316" t="s">
        <v>15</v>
      </c>
      <c r="F1316" t="s">
        <v>16</v>
      </c>
      <c r="G1316" s="1">
        <v>38702</v>
      </c>
      <c r="H1316" s="1">
        <v>38740</v>
      </c>
      <c r="I1316" t="s">
        <v>12</v>
      </c>
      <c r="J1316" t="s">
        <v>12086</v>
      </c>
    </row>
    <row r="1317" spans="1:10" x14ac:dyDescent="0.25">
      <c r="A1317">
        <v>243336</v>
      </c>
      <c r="B1317" t="s">
        <v>1394</v>
      </c>
      <c r="C1317" t="str">
        <f>"9780415199483"</f>
        <v>9780415199483</v>
      </c>
      <c r="D1317" t="str">
        <f>"9780203981825"</f>
        <v>9780203981825</v>
      </c>
      <c r="E1317" t="s">
        <v>15</v>
      </c>
      <c r="F1317" t="s">
        <v>16</v>
      </c>
      <c r="G1317" s="1">
        <v>36251</v>
      </c>
      <c r="H1317" s="1">
        <v>38741</v>
      </c>
      <c r="I1317" t="s">
        <v>12</v>
      </c>
      <c r="J1317" t="s">
        <v>12087</v>
      </c>
    </row>
    <row r="1318" spans="1:10" x14ac:dyDescent="0.25">
      <c r="A1318">
        <v>243354</v>
      </c>
      <c r="B1318" t="s">
        <v>1395</v>
      </c>
      <c r="C1318" t="str">
        <f>"9780415367424"</f>
        <v>9780415367424</v>
      </c>
      <c r="D1318" t="str">
        <f>"9780203970805"</f>
        <v>9780203970805</v>
      </c>
      <c r="E1318" t="s">
        <v>144</v>
      </c>
      <c r="F1318" t="s">
        <v>144</v>
      </c>
      <c r="G1318" s="1">
        <v>38336</v>
      </c>
      <c r="H1318" s="1">
        <v>38806</v>
      </c>
      <c r="I1318" t="s">
        <v>12</v>
      </c>
      <c r="J1318" t="s">
        <v>12088</v>
      </c>
    </row>
    <row r="1319" spans="1:10" x14ac:dyDescent="0.25">
      <c r="A1319">
        <v>243366</v>
      </c>
      <c r="B1319" t="s">
        <v>1396</v>
      </c>
      <c r="C1319" t="str">
        <f>"9780415145978"</f>
        <v>9780415145978</v>
      </c>
      <c r="D1319" t="str">
        <f>"9780203977354"</f>
        <v>9780203977354</v>
      </c>
      <c r="E1319" t="s">
        <v>16</v>
      </c>
      <c r="F1319" t="s">
        <v>16</v>
      </c>
      <c r="G1319" s="1">
        <v>35572</v>
      </c>
      <c r="H1319" s="1">
        <v>39851</v>
      </c>
      <c r="I1319" t="s">
        <v>12</v>
      </c>
      <c r="J1319" t="s">
        <v>12089</v>
      </c>
    </row>
    <row r="1320" spans="1:10" x14ac:dyDescent="0.25">
      <c r="A1320">
        <v>243369</v>
      </c>
      <c r="B1320" t="s">
        <v>1397</v>
      </c>
      <c r="C1320" t="str">
        <f>"9780415344074"</f>
        <v>9780415344074</v>
      </c>
      <c r="D1320" t="str">
        <f>"9780203430491"</f>
        <v>9780203430491</v>
      </c>
      <c r="E1320" t="s">
        <v>15</v>
      </c>
      <c r="F1320" t="s">
        <v>16</v>
      </c>
      <c r="G1320" s="1">
        <v>38552</v>
      </c>
      <c r="H1320" s="1">
        <v>38741</v>
      </c>
      <c r="I1320" t="s">
        <v>12</v>
      </c>
      <c r="J1320" t="s">
        <v>12090</v>
      </c>
    </row>
    <row r="1321" spans="1:10" x14ac:dyDescent="0.25">
      <c r="A1321">
        <v>243404</v>
      </c>
      <c r="B1321" t="s">
        <v>1398</v>
      </c>
      <c r="C1321" t="str">
        <f>"9781571100023"</f>
        <v>9781571100023</v>
      </c>
      <c r="D1321" t="str">
        <f>"9781571104489"</f>
        <v>9781571104489</v>
      </c>
      <c r="E1321" t="s">
        <v>1329</v>
      </c>
      <c r="F1321" t="s">
        <v>1330</v>
      </c>
      <c r="G1321" s="1">
        <v>36892</v>
      </c>
      <c r="H1321" s="1">
        <v>38736</v>
      </c>
      <c r="I1321" t="s">
        <v>12</v>
      </c>
      <c r="J1321" t="s">
        <v>12091</v>
      </c>
    </row>
    <row r="1322" spans="1:10" x14ac:dyDescent="0.25">
      <c r="A1322">
        <v>243509</v>
      </c>
      <c r="B1322" t="s">
        <v>1399</v>
      </c>
      <c r="C1322" t="str">
        <f>"9781859737934"</f>
        <v>9781859737934</v>
      </c>
      <c r="D1322" t="str">
        <f>"9781845205485"</f>
        <v>9781845205485</v>
      </c>
      <c r="E1322" t="s">
        <v>1400</v>
      </c>
      <c r="F1322" t="s">
        <v>1401</v>
      </c>
      <c r="G1322" s="1">
        <v>38214</v>
      </c>
      <c r="H1322" s="1">
        <v>38765</v>
      </c>
      <c r="I1322" t="s">
        <v>12</v>
      </c>
      <c r="J1322" t="s">
        <v>12092</v>
      </c>
    </row>
    <row r="1323" spans="1:10" x14ac:dyDescent="0.25">
      <c r="A1323">
        <v>243541</v>
      </c>
      <c r="B1323" t="s">
        <v>1402</v>
      </c>
      <c r="C1323" t="str">
        <f>"9781405112536"</f>
        <v>9781405112536</v>
      </c>
      <c r="D1323" t="str">
        <f>"9781405151870"</f>
        <v>9781405151870</v>
      </c>
      <c r="E1323" t="s">
        <v>1088</v>
      </c>
      <c r="F1323" t="s">
        <v>1089</v>
      </c>
      <c r="G1323" s="1">
        <v>37748</v>
      </c>
      <c r="H1323" s="1">
        <v>40696</v>
      </c>
      <c r="I1323" t="s">
        <v>12</v>
      </c>
      <c r="J1323" t="s">
        <v>12093</v>
      </c>
    </row>
    <row r="1324" spans="1:10" x14ac:dyDescent="0.25">
      <c r="A1324">
        <v>243543</v>
      </c>
      <c r="B1324" t="s">
        <v>1403</v>
      </c>
      <c r="C1324" t="str">
        <f>"9780631217541"</f>
        <v>9780631217541</v>
      </c>
      <c r="D1324" t="str">
        <f>"9781405151887"</f>
        <v>9781405151887</v>
      </c>
      <c r="E1324" t="s">
        <v>1088</v>
      </c>
      <c r="F1324" t="s">
        <v>1089</v>
      </c>
      <c r="G1324" s="1">
        <v>37795</v>
      </c>
      <c r="H1324" s="1">
        <v>38775</v>
      </c>
      <c r="I1324" t="s">
        <v>12</v>
      </c>
      <c r="J1324" t="s">
        <v>12094</v>
      </c>
    </row>
    <row r="1325" spans="1:10" x14ac:dyDescent="0.25">
      <c r="A1325">
        <v>243559</v>
      </c>
      <c r="B1325" t="s">
        <v>1404</v>
      </c>
      <c r="C1325" t="str">
        <f>"9780631228264"</f>
        <v>9780631228264</v>
      </c>
      <c r="D1325" t="str">
        <f>"9781405153027"</f>
        <v>9781405153027</v>
      </c>
      <c r="E1325" t="s">
        <v>1138</v>
      </c>
      <c r="F1325" t="s">
        <v>1089</v>
      </c>
      <c r="G1325" s="1">
        <v>39553</v>
      </c>
      <c r="H1325" s="1">
        <v>40696</v>
      </c>
      <c r="I1325" t="s">
        <v>12</v>
      </c>
      <c r="J1325" t="s">
        <v>12095</v>
      </c>
    </row>
    <row r="1326" spans="1:10" x14ac:dyDescent="0.25">
      <c r="A1326">
        <v>243587</v>
      </c>
      <c r="B1326" t="s">
        <v>1405</v>
      </c>
      <c r="C1326" t="str">
        <f>"9781405115209"</f>
        <v>9781405115209</v>
      </c>
      <c r="D1326" t="str">
        <f>"9781405153126"</f>
        <v>9781405153126</v>
      </c>
      <c r="E1326" t="s">
        <v>1088</v>
      </c>
      <c r="F1326" t="s">
        <v>1089</v>
      </c>
      <c r="G1326" s="1">
        <v>38741</v>
      </c>
      <c r="H1326" s="1">
        <v>40696</v>
      </c>
      <c r="I1326" t="s">
        <v>12</v>
      </c>
      <c r="J1326" t="s">
        <v>12096</v>
      </c>
    </row>
    <row r="1327" spans="1:10" x14ac:dyDescent="0.25">
      <c r="A1327">
        <v>243590</v>
      </c>
      <c r="B1327" t="s">
        <v>1406</v>
      </c>
      <c r="C1327" t="str">
        <f>"9781405188333"</f>
        <v>9781405188333</v>
      </c>
      <c r="D1327" t="str">
        <f>"9781405153119"</f>
        <v>9781405153119</v>
      </c>
      <c r="E1327" t="s">
        <v>1088</v>
      </c>
      <c r="F1327" t="s">
        <v>1089</v>
      </c>
      <c r="G1327" s="1">
        <v>38744</v>
      </c>
      <c r="H1327" s="1">
        <v>40696</v>
      </c>
      <c r="I1327" t="s">
        <v>12</v>
      </c>
      <c r="J1327" t="s">
        <v>12097</v>
      </c>
    </row>
    <row r="1328" spans="1:10" x14ac:dyDescent="0.25">
      <c r="A1328">
        <v>243793</v>
      </c>
      <c r="B1328" t="s">
        <v>1407</v>
      </c>
      <c r="C1328" t="str">
        <f>"9781591407508"</f>
        <v>9781591407508</v>
      </c>
      <c r="D1328" t="str">
        <f>"9781591407522"</f>
        <v>9781591407522</v>
      </c>
      <c r="E1328" t="s">
        <v>623</v>
      </c>
      <c r="F1328" t="s">
        <v>624</v>
      </c>
      <c r="G1328" s="1">
        <v>38717</v>
      </c>
      <c r="H1328" s="1">
        <v>38754</v>
      </c>
      <c r="I1328" t="s">
        <v>12</v>
      </c>
      <c r="J1328" t="s">
        <v>12098</v>
      </c>
    </row>
    <row r="1329" spans="1:10" x14ac:dyDescent="0.25">
      <c r="A1329">
        <v>243987</v>
      </c>
      <c r="B1329" t="s">
        <v>1408</v>
      </c>
      <c r="C1329" t="str">
        <f>"9780521571036"</f>
        <v>9780521571036</v>
      </c>
      <c r="D1329" t="str">
        <f>"9780511201004"</f>
        <v>9780511201004</v>
      </c>
      <c r="E1329" t="s">
        <v>18</v>
      </c>
      <c r="F1329" t="s">
        <v>18</v>
      </c>
      <c r="G1329" s="1">
        <v>38680</v>
      </c>
      <c r="H1329" s="1">
        <v>38756</v>
      </c>
      <c r="I1329" t="s">
        <v>12</v>
      </c>
      <c r="J1329" t="s">
        <v>12099</v>
      </c>
    </row>
    <row r="1330" spans="1:10" x14ac:dyDescent="0.25">
      <c r="A1330">
        <v>243990</v>
      </c>
      <c r="B1330" t="s">
        <v>1409</v>
      </c>
      <c r="C1330" t="str">
        <f>"9780521614894"</f>
        <v>9780521614894</v>
      </c>
      <c r="D1330" t="str">
        <f>"9780511201035"</f>
        <v>9780511201035</v>
      </c>
      <c r="E1330" t="s">
        <v>18</v>
      </c>
      <c r="F1330" t="s">
        <v>18</v>
      </c>
      <c r="G1330" s="1">
        <v>38687</v>
      </c>
      <c r="H1330" s="1">
        <v>38831</v>
      </c>
      <c r="I1330" t="s">
        <v>12</v>
      </c>
      <c r="J1330" t="s">
        <v>12100</v>
      </c>
    </row>
    <row r="1331" spans="1:10" x14ac:dyDescent="0.25">
      <c r="A1331">
        <v>244001</v>
      </c>
      <c r="B1331" t="s">
        <v>1410</v>
      </c>
      <c r="C1331" t="str">
        <f>"9780521811743"</f>
        <v>9780521811743</v>
      </c>
      <c r="D1331" t="str">
        <f>"9780511201134"</f>
        <v>9780511201134</v>
      </c>
      <c r="E1331" t="s">
        <v>18</v>
      </c>
      <c r="F1331" t="s">
        <v>18</v>
      </c>
      <c r="G1331" s="1">
        <v>38657</v>
      </c>
      <c r="H1331" s="1">
        <v>38741</v>
      </c>
      <c r="I1331" t="s">
        <v>12</v>
      </c>
      <c r="J1331" t="s">
        <v>12101</v>
      </c>
    </row>
    <row r="1332" spans="1:10" x14ac:dyDescent="0.25">
      <c r="A1332">
        <v>244006</v>
      </c>
      <c r="B1332" t="s">
        <v>1411</v>
      </c>
      <c r="C1332" t="str">
        <f>"9780521823135"</f>
        <v>9780521823135</v>
      </c>
      <c r="D1332" t="str">
        <f>"9780511201202"</f>
        <v>9780511201202</v>
      </c>
      <c r="E1332" t="s">
        <v>18</v>
      </c>
      <c r="F1332" t="s">
        <v>18</v>
      </c>
      <c r="G1332" s="1">
        <v>38680</v>
      </c>
      <c r="H1332" s="1">
        <v>38770</v>
      </c>
      <c r="I1332" t="s">
        <v>12</v>
      </c>
      <c r="J1332" t="s">
        <v>12102</v>
      </c>
    </row>
    <row r="1333" spans="1:10" x14ac:dyDescent="0.25">
      <c r="A1333">
        <v>244007</v>
      </c>
      <c r="B1333" t="s">
        <v>1412</v>
      </c>
      <c r="C1333" t="str">
        <f>"9780521823494"</f>
        <v>9780521823494</v>
      </c>
      <c r="D1333" t="str">
        <f>"9780511201219"</f>
        <v>9780511201219</v>
      </c>
      <c r="E1333" t="s">
        <v>18</v>
      </c>
      <c r="F1333" t="s">
        <v>18</v>
      </c>
      <c r="G1333" s="1">
        <v>38652</v>
      </c>
      <c r="H1333" s="1">
        <v>38754</v>
      </c>
      <c r="I1333" t="s">
        <v>12</v>
      </c>
      <c r="J1333" t="s">
        <v>12103</v>
      </c>
    </row>
    <row r="1334" spans="1:10" x14ac:dyDescent="0.25">
      <c r="A1334">
        <v>244008</v>
      </c>
      <c r="B1334" t="s">
        <v>1413</v>
      </c>
      <c r="C1334" t="str">
        <f>"9780521823777"</f>
        <v>9780521823777</v>
      </c>
      <c r="D1334" t="str">
        <f>"9780511200823"</f>
        <v>9780511200823</v>
      </c>
      <c r="E1334" t="s">
        <v>18</v>
      </c>
      <c r="F1334" t="s">
        <v>18</v>
      </c>
      <c r="G1334" s="1">
        <v>38729</v>
      </c>
      <c r="H1334" s="1">
        <v>38741</v>
      </c>
      <c r="I1334" t="s">
        <v>12</v>
      </c>
      <c r="J1334" t="s">
        <v>12104</v>
      </c>
    </row>
    <row r="1335" spans="1:10" x14ac:dyDescent="0.25">
      <c r="A1335">
        <v>244010</v>
      </c>
      <c r="B1335" t="s">
        <v>1414</v>
      </c>
      <c r="C1335" t="str">
        <f>"9780521826327"</f>
        <v>9780521826327</v>
      </c>
      <c r="D1335" t="str">
        <f>"9780511201233"</f>
        <v>9780511201233</v>
      </c>
      <c r="E1335" t="s">
        <v>18</v>
      </c>
      <c r="F1335" t="s">
        <v>18</v>
      </c>
      <c r="G1335" s="1">
        <v>38687</v>
      </c>
      <c r="H1335" s="1">
        <v>38741</v>
      </c>
      <c r="I1335" t="s">
        <v>12</v>
      </c>
      <c r="J1335" t="s">
        <v>12105</v>
      </c>
    </row>
    <row r="1336" spans="1:10" x14ac:dyDescent="0.25">
      <c r="A1336">
        <v>244022</v>
      </c>
      <c r="B1336" t="s">
        <v>1415</v>
      </c>
      <c r="C1336" t="str">
        <f>"9780521839648"</f>
        <v>9780521839648</v>
      </c>
      <c r="D1336" t="str">
        <f>"9780511201349"</f>
        <v>9780511201349</v>
      </c>
      <c r="E1336" t="s">
        <v>18</v>
      </c>
      <c r="F1336" t="s">
        <v>18</v>
      </c>
      <c r="G1336" s="1">
        <v>38691</v>
      </c>
      <c r="H1336" s="1">
        <v>38741</v>
      </c>
      <c r="I1336" t="s">
        <v>12</v>
      </c>
      <c r="J1336" t="s">
        <v>12106</v>
      </c>
    </row>
    <row r="1337" spans="1:10" x14ac:dyDescent="0.25">
      <c r="A1337">
        <v>244028</v>
      </c>
      <c r="B1337" t="s">
        <v>1416</v>
      </c>
      <c r="C1337" t="str">
        <f>"9780521843195"</f>
        <v>9780521843195</v>
      </c>
      <c r="D1337" t="str">
        <f>"9780511201394"</f>
        <v>9780511201394</v>
      </c>
      <c r="E1337" t="s">
        <v>18</v>
      </c>
      <c r="F1337" t="s">
        <v>18</v>
      </c>
      <c r="G1337" s="1">
        <v>38712</v>
      </c>
      <c r="H1337" s="1">
        <v>38826</v>
      </c>
      <c r="I1337" t="s">
        <v>12</v>
      </c>
      <c r="J1337" t="s">
        <v>12107</v>
      </c>
    </row>
    <row r="1338" spans="1:10" x14ac:dyDescent="0.25">
      <c r="A1338">
        <v>244043</v>
      </c>
      <c r="B1338" t="s">
        <v>1417</v>
      </c>
      <c r="C1338" t="str">
        <f>"9780521848312"</f>
        <v>9780521848312</v>
      </c>
      <c r="D1338" t="str">
        <f>"9780511201530"</f>
        <v>9780511201530</v>
      </c>
      <c r="E1338" t="s">
        <v>18</v>
      </c>
      <c r="F1338" t="s">
        <v>18</v>
      </c>
      <c r="G1338" s="1">
        <v>38687</v>
      </c>
      <c r="H1338" s="1">
        <v>38831</v>
      </c>
      <c r="I1338" t="s">
        <v>12</v>
      </c>
      <c r="J1338" t="s">
        <v>12108</v>
      </c>
    </row>
    <row r="1339" spans="1:10" x14ac:dyDescent="0.25">
      <c r="A1339">
        <v>244051</v>
      </c>
      <c r="B1339" t="s">
        <v>1418</v>
      </c>
      <c r="C1339" t="str">
        <f>"9780521850889"</f>
        <v>9780521850889</v>
      </c>
      <c r="D1339" t="str">
        <f>"9780511201615"</f>
        <v>9780511201615</v>
      </c>
      <c r="E1339" t="s">
        <v>18</v>
      </c>
      <c r="F1339" t="s">
        <v>18</v>
      </c>
      <c r="G1339" s="1">
        <v>38721</v>
      </c>
      <c r="H1339" s="1">
        <v>38831</v>
      </c>
      <c r="I1339" t="s">
        <v>12</v>
      </c>
      <c r="J1339" t="s">
        <v>12109</v>
      </c>
    </row>
    <row r="1340" spans="1:10" x14ac:dyDescent="0.25">
      <c r="A1340">
        <v>244069</v>
      </c>
      <c r="B1340" t="s">
        <v>1419</v>
      </c>
      <c r="C1340" t="str">
        <f>"9780521855013"</f>
        <v>9780521855013</v>
      </c>
      <c r="D1340" t="str">
        <f>"9780511201776"</f>
        <v>9780511201776</v>
      </c>
      <c r="E1340" t="s">
        <v>18</v>
      </c>
      <c r="F1340" t="s">
        <v>18</v>
      </c>
      <c r="G1340" s="1">
        <v>38698</v>
      </c>
      <c r="H1340" s="1">
        <v>38826</v>
      </c>
      <c r="I1340" t="s">
        <v>12</v>
      </c>
      <c r="J1340" t="s">
        <v>12110</v>
      </c>
    </row>
    <row r="1341" spans="1:10" x14ac:dyDescent="0.25">
      <c r="A1341">
        <v>244071</v>
      </c>
      <c r="B1341" t="s">
        <v>1420</v>
      </c>
      <c r="C1341" t="str">
        <f>"9780521855761"</f>
        <v>9780521855761</v>
      </c>
      <c r="D1341" t="str">
        <f>"9780511201790"</f>
        <v>9780511201790</v>
      </c>
      <c r="E1341" t="s">
        <v>18</v>
      </c>
      <c r="F1341" t="s">
        <v>18</v>
      </c>
      <c r="G1341" s="1">
        <v>38687</v>
      </c>
      <c r="H1341" s="1">
        <v>39052</v>
      </c>
      <c r="I1341" t="s">
        <v>12</v>
      </c>
      <c r="J1341" t="s">
        <v>12111</v>
      </c>
    </row>
    <row r="1342" spans="1:10" x14ac:dyDescent="0.25">
      <c r="A1342">
        <v>244085</v>
      </c>
      <c r="B1342" t="s">
        <v>1421</v>
      </c>
      <c r="C1342" t="str">
        <f>"9780521858199"</f>
        <v>9780521858199</v>
      </c>
      <c r="D1342" t="str">
        <f>"9780511201936"</f>
        <v>9780511201936</v>
      </c>
      <c r="E1342" t="s">
        <v>18</v>
      </c>
      <c r="F1342" t="s">
        <v>18</v>
      </c>
      <c r="G1342" s="1">
        <v>38729</v>
      </c>
      <c r="H1342" s="1">
        <v>38741</v>
      </c>
      <c r="I1342" t="s">
        <v>12</v>
      </c>
      <c r="J1342" t="s">
        <v>12112</v>
      </c>
    </row>
    <row r="1343" spans="1:10" x14ac:dyDescent="0.25">
      <c r="A1343">
        <v>244246</v>
      </c>
      <c r="B1343" t="s">
        <v>1422</v>
      </c>
      <c r="C1343" t="str">
        <f>"9789812388261"</f>
        <v>9789812388261</v>
      </c>
      <c r="D1343" t="str">
        <f>"9789812567192"</f>
        <v>9789812567192</v>
      </c>
      <c r="E1343" t="s">
        <v>1042</v>
      </c>
      <c r="F1343" t="s">
        <v>1043</v>
      </c>
      <c r="G1343" s="1">
        <v>38201</v>
      </c>
      <c r="H1343" s="1">
        <v>38764</v>
      </c>
      <c r="I1343" t="s">
        <v>12</v>
      </c>
      <c r="J1343" t="s">
        <v>12113</v>
      </c>
    </row>
    <row r="1344" spans="1:10" x14ac:dyDescent="0.25">
      <c r="A1344">
        <v>244249</v>
      </c>
      <c r="B1344" t="s">
        <v>1423</v>
      </c>
      <c r="C1344" t="str">
        <f>"9789812560247"</f>
        <v>9789812560247</v>
      </c>
      <c r="D1344" t="str">
        <f>"9789812567123"</f>
        <v>9789812567123</v>
      </c>
      <c r="E1344" t="s">
        <v>1056</v>
      </c>
      <c r="F1344" t="s">
        <v>1056</v>
      </c>
      <c r="G1344" s="1">
        <v>38353</v>
      </c>
      <c r="H1344" s="1">
        <v>38765</v>
      </c>
      <c r="I1344" t="s">
        <v>12</v>
      </c>
      <c r="J1344" t="s">
        <v>12114</v>
      </c>
    </row>
    <row r="1345" spans="1:10" x14ac:dyDescent="0.25">
      <c r="A1345">
        <v>244387</v>
      </c>
      <c r="B1345" t="s">
        <v>1424</v>
      </c>
      <c r="C1345" t="str">
        <f>"9780521607223"</f>
        <v>9780521607223</v>
      </c>
      <c r="D1345" t="str">
        <f>"9780511139383"</f>
        <v>9780511139383</v>
      </c>
      <c r="E1345" t="s">
        <v>18</v>
      </c>
      <c r="F1345" t="s">
        <v>18</v>
      </c>
      <c r="G1345" s="1">
        <v>38749</v>
      </c>
      <c r="H1345" s="1">
        <v>38756</v>
      </c>
      <c r="I1345" t="s">
        <v>12</v>
      </c>
      <c r="J1345" t="s">
        <v>12115</v>
      </c>
    </row>
    <row r="1346" spans="1:10" x14ac:dyDescent="0.25">
      <c r="A1346">
        <v>244394</v>
      </c>
      <c r="B1346" t="s">
        <v>1425</v>
      </c>
      <c r="C1346" t="str">
        <f>"9780521813259"</f>
        <v>9780521813259</v>
      </c>
      <c r="D1346" t="str">
        <f>"9780511139413"</f>
        <v>9780511139413</v>
      </c>
      <c r="E1346" t="s">
        <v>18</v>
      </c>
      <c r="F1346" t="s">
        <v>18</v>
      </c>
      <c r="G1346" s="1">
        <v>38736</v>
      </c>
      <c r="H1346" s="1">
        <v>38770</v>
      </c>
      <c r="I1346" t="s">
        <v>12</v>
      </c>
      <c r="J1346" t="s">
        <v>12116</v>
      </c>
    </row>
    <row r="1347" spans="1:10" x14ac:dyDescent="0.25">
      <c r="A1347">
        <v>244400</v>
      </c>
      <c r="B1347" t="s">
        <v>1426</v>
      </c>
      <c r="C1347" t="str">
        <f>"9780521829663"</f>
        <v>9780521829663</v>
      </c>
      <c r="D1347" t="str">
        <f>"9780511139734"</f>
        <v>9780511139734</v>
      </c>
      <c r="E1347" t="s">
        <v>18</v>
      </c>
      <c r="F1347" t="s">
        <v>18</v>
      </c>
      <c r="G1347" s="1">
        <v>38716</v>
      </c>
      <c r="H1347" s="1">
        <v>38827</v>
      </c>
      <c r="I1347" t="s">
        <v>12</v>
      </c>
      <c r="J1347" t="s">
        <v>12117</v>
      </c>
    </row>
    <row r="1348" spans="1:10" x14ac:dyDescent="0.25">
      <c r="A1348">
        <v>244405</v>
      </c>
      <c r="B1348" t="s">
        <v>1427</v>
      </c>
      <c r="C1348" t="str">
        <f>"9780521838474"</f>
        <v>9780521838474</v>
      </c>
      <c r="D1348" t="str">
        <f>"9780511139338"</f>
        <v>9780511139338</v>
      </c>
      <c r="E1348" t="s">
        <v>18</v>
      </c>
      <c r="F1348" t="s">
        <v>18</v>
      </c>
      <c r="G1348" s="1">
        <v>38708</v>
      </c>
      <c r="H1348" s="1">
        <v>38770</v>
      </c>
      <c r="I1348" t="s">
        <v>12</v>
      </c>
      <c r="J1348" t="s">
        <v>12118</v>
      </c>
    </row>
    <row r="1349" spans="1:10" x14ac:dyDescent="0.25">
      <c r="A1349">
        <v>244407</v>
      </c>
      <c r="B1349" t="s">
        <v>1428</v>
      </c>
      <c r="C1349" t="str">
        <f>"9780521840439"</f>
        <v>9780521840439</v>
      </c>
      <c r="D1349" t="str">
        <f>"9780511139581"</f>
        <v>9780511139581</v>
      </c>
      <c r="E1349" t="s">
        <v>18</v>
      </c>
      <c r="F1349" t="s">
        <v>18</v>
      </c>
      <c r="G1349" s="1">
        <v>38757</v>
      </c>
      <c r="H1349" s="1">
        <v>38767</v>
      </c>
      <c r="I1349" t="s">
        <v>12</v>
      </c>
      <c r="J1349" t="s">
        <v>12119</v>
      </c>
    </row>
    <row r="1350" spans="1:10" x14ac:dyDescent="0.25">
      <c r="A1350">
        <v>244409</v>
      </c>
      <c r="B1350" t="s">
        <v>1429</v>
      </c>
      <c r="C1350" t="str">
        <f>"9780521841795"</f>
        <v>9780521841795</v>
      </c>
      <c r="D1350" t="str">
        <f>"9780511139468"</f>
        <v>9780511139468</v>
      </c>
      <c r="E1350" t="s">
        <v>18</v>
      </c>
      <c r="F1350" t="s">
        <v>18</v>
      </c>
      <c r="G1350" s="1">
        <v>38736</v>
      </c>
      <c r="H1350" s="1">
        <v>38767</v>
      </c>
      <c r="I1350" t="s">
        <v>12</v>
      </c>
      <c r="J1350" t="s">
        <v>12120</v>
      </c>
    </row>
    <row r="1351" spans="1:10" x14ac:dyDescent="0.25">
      <c r="A1351">
        <v>244417</v>
      </c>
      <c r="B1351" t="s">
        <v>1430</v>
      </c>
      <c r="C1351" t="str">
        <f>"9780521851060"</f>
        <v>9780521851060</v>
      </c>
      <c r="D1351" t="str">
        <f>"9780511139499"</f>
        <v>9780511139499</v>
      </c>
      <c r="E1351" t="s">
        <v>18</v>
      </c>
      <c r="F1351" t="s">
        <v>18</v>
      </c>
      <c r="G1351" s="1">
        <v>38771</v>
      </c>
      <c r="H1351" s="1">
        <v>38767</v>
      </c>
      <c r="I1351" t="s">
        <v>12</v>
      </c>
      <c r="J1351" t="s">
        <v>12121</v>
      </c>
    </row>
    <row r="1352" spans="1:10" x14ac:dyDescent="0.25">
      <c r="A1352">
        <v>244429</v>
      </c>
      <c r="B1352" t="s">
        <v>1431</v>
      </c>
      <c r="C1352" t="str">
        <f>"9780521855235"</f>
        <v>9780521855235</v>
      </c>
      <c r="D1352" t="str">
        <f>"9780511139246"</f>
        <v>9780511139246</v>
      </c>
      <c r="E1352" t="s">
        <v>18</v>
      </c>
      <c r="F1352" t="s">
        <v>18</v>
      </c>
      <c r="G1352" s="1">
        <v>38663</v>
      </c>
      <c r="H1352" s="1">
        <v>38770</v>
      </c>
      <c r="I1352" t="s">
        <v>12</v>
      </c>
      <c r="J1352" t="s">
        <v>12122</v>
      </c>
    </row>
    <row r="1353" spans="1:10" x14ac:dyDescent="0.25">
      <c r="A1353">
        <v>244432</v>
      </c>
      <c r="B1353" t="s">
        <v>1432</v>
      </c>
      <c r="C1353" t="str">
        <f>"9780521855273"</f>
        <v>9780521855273</v>
      </c>
      <c r="D1353" t="str">
        <f>"9780511139048"</f>
        <v>9780511139048</v>
      </c>
      <c r="E1353" t="s">
        <v>18</v>
      </c>
      <c r="F1353" t="s">
        <v>18</v>
      </c>
      <c r="G1353" s="1">
        <v>38684</v>
      </c>
      <c r="H1353" s="1">
        <v>38767</v>
      </c>
      <c r="I1353" t="s">
        <v>12</v>
      </c>
      <c r="J1353" t="s">
        <v>12123</v>
      </c>
    </row>
    <row r="1354" spans="1:10" x14ac:dyDescent="0.25">
      <c r="A1354">
        <v>244548</v>
      </c>
      <c r="B1354" t="s">
        <v>1433</v>
      </c>
      <c r="C1354" t="str">
        <f>"9789812561015"</f>
        <v>9789812561015</v>
      </c>
      <c r="D1354" t="str">
        <f>"9789812567802"</f>
        <v>9789812567802</v>
      </c>
      <c r="E1354" t="s">
        <v>1056</v>
      </c>
      <c r="F1354" t="s">
        <v>1056</v>
      </c>
      <c r="G1354" s="1">
        <v>38353</v>
      </c>
      <c r="H1354" s="1">
        <v>38754</v>
      </c>
      <c r="I1354" t="s">
        <v>12</v>
      </c>
      <c r="J1354" t="s">
        <v>12124</v>
      </c>
    </row>
    <row r="1355" spans="1:10" x14ac:dyDescent="0.25">
      <c r="A1355">
        <v>244552</v>
      </c>
      <c r="B1355" t="s">
        <v>1434</v>
      </c>
      <c r="C1355" t="str">
        <f>"9789812561619"</f>
        <v>9789812561619</v>
      </c>
      <c r="D1355" t="str">
        <f>"9789812567741"</f>
        <v>9789812567741</v>
      </c>
      <c r="E1355" t="s">
        <v>1056</v>
      </c>
      <c r="F1355" t="s">
        <v>1056</v>
      </c>
      <c r="G1355" s="1">
        <v>38384</v>
      </c>
      <c r="H1355" s="1">
        <v>38753</v>
      </c>
      <c r="I1355" t="s">
        <v>12</v>
      </c>
      <c r="J1355" t="s">
        <v>12125</v>
      </c>
    </row>
    <row r="1356" spans="1:10" x14ac:dyDescent="0.25">
      <c r="A1356">
        <v>244554</v>
      </c>
      <c r="B1356" t="s">
        <v>1435</v>
      </c>
      <c r="C1356" t="str">
        <f>"9789812561855"</f>
        <v>9789812561855</v>
      </c>
      <c r="D1356" t="str">
        <f>"9789812567710"</f>
        <v>9789812567710</v>
      </c>
      <c r="E1356" t="s">
        <v>1042</v>
      </c>
      <c r="F1356" t="s">
        <v>1043</v>
      </c>
      <c r="G1356" s="1">
        <v>38412</v>
      </c>
      <c r="H1356" s="1">
        <v>38754</v>
      </c>
      <c r="I1356" t="s">
        <v>12</v>
      </c>
      <c r="J1356" t="s">
        <v>12126</v>
      </c>
    </row>
    <row r="1357" spans="1:10" x14ac:dyDescent="0.25">
      <c r="A1357">
        <v>244828</v>
      </c>
      <c r="B1357" t="s">
        <v>1436</v>
      </c>
      <c r="C1357" t="str">
        <f>"9781905050086"</f>
        <v>9781905050086</v>
      </c>
      <c r="D1357" t="str">
        <f>"9781905050512"</f>
        <v>9781905050512</v>
      </c>
      <c r="E1357" t="s">
        <v>1437</v>
      </c>
      <c r="F1357" t="s">
        <v>1437</v>
      </c>
      <c r="G1357" s="1">
        <v>38923</v>
      </c>
      <c r="H1357" s="1">
        <v>38887</v>
      </c>
      <c r="I1357" t="s">
        <v>12</v>
      </c>
      <c r="J1357" t="s">
        <v>12127</v>
      </c>
    </row>
    <row r="1358" spans="1:10" x14ac:dyDescent="0.25">
      <c r="A1358">
        <v>244844</v>
      </c>
      <c r="B1358" t="s">
        <v>1438</v>
      </c>
      <c r="C1358" t="str">
        <f>"9781905050130"</f>
        <v>9781905050130</v>
      </c>
      <c r="D1358" t="str">
        <f>"9781905050505"</f>
        <v>9781905050505</v>
      </c>
      <c r="E1358" t="s">
        <v>1437</v>
      </c>
      <c r="F1358" t="s">
        <v>1437</v>
      </c>
      <c r="G1358" s="1">
        <v>38596</v>
      </c>
      <c r="H1358" s="1">
        <v>38905</v>
      </c>
      <c r="I1358" t="s">
        <v>12</v>
      </c>
      <c r="J1358" t="s">
        <v>12128</v>
      </c>
    </row>
    <row r="1359" spans="1:10" x14ac:dyDescent="0.25">
      <c r="A1359">
        <v>252668</v>
      </c>
      <c r="B1359" t="s">
        <v>1439</v>
      </c>
      <c r="C1359" t="str">
        <f>"9780750658294"</f>
        <v>9780750658294</v>
      </c>
      <c r="D1359" t="str">
        <f>"9780080454603"</f>
        <v>9780080454603</v>
      </c>
      <c r="E1359" t="s">
        <v>15</v>
      </c>
      <c r="F1359" t="s">
        <v>16</v>
      </c>
      <c r="G1359" s="1">
        <v>38545</v>
      </c>
      <c r="H1359" s="1">
        <v>40171</v>
      </c>
      <c r="I1359" t="s">
        <v>12</v>
      </c>
      <c r="J1359" t="s">
        <v>12129</v>
      </c>
    </row>
    <row r="1360" spans="1:10" x14ac:dyDescent="0.25">
      <c r="A1360">
        <v>253351</v>
      </c>
      <c r="B1360" t="s">
        <v>1440</v>
      </c>
      <c r="C1360" t="str">
        <f>"9781580539333"</f>
        <v>9781580539333</v>
      </c>
      <c r="D1360" t="str">
        <f>"9781580539340"</f>
        <v>9781580539340</v>
      </c>
      <c r="E1360" t="s">
        <v>1441</v>
      </c>
      <c r="F1360" t="s">
        <v>1442</v>
      </c>
      <c r="G1360" s="1">
        <v>38776</v>
      </c>
      <c r="H1360" s="1">
        <v>39165</v>
      </c>
      <c r="I1360" t="s">
        <v>12</v>
      </c>
      <c r="J1360" t="s">
        <v>12130</v>
      </c>
    </row>
    <row r="1361" spans="1:10" x14ac:dyDescent="0.25">
      <c r="A1361">
        <v>253386</v>
      </c>
      <c r="B1361" t="s">
        <v>1443</v>
      </c>
      <c r="C1361" t="str">
        <f>"9780195034288"</f>
        <v>9780195034288</v>
      </c>
      <c r="D1361" t="str">
        <f>"9780198020516"</f>
        <v>9780198020516</v>
      </c>
      <c r="E1361" t="s">
        <v>1268</v>
      </c>
      <c r="F1361" t="s">
        <v>1268</v>
      </c>
      <c r="G1361" s="1">
        <v>30756</v>
      </c>
      <c r="H1361" s="1">
        <v>39006</v>
      </c>
      <c r="I1361" t="s">
        <v>12</v>
      </c>
      <c r="J1361" t="s">
        <v>12131</v>
      </c>
    </row>
    <row r="1362" spans="1:10" x14ac:dyDescent="0.25">
      <c r="A1362">
        <v>253414</v>
      </c>
      <c r="B1362" t="s">
        <v>1444</v>
      </c>
      <c r="C1362" t="str">
        <f>"9780803611962"</f>
        <v>9780803611962</v>
      </c>
      <c r="D1362" t="str">
        <f>"9780803616363"</f>
        <v>9780803616363</v>
      </c>
      <c r="E1362" t="s">
        <v>1445</v>
      </c>
      <c r="F1362" t="s">
        <v>1445</v>
      </c>
      <c r="G1362" s="1">
        <v>38353</v>
      </c>
      <c r="H1362" s="1">
        <v>38818</v>
      </c>
      <c r="I1362" t="s">
        <v>12</v>
      </c>
      <c r="J1362" t="s">
        <v>12132</v>
      </c>
    </row>
    <row r="1363" spans="1:10" x14ac:dyDescent="0.25">
      <c r="A1363">
        <v>253453</v>
      </c>
      <c r="B1363" t="s">
        <v>1446</v>
      </c>
      <c r="C1363" t="str">
        <f>"9789004116641"</f>
        <v>9789004116641</v>
      </c>
      <c r="D1363" t="str">
        <f>"9789047400387"</f>
        <v>9789047400387</v>
      </c>
      <c r="E1363" t="s">
        <v>1447</v>
      </c>
      <c r="F1363" t="s">
        <v>1447</v>
      </c>
      <c r="G1363" s="1">
        <v>36526</v>
      </c>
      <c r="H1363" s="1">
        <v>38918</v>
      </c>
      <c r="I1363" t="s">
        <v>12</v>
      </c>
      <c r="J1363" t="s">
        <v>12133</v>
      </c>
    </row>
    <row r="1364" spans="1:10" x14ac:dyDescent="0.25">
      <c r="A1364">
        <v>253470</v>
      </c>
      <c r="B1364" t="s">
        <v>1448</v>
      </c>
      <c r="C1364" t="str">
        <f>"9789004122444"</f>
        <v>9789004122444</v>
      </c>
      <c r="D1364" t="str">
        <f>"9789047401049"</f>
        <v>9789047401049</v>
      </c>
      <c r="E1364" t="s">
        <v>1447</v>
      </c>
      <c r="F1364" t="s">
        <v>1447</v>
      </c>
      <c r="G1364" s="1">
        <v>36892</v>
      </c>
      <c r="H1364" s="1">
        <v>38918</v>
      </c>
      <c r="I1364" t="s">
        <v>12</v>
      </c>
      <c r="J1364" t="s">
        <v>12134</v>
      </c>
    </row>
    <row r="1365" spans="1:10" x14ac:dyDescent="0.25">
      <c r="A1365">
        <v>253488</v>
      </c>
      <c r="B1365" t="s">
        <v>1449</v>
      </c>
      <c r="C1365" t="str">
        <f>"9789004117501"</f>
        <v>9789004117501</v>
      </c>
      <c r="D1365" t="str">
        <f>"9789047400455"</f>
        <v>9789047400455</v>
      </c>
      <c r="E1365" t="s">
        <v>1447</v>
      </c>
      <c r="F1365" t="s">
        <v>1447</v>
      </c>
      <c r="G1365" s="1">
        <v>36858</v>
      </c>
      <c r="H1365" s="1">
        <v>38918</v>
      </c>
      <c r="I1365" t="s">
        <v>12</v>
      </c>
      <c r="J1365" t="s">
        <v>12135</v>
      </c>
    </row>
    <row r="1366" spans="1:10" x14ac:dyDescent="0.25">
      <c r="A1366">
        <v>253497</v>
      </c>
      <c r="B1366" t="s">
        <v>1450</v>
      </c>
      <c r="C1366" t="str">
        <f>"9789004119086"</f>
        <v>9789004119086</v>
      </c>
      <c r="D1366" t="str">
        <f>"9789047400615"</f>
        <v>9789047400615</v>
      </c>
      <c r="E1366" t="s">
        <v>1447</v>
      </c>
      <c r="F1366" t="s">
        <v>1447</v>
      </c>
      <c r="G1366" s="1">
        <v>36825</v>
      </c>
      <c r="H1366" s="1">
        <v>38918</v>
      </c>
      <c r="I1366" t="s">
        <v>12</v>
      </c>
      <c r="J1366" t="s">
        <v>12136</v>
      </c>
    </row>
    <row r="1367" spans="1:10" x14ac:dyDescent="0.25">
      <c r="A1367">
        <v>253502</v>
      </c>
      <c r="B1367" t="s">
        <v>1451</v>
      </c>
      <c r="C1367" t="str">
        <f>"9789004119185"</f>
        <v>9789004119185</v>
      </c>
      <c r="D1367" t="str">
        <f>"9789047400646"</f>
        <v>9789047400646</v>
      </c>
      <c r="E1367" t="s">
        <v>1447</v>
      </c>
      <c r="F1367" t="s">
        <v>1447</v>
      </c>
      <c r="G1367" s="1">
        <v>36880</v>
      </c>
      <c r="H1367" s="1">
        <v>38918</v>
      </c>
      <c r="I1367" t="s">
        <v>12</v>
      </c>
      <c r="J1367" t="s">
        <v>12137</v>
      </c>
    </row>
    <row r="1368" spans="1:10" x14ac:dyDescent="0.25">
      <c r="A1368">
        <v>253518</v>
      </c>
      <c r="B1368" t="s">
        <v>1452</v>
      </c>
      <c r="C1368" t="str">
        <f>"9789004121478"</f>
        <v>9789004121478</v>
      </c>
      <c r="D1368" t="str">
        <f>"9789047400936"</f>
        <v>9789047400936</v>
      </c>
      <c r="E1368" t="s">
        <v>1447</v>
      </c>
      <c r="F1368" t="s">
        <v>1447</v>
      </c>
      <c r="G1368" s="1">
        <v>37498</v>
      </c>
      <c r="H1368" s="1">
        <v>38918</v>
      </c>
      <c r="I1368" t="s">
        <v>12</v>
      </c>
      <c r="J1368" t="s">
        <v>12138</v>
      </c>
    </row>
    <row r="1369" spans="1:10" x14ac:dyDescent="0.25">
      <c r="A1369">
        <v>253519</v>
      </c>
      <c r="B1369" t="s">
        <v>1453</v>
      </c>
      <c r="C1369" t="str">
        <f>"9789004121560"</f>
        <v>9789004121560</v>
      </c>
      <c r="D1369" t="str">
        <f>"9789047400950"</f>
        <v>9789047400950</v>
      </c>
      <c r="E1369" t="s">
        <v>1447</v>
      </c>
      <c r="F1369" t="s">
        <v>1447</v>
      </c>
      <c r="G1369" s="1">
        <v>37196</v>
      </c>
      <c r="H1369" s="1">
        <v>38918</v>
      </c>
      <c r="I1369" t="s">
        <v>12</v>
      </c>
      <c r="J1369" t="s">
        <v>12139</v>
      </c>
    </row>
    <row r="1370" spans="1:10" x14ac:dyDescent="0.25">
      <c r="A1370">
        <v>253520</v>
      </c>
      <c r="B1370" t="s">
        <v>1454</v>
      </c>
      <c r="C1370" t="str">
        <f>"9789004124585"</f>
        <v>9789004124585</v>
      </c>
      <c r="D1370" t="str">
        <f>"9789047401346"</f>
        <v>9789047401346</v>
      </c>
      <c r="E1370" t="s">
        <v>1447</v>
      </c>
      <c r="F1370" t="s">
        <v>1447</v>
      </c>
      <c r="G1370" s="1">
        <v>37257</v>
      </c>
      <c r="H1370" s="1">
        <v>38918</v>
      </c>
      <c r="I1370" t="s">
        <v>12</v>
      </c>
      <c r="J1370" t="s">
        <v>12140</v>
      </c>
    </row>
    <row r="1371" spans="1:10" x14ac:dyDescent="0.25">
      <c r="A1371">
        <v>253531</v>
      </c>
      <c r="B1371" t="s">
        <v>1455</v>
      </c>
      <c r="C1371" t="str">
        <f>"9789004123113"</f>
        <v>9789004123113</v>
      </c>
      <c r="D1371" t="str">
        <f>"9789047401162"</f>
        <v>9789047401162</v>
      </c>
      <c r="E1371" t="s">
        <v>1447</v>
      </c>
      <c r="F1371" t="s">
        <v>1447</v>
      </c>
      <c r="G1371" s="1">
        <v>37257</v>
      </c>
      <c r="H1371" s="1">
        <v>38918</v>
      </c>
      <c r="I1371" t="s">
        <v>12</v>
      </c>
      <c r="J1371" t="s">
        <v>12141</v>
      </c>
    </row>
    <row r="1372" spans="1:10" x14ac:dyDescent="0.25">
      <c r="A1372">
        <v>253534</v>
      </c>
      <c r="B1372" t="s">
        <v>1456</v>
      </c>
      <c r="C1372" t="str">
        <f>"9789041119506"</f>
        <v>9789041119506</v>
      </c>
      <c r="D1372" t="str">
        <f>"9789047403203"</f>
        <v>9789047403203</v>
      </c>
      <c r="E1372" t="s">
        <v>1447</v>
      </c>
      <c r="F1372" t="s">
        <v>1447</v>
      </c>
      <c r="G1372" s="1">
        <v>37257</v>
      </c>
      <c r="H1372" s="1">
        <v>38921</v>
      </c>
      <c r="I1372" t="s">
        <v>12</v>
      </c>
      <c r="J1372" t="s">
        <v>12142</v>
      </c>
    </row>
    <row r="1373" spans="1:10" x14ac:dyDescent="0.25">
      <c r="A1373">
        <v>253557</v>
      </c>
      <c r="B1373" t="s">
        <v>1457</v>
      </c>
      <c r="C1373" t="str">
        <f>"9789041119353"</f>
        <v>9789041119353</v>
      </c>
      <c r="D1373" t="str">
        <f>"9789047403197"</f>
        <v>9789047403197</v>
      </c>
      <c r="E1373" t="s">
        <v>1447</v>
      </c>
      <c r="F1373" t="s">
        <v>1447</v>
      </c>
      <c r="G1373" s="1">
        <v>37257</v>
      </c>
      <c r="H1373" s="1">
        <v>38918</v>
      </c>
      <c r="I1373" t="s">
        <v>12</v>
      </c>
      <c r="J1373" t="s">
        <v>12143</v>
      </c>
    </row>
    <row r="1374" spans="1:10" x14ac:dyDescent="0.25">
      <c r="A1374">
        <v>253571</v>
      </c>
      <c r="B1374" t="s">
        <v>1458</v>
      </c>
      <c r="C1374" t="str">
        <f>"9789004123205"</f>
        <v>9789004123205</v>
      </c>
      <c r="D1374" t="str">
        <f>"9789047401209"</f>
        <v>9789047401209</v>
      </c>
      <c r="E1374" t="s">
        <v>1447</v>
      </c>
      <c r="F1374" t="s">
        <v>1447</v>
      </c>
      <c r="G1374" s="1">
        <v>37257</v>
      </c>
      <c r="H1374" s="1">
        <v>38918</v>
      </c>
      <c r="I1374" t="s">
        <v>12</v>
      </c>
      <c r="J1374" t="s">
        <v>12144</v>
      </c>
    </row>
    <row r="1375" spans="1:10" x14ac:dyDescent="0.25">
      <c r="A1375">
        <v>253587</v>
      </c>
      <c r="B1375" t="s">
        <v>1459</v>
      </c>
      <c r="C1375" t="str">
        <f>"9789004124578"</f>
        <v>9789004124578</v>
      </c>
      <c r="D1375" t="str">
        <f>"9789047401339"</f>
        <v>9789047401339</v>
      </c>
      <c r="E1375" t="s">
        <v>1447</v>
      </c>
      <c r="F1375" t="s">
        <v>1447</v>
      </c>
      <c r="G1375" s="1">
        <v>37257</v>
      </c>
      <c r="H1375" s="1">
        <v>38918</v>
      </c>
      <c r="I1375" t="s">
        <v>12</v>
      </c>
      <c r="J1375" t="s">
        <v>12145</v>
      </c>
    </row>
    <row r="1376" spans="1:10" x14ac:dyDescent="0.25">
      <c r="A1376">
        <v>253591</v>
      </c>
      <c r="B1376" t="s">
        <v>1460</v>
      </c>
      <c r="C1376" t="str">
        <f>"9789004129900"</f>
        <v>9789004129900</v>
      </c>
      <c r="D1376" t="str">
        <f>"9789047402060"</f>
        <v>9789047402060</v>
      </c>
      <c r="E1376" t="s">
        <v>1447</v>
      </c>
      <c r="F1376" t="s">
        <v>1447</v>
      </c>
      <c r="G1376" s="1">
        <v>37622</v>
      </c>
      <c r="H1376" s="1">
        <v>38918</v>
      </c>
      <c r="I1376" t="s">
        <v>12</v>
      </c>
      <c r="J1376" t="s">
        <v>12146</v>
      </c>
    </row>
    <row r="1377" spans="1:10" x14ac:dyDescent="0.25">
      <c r="A1377">
        <v>253605</v>
      </c>
      <c r="B1377" t="s">
        <v>1461</v>
      </c>
      <c r="C1377" t="str">
        <f>"9789004129610"</f>
        <v>9789004129610</v>
      </c>
      <c r="D1377" t="str">
        <f>"9789047401971"</f>
        <v>9789047401971</v>
      </c>
      <c r="E1377" t="s">
        <v>1447</v>
      </c>
      <c r="F1377" t="s">
        <v>1447</v>
      </c>
      <c r="G1377" s="1">
        <v>37791</v>
      </c>
      <c r="H1377" s="1">
        <v>38918</v>
      </c>
      <c r="I1377" t="s">
        <v>12</v>
      </c>
      <c r="J1377" t="s">
        <v>12147</v>
      </c>
    </row>
    <row r="1378" spans="1:10" x14ac:dyDescent="0.25">
      <c r="A1378">
        <v>253607</v>
      </c>
      <c r="B1378" t="s">
        <v>1462</v>
      </c>
      <c r="C1378" t="str">
        <f>"9789004131552"</f>
        <v>9789004131552</v>
      </c>
      <c r="D1378" t="str">
        <f>"9789047402367"</f>
        <v>9789047402367</v>
      </c>
      <c r="E1378" t="s">
        <v>1447</v>
      </c>
      <c r="F1378" t="s">
        <v>1447</v>
      </c>
      <c r="G1378" s="1">
        <v>37622</v>
      </c>
      <c r="H1378" s="1">
        <v>38918</v>
      </c>
      <c r="I1378" t="s">
        <v>12</v>
      </c>
      <c r="J1378" t="s">
        <v>12148</v>
      </c>
    </row>
    <row r="1379" spans="1:10" x14ac:dyDescent="0.25">
      <c r="A1379">
        <v>253609</v>
      </c>
      <c r="B1379" t="s">
        <v>1463</v>
      </c>
      <c r="C1379" t="str">
        <f>"9789041119605"</f>
        <v>9789041119605</v>
      </c>
      <c r="D1379" t="str">
        <f>"9789047403227"</f>
        <v>9789047403227</v>
      </c>
      <c r="E1379" t="s">
        <v>1447</v>
      </c>
      <c r="F1379" t="s">
        <v>1447</v>
      </c>
      <c r="G1379" s="1">
        <v>37622</v>
      </c>
      <c r="H1379" s="1">
        <v>38918</v>
      </c>
      <c r="I1379" t="s">
        <v>12</v>
      </c>
      <c r="J1379" t="s">
        <v>12149</v>
      </c>
    </row>
    <row r="1380" spans="1:10" x14ac:dyDescent="0.25">
      <c r="A1380">
        <v>253614</v>
      </c>
      <c r="B1380" t="s">
        <v>1464</v>
      </c>
      <c r="C1380" t="str">
        <f>"9789004125841"</f>
        <v>9789004125841</v>
      </c>
      <c r="D1380" t="str">
        <f>"9789047401537"</f>
        <v>9789047401537</v>
      </c>
      <c r="E1380" t="s">
        <v>1447</v>
      </c>
      <c r="F1380" t="s">
        <v>1447</v>
      </c>
      <c r="G1380" s="1">
        <v>37622</v>
      </c>
      <c r="H1380" s="1">
        <v>38918</v>
      </c>
      <c r="I1380" t="s">
        <v>12</v>
      </c>
      <c r="J1380" t="s">
        <v>12150</v>
      </c>
    </row>
    <row r="1381" spans="1:10" x14ac:dyDescent="0.25">
      <c r="A1381">
        <v>253624</v>
      </c>
      <c r="B1381" t="s">
        <v>1465</v>
      </c>
      <c r="C1381" t="str">
        <f>"9789004131569"</f>
        <v>9789004131569</v>
      </c>
      <c r="D1381" t="str">
        <f>"9789047402374"</f>
        <v>9789047402374</v>
      </c>
      <c r="E1381" t="s">
        <v>1447</v>
      </c>
      <c r="F1381" t="s">
        <v>1447</v>
      </c>
      <c r="G1381" s="1">
        <v>37827</v>
      </c>
      <c r="H1381" s="1">
        <v>38918</v>
      </c>
      <c r="I1381" t="s">
        <v>12</v>
      </c>
      <c r="J1381" t="s">
        <v>12151</v>
      </c>
    </row>
    <row r="1382" spans="1:10" x14ac:dyDescent="0.25">
      <c r="A1382">
        <v>253636</v>
      </c>
      <c r="B1382" t="s">
        <v>1466</v>
      </c>
      <c r="C1382" t="str">
        <f>"9789004132535"</f>
        <v>9789004132535</v>
      </c>
      <c r="D1382" t="str">
        <f>"9789047402565"</f>
        <v>9789047402565</v>
      </c>
      <c r="E1382" t="s">
        <v>1447</v>
      </c>
      <c r="F1382" t="s">
        <v>1447</v>
      </c>
      <c r="G1382" s="1">
        <v>37622</v>
      </c>
      <c r="H1382" s="1">
        <v>38918</v>
      </c>
      <c r="I1382" t="s">
        <v>12</v>
      </c>
      <c r="J1382" t="s">
        <v>12152</v>
      </c>
    </row>
    <row r="1383" spans="1:10" x14ac:dyDescent="0.25">
      <c r="A1383">
        <v>253640</v>
      </c>
      <c r="B1383" t="s">
        <v>1467</v>
      </c>
      <c r="C1383" t="str">
        <f>"9789004132740"</f>
        <v>9789004132740</v>
      </c>
      <c r="D1383" t="str">
        <f>"9789047402619"</f>
        <v>9789047402619</v>
      </c>
      <c r="E1383" t="s">
        <v>1447</v>
      </c>
      <c r="F1383" t="s">
        <v>1447</v>
      </c>
      <c r="G1383" s="1">
        <v>37860</v>
      </c>
      <c r="H1383" s="1">
        <v>38918</v>
      </c>
      <c r="I1383" t="s">
        <v>12</v>
      </c>
      <c r="J1383" t="s">
        <v>12153</v>
      </c>
    </row>
    <row r="1384" spans="1:10" x14ac:dyDescent="0.25">
      <c r="A1384">
        <v>253645</v>
      </c>
      <c r="B1384" t="s">
        <v>1468</v>
      </c>
      <c r="C1384" t="str">
        <f>"9789004128583"</f>
        <v>9789004128583</v>
      </c>
      <c r="D1384" t="str">
        <f>"9789047401780"</f>
        <v>9789047401780</v>
      </c>
      <c r="E1384" t="s">
        <v>1447</v>
      </c>
      <c r="F1384" t="s">
        <v>1447</v>
      </c>
      <c r="G1384" s="1">
        <v>37591</v>
      </c>
      <c r="H1384" s="1">
        <v>38918</v>
      </c>
      <c r="I1384" t="s">
        <v>12</v>
      </c>
      <c r="J1384" t="s">
        <v>12154</v>
      </c>
    </row>
    <row r="1385" spans="1:10" x14ac:dyDescent="0.25">
      <c r="A1385">
        <v>253650</v>
      </c>
      <c r="B1385" t="s">
        <v>1469</v>
      </c>
      <c r="C1385" t="str">
        <f>"9789004130012"</f>
        <v>9789004130012</v>
      </c>
      <c r="D1385" t="str">
        <f>"9789047402121"</f>
        <v>9789047402121</v>
      </c>
      <c r="E1385" t="s">
        <v>1447</v>
      </c>
      <c r="F1385" t="s">
        <v>1447</v>
      </c>
      <c r="G1385" s="1">
        <v>37622</v>
      </c>
      <c r="H1385" s="1">
        <v>38918</v>
      </c>
      <c r="I1385" t="s">
        <v>12</v>
      </c>
      <c r="J1385" t="s">
        <v>12155</v>
      </c>
    </row>
    <row r="1386" spans="1:10" x14ac:dyDescent="0.25">
      <c r="A1386">
        <v>253660</v>
      </c>
      <c r="B1386" t="s">
        <v>1470</v>
      </c>
      <c r="C1386" t="str">
        <f>"9789004128576"</f>
        <v>9789004128576</v>
      </c>
      <c r="D1386" t="str">
        <f>"9789047401773"</f>
        <v>9789047401773</v>
      </c>
      <c r="E1386" t="s">
        <v>1447</v>
      </c>
      <c r="F1386" t="s">
        <v>1447</v>
      </c>
      <c r="G1386" s="1">
        <v>37622</v>
      </c>
      <c r="H1386" s="1">
        <v>38918</v>
      </c>
      <c r="I1386" t="s">
        <v>12</v>
      </c>
      <c r="J1386" t="s">
        <v>12156</v>
      </c>
    </row>
    <row r="1387" spans="1:10" x14ac:dyDescent="0.25">
      <c r="A1387">
        <v>253671</v>
      </c>
      <c r="B1387" t="s">
        <v>1471</v>
      </c>
      <c r="C1387" t="str">
        <f>"9789004128859"</f>
        <v>9789004128859</v>
      </c>
      <c r="D1387" t="str">
        <f>"9789047401858"</f>
        <v>9789047401858</v>
      </c>
      <c r="E1387" t="s">
        <v>1447</v>
      </c>
      <c r="F1387" t="s">
        <v>1447</v>
      </c>
      <c r="G1387" s="1">
        <v>37622</v>
      </c>
      <c r="H1387" s="1">
        <v>38918</v>
      </c>
      <c r="I1387" t="s">
        <v>12</v>
      </c>
      <c r="J1387" t="s">
        <v>12157</v>
      </c>
    </row>
    <row r="1388" spans="1:10" x14ac:dyDescent="0.25">
      <c r="A1388">
        <v>253674</v>
      </c>
      <c r="B1388" t="s">
        <v>1472</v>
      </c>
      <c r="C1388" t="str">
        <f>"9789004131040"</f>
        <v>9789004131040</v>
      </c>
      <c r="D1388" t="str">
        <f>"9789047402268"</f>
        <v>9789047402268</v>
      </c>
      <c r="E1388" t="s">
        <v>1447</v>
      </c>
      <c r="F1388" t="s">
        <v>1447</v>
      </c>
      <c r="G1388" s="1">
        <v>37622</v>
      </c>
      <c r="H1388" s="1">
        <v>38918</v>
      </c>
      <c r="I1388" t="s">
        <v>12</v>
      </c>
      <c r="J1388" t="s">
        <v>12158</v>
      </c>
    </row>
    <row r="1389" spans="1:10" x14ac:dyDescent="0.25">
      <c r="A1389">
        <v>253687</v>
      </c>
      <c r="B1389" t="s">
        <v>1473</v>
      </c>
      <c r="C1389" t="str">
        <f>"9789004122994"</f>
        <v>9789004122994</v>
      </c>
      <c r="D1389" t="str">
        <f>"9789047400035"</f>
        <v>9789047400035</v>
      </c>
      <c r="E1389" t="s">
        <v>1447</v>
      </c>
      <c r="F1389" t="s">
        <v>1447</v>
      </c>
      <c r="G1389" s="1">
        <v>37622</v>
      </c>
      <c r="H1389" s="1">
        <v>38918</v>
      </c>
      <c r="I1389" t="s">
        <v>12</v>
      </c>
      <c r="J1389" t="s">
        <v>12159</v>
      </c>
    </row>
    <row r="1390" spans="1:10" x14ac:dyDescent="0.25">
      <c r="A1390">
        <v>253694</v>
      </c>
      <c r="B1390" t="s">
        <v>1474</v>
      </c>
      <c r="C1390" t="str">
        <f>"9789004131149"</f>
        <v>9789004131149</v>
      </c>
      <c r="D1390" t="str">
        <f>"9789047402299"</f>
        <v>9789047402299</v>
      </c>
      <c r="E1390" t="s">
        <v>1447</v>
      </c>
      <c r="F1390" t="s">
        <v>1447</v>
      </c>
      <c r="G1390" s="1">
        <v>37622</v>
      </c>
      <c r="H1390" s="1">
        <v>38918</v>
      </c>
      <c r="I1390" t="s">
        <v>12</v>
      </c>
      <c r="J1390" t="s">
        <v>12160</v>
      </c>
    </row>
    <row r="1391" spans="1:10" x14ac:dyDescent="0.25">
      <c r="A1391">
        <v>253710</v>
      </c>
      <c r="B1391" t="s">
        <v>1475</v>
      </c>
      <c r="C1391" t="str">
        <f>"9789004132597"</f>
        <v>9789004132597</v>
      </c>
      <c r="D1391" t="str">
        <f>"9789047402572"</f>
        <v>9789047402572</v>
      </c>
      <c r="E1391" t="s">
        <v>1447</v>
      </c>
      <c r="F1391" t="s">
        <v>1447</v>
      </c>
      <c r="G1391" s="1">
        <v>37967</v>
      </c>
      <c r="H1391" s="1">
        <v>38918</v>
      </c>
      <c r="I1391" t="s">
        <v>12</v>
      </c>
      <c r="J1391" t="s">
        <v>12161</v>
      </c>
    </row>
    <row r="1392" spans="1:10" x14ac:dyDescent="0.25">
      <c r="A1392">
        <v>253713</v>
      </c>
      <c r="B1392" t="s">
        <v>1476</v>
      </c>
      <c r="C1392" t="str">
        <f>"9789004140738"</f>
        <v>9789004140738</v>
      </c>
      <c r="D1392" t="str">
        <f>"9789047402978"</f>
        <v>9789047402978</v>
      </c>
      <c r="E1392" t="s">
        <v>1447</v>
      </c>
      <c r="F1392" t="s">
        <v>1447</v>
      </c>
      <c r="G1392" s="1">
        <v>37987</v>
      </c>
      <c r="H1392" s="1">
        <v>38918</v>
      </c>
      <c r="I1392" t="s">
        <v>12</v>
      </c>
      <c r="J1392" t="s">
        <v>12162</v>
      </c>
    </row>
    <row r="1393" spans="1:10" x14ac:dyDescent="0.25">
      <c r="A1393">
        <v>253717</v>
      </c>
      <c r="B1393" t="s">
        <v>1477</v>
      </c>
      <c r="C1393" t="str">
        <f>"9789004135765"</f>
        <v>9789004135765</v>
      </c>
      <c r="D1393" t="str">
        <f>"9789047402770"</f>
        <v>9789047402770</v>
      </c>
      <c r="E1393" t="s">
        <v>1447</v>
      </c>
      <c r="F1393" t="s">
        <v>1447</v>
      </c>
      <c r="G1393" s="1">
        <v>37987</v>
      </c>
      <c r="H1393" s="1">
        <v>38918</v>
      </c>
      <c r="I1393" t="s">
        <v>12</v>
      </c>
      <c r="J1393" t="s">
        <v>12163</v>
      </c>
    </row>
    <row r="1394" spans="1:10" x14ac:dyDescent="0.25">
      <c r="A1394">
        <v>253727</v>
      </c>
      <c r="B1394" t="s">
        <v>1478</v>
      </c>
      <c r="C1394" t="str">
        <f>"9789004129443"</f>
        <v>9789004129443</v>
      </c>
      <c r="D1394" t="str">
        <f>"9789047401926"</f>
        <v>9789047401926</v>
      </c>
      <c r="E1394" t="s">
        <v>1447</v>
      </c>
      <c r="F1394" t="s">
        <v>1447</v>
      </c>
      <c r="G1394" s="1">
        <v>37922</v>
      </c>
      <c r="H1394" s="1">
        <v>38918</v>
      </c>
      <c r="I1394" t="s">
        <v>12</v>
      </c>
      <c r="J1394" t="s">
        <v>12164</v>
      </c>
    </row>
    <row r="1395" spans="1:10" x14ac:dyDescent="0.25">
      <c r="A1395">
        <v>253738</v>
      </c>
      <c r="B1395" t="s">
        <v>1479</v>
      </c>
      <c r="C1395" t="str">
        <f>"9789004136267"</f>
        <v>9789004136267</v>
      </c>
      <c r="D1395" t="str">
        <f>"9789047402848"</f>
        <v>9789047402848</v>
      </c>
      <c r="E1395" t="s">
        <v>1447</v>
      </c>
      <c r="F1395" t="s">
        <v>1447</v>
      </c>
      <c r="G1395" s="1">
        <v>37953</v>
      </c>
      <c r="H1395" s="1">
        <v>38918</v>
      </c>
      <c r="I1395" t="s">
        <v>12</v>
      </c>
      <c r="J1395" t="s">
        <v>12165</v>
      </c>
    </row>
    <row r="1396" spans="1:10" x14ac:dyDescent="0.25">
      <c r="A1396">
        <v>253761</v>
      </c>
      <c r="B1396" t="s">
        <v>1480</v>
      </c>
      <c r="C1396" t="str">
        <f>"9789004136434"</f>
        <v>9789004136434</v>
      </c>
      <c r="D1396" t="str">
        <f>"9789047402886"</f>
        <v>9789047402886</v>
      </c>
      <c r="E1396" t="s">
        <v>1447</v>
      </c>
      <c r="F1396" t="s">
        <v>1447</v>
      </c>
      <c r="G1396" s="1">
        <v>37959</v>
      </c>
      <c r="H1396" s="1">
        <v>38918</v>
      </c>
      <c r="I1396" t="s">
        <v>12</v>
      </c>
      <c r="J1396" t="s">
        <v>12166</v>
      </c>
    </row>
    <row r="1397" spans="1:10" x14ac:dyDescent="0.25">
      <c r="A1397">
        <v>253766</v>
      </c>
      <c r="B1397" t="s">
        <v>1481</v>
      </c>
      <c r="C1397" t="str">
        <f>"9789004136311"</f>
        <v>9789004136311</v>
      </c>
      <c r="D1397" t="str">
        <f>"9789047402862"</f>
        <v>9789047402862</v>
      </c>
      <c r="E1397" t="s">
        <v>1447</v>
      </c>
      <c r="F1397" t="s">
        <v>1447</v>
      </c>
      <c r="G1397" s="1">
        <v>37960</v>
      </c>
      <c r="H1397" s="1">
        <v>38918</v>
      </c>
      <c r="I1397" t="s">
        <v>12</v>
      </c>
      <c r="J1397" t="s">
        <v>12167</v>
      </c>
    </row>
    <row r="1398" spans="1:10" x14ac:dyDescent="0.25">
      <c r="A1398">
        <v>253767</v>
      </c>
      <c r="B1398" t="s">
        <v>1482</v>
      </c>
      <c r="C1398" t="str">
        <f>"9789004108875"</f>
        <v>9789004108875</v>
      </c>
      <c r="D1398" t="str">
        <f>"9789047400141"</f>
        <v>9789047400141</v>
      </c>
      <c r="E1398" t="s">
        <v>1447</v>
      </c>
      <c r="F1398" t="s">
        <v>1447</v>
      </c>
      <c r="G1398" s="1">
        <v>37967</v>
      </c>
      <c r="H1398" s="1">
        <v>38952</v>
      </c>
      <c r="I1398" t="s">
        <v>12</v>
      </c>
      <c r="J1398" t="s">
        <v>12168</v>
      </c>
    </row>
    <row r="1399" spans="1:10" x14ac:dyDescent="0.25">
      <c r="A1399">
        <v>253896</v>
      </c>
      <c r="B1399" t="s">
        <v>1483</v>
      </c>
      <c r="C1399" t="str">
        <f>"9781591409205"</f>
        <v>9781591409205</v>
      </c>
      <c r="D1399" t="str">
        <f>"9781591409229"</f>
        <v>9781591409229</v>
      </c>
      <c r="E1399" t="s">
        <v>623</v>
      </c>
      <c r="F1399" t="s">
        <v>624</v>
      </c>
      <c r="G1399" s="1">
        <v>39023</v>
      </c>
      <c r="H1399" s="1">
        <v>38795</v>
      </c>
      <c r="I1399" t="s">
        <v>12</v>
      </c>
      <c r="J1399" t="s">
        <v>12169</v>
      </c>
    </row>
    <row r="1400" spans="1:10" x14ac:dyDescent="0.25">
      <c r="A1400">
        <v>253898</v>
      </c>
      <c r="B1400" t="s">
        <v>1484</v>
      </c>
      <c r="C1400" t="str">
        <f>"9781591403906"</f>
        <v>9781591403906</v>
      </c>
      <c r="D1400" t="str">
        <f>"9781591403920"</f>
        <v>9781591403920</v>
      </c>
      <c r="E1400" t="s">
        <v>623</v>
      </c>
      <c r="F1400" t="s">
        <v>624</v>
      </c>
      <c r="G1400" s="1">
        <v>39031</v>
      </c>
      <c r="H1400" s="1">
        <v>38796</v>
      </c>
      <c r="I1400" t="s">
        <v>12</v>
      </c>
      <c r="J1400" t="s">
        <v>12170</v>
      </c>
    </row>
    <row r="1401" spans="1:10" x14ac:dyDescent="0.25">
      <c r="A1401">
        <v>253901</v>
      </c>
      <c r="B1401" t="s">
        <v>1485</v>
      </c>
      <c r="C1401" t="str">
        <f>"9781591409052"</f>
        <v>9781591409052</v>
      </c>
      <c r="D1401" t="str">
        <f>"9781591409076"</f>
        <v>9781591409076</v>
      </c>
      <c r="E1401" t="s">
        <v>623</v>
      </c>
      <c r="F1401" t="s">
        <v>624</v>
      </c>
      <c r="G1401" s="1">
        <v>39031</v>
      </c>
      <c r="H1401" s="1">
        <v>38806</v>
      </c>
      <c r="I1401" t="s">
        <v>12</v>
      </c>
      <c r="J1401" t="s">
        <v>12171</v>
      </c>
    </row>
    <row r="1402" spans="1:10" x14ac:dyDescent="0.25">
      <c r="A1402">
        <v>253902</v>
      </c>
      <c r="B1402" t="s">
        <v>1486</v>
      </c>
      <c r="C1402" t="str">
        <f>"9781591408277"</f>
        <v>9781591408277</v>
      </c>
      <c r="D1402" t="str">
        <f>"9781591408291"</f>
        <v>9781591408291</v>
      </c>
      <c r="E1402" t="s">
        <v>623</v>
      </c>
      <c r="F1402" t="s">
        <v>624</v>
      </c>
      <c r="G1402" s="1">
        <v>39023</v>
      </c>
      <c r="H1402" s="1">
        <v>38790</v>
      </c>
      <c r="I1402" t="s">
        <v>12</v>
      </c>
      <c r="J1402" t="s">
        <v>12172</v>
      </c>
    </row>
    <row r="1403" spans="1:10" x14ac:dyDescent="0.25">
      <c r="A1403">
        <v>253903</v>
      </c>
      <c r="B1403" t="s">
        <v>1487</v>
      </c>
      <c r="C1403" t="str">
        <f>"9781591408758"</f>
        <v>9781591408758</v>
      </c>
      <c r="D1403" t="str">
        <f>"9781591408772"</f>
        <v>9781591408772</v>
      </c>
      <c r="E1403" t="s">
        <v>623</v>
      </c>
      <c r="F1403" t="s">
        <v>624</v>
      </c>
      <c r="G1403" s="1">
        <v>39023</v>
      </c>
      <c r="H1403" s="1">
        <v>38796</v>
      </c>
      <c r="I1403" t="s">
        <v>12</v>
      </c>
      <c r="J1403" t="s">
        <v>12173</v>
      </c>
    </row>
    <row r="1404" spans="1:10" x14ac:dyDescent="0.25">
      <c r="A1404">
        <v>253905</v>
      </c>
      <c r="B1404" t="s">
        <v>1488</v>
      </c>
      <c r="C1404" t="str">
        <f>"9781599043999"</f>
        <v>9781599043999</v>
      </c>
      <c r="D1404" t="str">
        <f>"9781599044019"</f>
        <v>9781599044019</v>
      </c>
      <c r="E1404" t="s">
        <v>623</v>
      </c>
      <c r="F1404" t="s">
        <v>624</v>
      </c>
      <c r="G1404" s="1">
        <v>39031</v>
      </c>
      <c r="H1404" s="1">
        <v>38790</v>
      </c>
      <c r="I1404" t="s">
        <v>12</v>
      </c>
      <c r="J1404" t="s">
        <v>12174</v>
      </c>
    </row>
    <row r="1405" spans="1:10" x14ac:dyDescent="0.25">
      <c r="A1405">
        <v>253907</v>
      </c>
      <c r="B1405" t="s">
        <v>1489</v>
      </c>
      <c r="C1405" t="str">
        <f>"9781591407997"</f>
        <v>9781591407997</v>
      </c>
      <c r="D1405" t="str">
        <f>"9781591408000"</f>
        <v>9781591408000</v>
      </c>
      <c r="E1405" t="s">
        <v>623</v>
      </c>
      <c r="F1405" t="s">
        <v>624</v>
      </c>
      <c r="G1405" s="1">
        <v>38905</v>
      </c>
      <c r="H1405" s="1">
        <v>38795</v>
      </c>
      <c r="I1405" t="s">
        <v>12</v>
      </c>
      <c r="J1405" t="s">
        <v>12175</v>
      </c>
    </row>
    <row r="1406" spans="1:10" x14ac:dyDescent="0.25">
      <c r="A1406">
        <v>253923</v>
      </c>
      <c r="B1406" t="s">
        <v>1490</v>
      </c>
      <c r="C1406" t="str">
        <f>"9780415515948"</f>
        <v>9780415515948</v>
      </c>
      <c r="D1406" t="str">
        <f>"9780203975008"</f>
        <v>9780203975008</v>
      </c>
      <c r="E1406" t="s">
        <v>15</v>
      </c>
      <c r="F1406" t="s">
        <v>139</v>
      </c>
      <c r="G1406" s="1">
        <v>33238</v>
      </c>
      <c r="H1406" s="1">
        <v>38809</v>
      </c>
      <c r="I1406" t="s">
        <v>12</v>
      </c>
      <c r="J1406" t="s">
        <v>12176</v>
      </c>
    </row>
    <row r="1407" spans="1:10" x14ac:dyDescent="0.25">
      <c r="A1407">
        <v>253928</v>
      </c>
      <c r="B1407" t="s">
        <v>1491</v>
      </c>
      <c r="C1407" t="str">
        <f>"9780415148559"</f>
        <v>9780415148559</v>
      </c>
      <c r="D1407" t="str">
        <f>"9780203982365"</f>
        <v>9780203982365</v>
      </c>
      <c r="E1407" t="s">
        <v>15</v>
      </c>
      <c r="F1407" t="s">
        <v>16</v>
      </c>
      <c r="G1407" s="1">
        <v>35803</v>
      </c>
      <c r="H1407" s="1">
        <v>38834</v>
      </c>
      <c r="I1407" t="s">
        <v>12</v>
      </c>
      <c r="J1407" t="s">
        <v>12177</v>
      </c>
    </row>
    <row r="1408" spans="1:10" x14ac:dyDescent="0.25">
      <c r="A1408">
        <v>253946</v>
      </c>
      <c r="B1408" t="s">
        <v>1492</v>
      </c>
      <c r="C1408" t="str">
        <f>"9780415051026"</f>
        <v>9780415051026</v>
      </c>
      <c r="D1408" t="str">
        <f>"9780203977637"</f>
        <v>9780203977637</v>
      </c>
      <c r="E1408" t="s">
        <v>15</v>
      </c>
      <c r="F1408" t="s">
        <v>16</v>
      </c>
      <c r="G1408" s="1">
        <v>31708</v>
      </c>
      <c r="H1408" s="1">
        <v>38819</v>
      </c>
      <c r="I1408" t="s">
        <v>12</v>
      </c>
      <c r="J1408" t="s">
        <v>12178</v>
      </c>
    </row>
    <row r="1409" spans="1:10" x14ac:dyDescent="0.25">
      <c r="A1409">
        <v>253953</v>
      </c>
      <c r="B1409" t="s">
        <v>1493</v>
      </c>
      <c r="C1409" t="str">
        <f>"9780415058933"</f>
        <v>9780415058933</v>
      </c>
      <c r="D1409" t="str">
        <f>"9780203978818"</f>
        <v>9780203978818</v>
      </c>
      <c r="E1409" t="s">
        <v>15</v>
      </c>
      <c r="F1409" t="s">
        <v>16</v>
      </c>
      <c r="G1409" s="1">
        <v>33238</v>
      </c>
      <c r="H1409" s="1">
        <v>38813</v>
      </c>
      <c r="I1409" t="s">
        <v>12</v>
      </c>
      <c r="J1409" t="s">
        <v>12179</v>
      </c>
    </row>
    <row r="1410" spans="1:10" x14ac:dyDescent="0.25">
      <c r="A1410">
        <v>253959</v>
      </c>
      <c r="B1410" t="s">
        <v>1494</v>
      </c>
      <c r="C1410" t="str">
        <f>"9781845447915"</f>
        <v>9781845447915</v>
      </c>
      <c r="D1410" t="str">
        <f>"9781845447922"</f>
        <v>9781845447922</v>
      </c>
      <c r="E1410" t="s">
        <v>1116</v>
      </c>
      <c r="F1410" t="s">
        <v>1117</v>
      </c>
      <c r="G1410" s="1">
        <v>38618</v>
      </c>
      <c r="H1410" s="1">
        <v>38793</v>
      </c>
      <c r="I1410" t="s">
        <v>12</v>
      </c>
      <c r="J1410" t="s">
        <v>12180</v>
      </c>
    </row>
    <row r="1411" spans="1:10" x14ac:dyDescent="0.25">
      <c r="A1411">
        <v>253969</v>
      </c>
      <c r="B1411" t="s">
        <v>1495</v>
      </c>
      <c r="C1411" t="str">
        <f>"9781845444259"</f>
        <v>9781845444259</v>
      </c>
      <c r="D1411" t="str">
        <f>"9781845444266"</f>
        <v>9781845444266</v>
      </c>
      <c r="E1411" t="s">
        <v>1116</v>
      </c>
      <c r="F1411" t="s">
        <v>1117</v>
      </c>
      <c r="G1411" s="1">
        <v>38548</v>
      </c>
      <c r="H1411" s="1">
        <v>38795</v>
      </c>
      <c r="I1411" t="s">
        <v>12</v>
      </c>
      <c r="J1411" t="s">
        <v>12181</v>
      </c>
    </row>
    <row r="1412" spans="1:10" x14ac:dyDescent="0.25">
      <c r="A1412">
        <v>253970</v>
      </c>
      <c r="B1412" t="s">
        <v>1496</v>
      </c>
      <c r="C1412" t="str">
        <f>"9781845447458"</f>
        <v>9781845447458</v>
      </c>
      <c r="D1412" t="str">
        <f>"9781845447465"</f>
        <v>9781845447465</v>
      </c>
      <c r="E1412" t="s">
        <v>1116</v>
      </c>
      <c r="F1412" t="s">
        <v>1117</v>
      </c>
      <c r="G1412" s="1">
        <v>38646</v>
      </c>
      <c r="H1412" s="1">
        <v>38795</v>
      </c>
      <c r="I1412" t="s">
        <v>12</v>
      </c>
      <c r="J1412" t="s">
        <v>12182</v>
      </c>
    </row>
    <row r="1413" spans="1:10" x14ac:dyDescent="0.25">
      <c r="A1413">
        <v>253973</v>
      </c>
      <c r="B1413" t="s">
        <v>1497</v>
      </c>
      <c r="C1413" t="str">
        <f>"9781845448370"</f>
        <v>9781845448370</v>
      </c>
      <c r="D1413" t="str">
        <f>"9781845448387"</f>
        <v>9781845448387</v>
      </c>
      <c r="E1413" t="s">
        <v>1116</v>
      </c>
      <c r="F1413" t="s">
        <v>1117</v>
      </c>
      <c r="G1413" s="1">
        <v>38632</v>
      </c>
      <c r="H1413" s="1">
        <v>38795</v>
      </c>
      <c r="I1413" t="s">
        <v>12</v>
      </c>
      <c r="J1413" t="s">
        <v>12183</v>
      </c>
    </row>
    <row r="1414" spans="1:10" x14ac:dyDescent="0.25">
      <c r="A1414">
        <v>253979</v>
      </c>
      <c r="B1414" t="s">
        <v>1498</v>
      </c>
      <c r="C1414" t="str">
        <f>"9781845443436"</f>
        <v>9781845443436</v>
      </c>
      <c r="D1414" t="str">
        <f>"9781845443443"</f>
        <v>9781845443443</v>
      </c>
      <c r="E1414" t="s">
        <v>1116</v>
      </c>
      <c r="F1414" t="s">
        <v>1117</v>
      </c>
      <c r="G1414" s="1">
        <v>38548</v>
      </c>
      <c r="H1414" s="1">
        <v>38795</v>
      </c>
      <c r="I1414" t="s">
        <v>12</v>
      </c>
      <c r="J1414" t="s">
        <v>12184</v>
      </c>
    </row>
    <row r="1415" spans="1:10" x14ac:dyDescent="0.25">
      <c r="A1415">
        <v>253982</v>
      </c>
      <c r="B1415" t="s">
        <v>1499</v>
      </c>
      <c r="C1415" t="str">
        <f>"9781845444303"</f>
        <v>9781845444303</v>
      </c>
      <c r="D1415" t="str">
        <f>"9781845444310"</f>
        <v>9781845444310</v>
      </c>
      <c r="E1415" t="s">
        <v>1116</v>
      </c>
      <c r="F1415" t="s">
        <v>1117</v>
      </c>
      <c r="G1415" s="1">
        <v>38555</v>
      </c>
      <c r="H1415" s="1">
        <v>38795</v>
      </c>
      <c r="I1415" t="s">
        <v>12</v>
      </c>
      <c r="J1415" t="s">
        <v>12185</v>
      </c>
    </row>
    <row r="1416" spans="1:10" x14ac:dyDescent="0.25">
      <c r="A1416">
        <v>253983</v>
      </c>
      <c r="B1416" t="s">
        <v>1500</v>
      </c>
      <c r="C1416" t="str">
        <f>"9781845441630"</f>
        <v>9781845441630</v>
      </c>
      <c r="D1416" t="str">
        <f>"9781845443221"</f>
        <v>9781845443221</v>
      </c>
      <c r="E1416" t="s">
        <v>1116</v>
      </c>
      <c r="F1416" t="s">
        <v>1117</v>
      </c>
      <c r="G1416" s="1">
        <v>38597</v>
      </c>
      <c r="H1416" s="1">
        <v>38866</v>
      </c>
      <c r="I1416" t="s">
        <v>12</v>
      </c>
      <c r="J1416" t="s">
        <v>12186</v>
      </c>
    </row>
    <row r="1417" spans="1:10" x14ac:dyDescent="0.25">
      <c r="A1417">
        <v>253994</v>
      </c>
      <c r="B1417" t="s">
        <v>1501</v>
      </c>
      <c r="C1417" t="str">
        <f>"9781845448417"</f>
        <v>9781845448417</v>
      </c>
      <c r="D1417" t="str">
        <f>"9781845448424"</f>
        <v>9781845448424</v>
      </c>
      <c r="E1417" t="s">
        <v>1116</v>
      </c>
      <c r="F1417" t="s">
        <v>1117</v>
      </c>
      <c r="G1417" s="1">
        <v>38646</v>
      </c>
      <c r="H1417" s="1">
        <v>38796</v>
      </c>
      <c r="I1417" t="s">
        <v>12</v>
      </c>
      <c r="J1417" t="s">
        <v>12187</v>
      </c>
    </row>
    <row r="1418" spans="1:10" x14ac:dyDescent="0.25">
      <c r="A1418">
        <v>254003</v>
      </c>
      <c r="B1418" t="s">
        <v>1502</v>
      </c>
      <c r="C1418" t="str">
        <f>"9781845448769"</f>
        <v>9781845448769</v>
      </c>
      <c r="D1418" t="str">
        <f>"9781845448776"</f>
        <v>9781845448776</v>
      </c>
      <c r="E1418" t="s">
        <v>1116</v>
      </c>
      <c r="F1418" t="s">
        <v>1117</v>
      </c>
      <c r="G1418" s="1">
        <v>38688</v>
      </c>
      <c r="H1418" s="1">
        <v>38796</v>
      </c>
      <c r="I1418" t="s">
        <v>12</v>
      </c>
      <c r="J1418" t="s">
        <v>12188</v>
      </c>
    </row>
    <row r="1419" spans="1:10" x14ac:dyDescent="0.25">
      <c r="A1419">
        <v>254006</v>
      </c>
      <c r="B1419" t="s">
        <v>1503</v>
      </c>
      <c r="C1419" t="str">
        <f>"9781845448073"</f>
        <v>9781845448073</v>
      </c>
      <c r="D1419" t="str">
        <f>"9781845448080"</f>
        <v>9781845448080</v>
      </c>
      <c r="E1419" t="s">
        <v>1116</v>
      </c>
      <c r="F1419" t="s">
        <v>1117</v>
      </c>
      <c r="G1419" s="1">
        <v>38667</v>
      </c>
      <c r="H1419" s="1">
        <v>38796</v>
      </c>
      <c r="I1419" t="s">
        <v>1504</v>
      </c>
      <c r="J1419" t="s">
        <v>12189</v>
      </c>
    </row>
    <row r="1420" spans="1:10" x14ac:dyDescent="0.25">
      <c r="A1420">
        <v>254107</v>
      </c>
      <c r="B1420" t="s">
        <v>1505</v>
      </c>
      <c r="C1420" t="str">
        <f>"9780415080583"</f>
        <v>9780415080583</v>
      </c>
      <c r="D1420" t="str">
        <f>"9780203991329"</f>
        <v>9780203991329</v>
      </c>
      <c r="E1420" t="s">
        <v>15</v>
      </c>
      <c r="F1420" t="s">
        <v>16</v>
      </c>
      <c r="G1420" s="1">
        <v>33822</v>
      </c>
      <c r="H1420" s="1">
        <v>38811</v>
      </c>
      <c r="I1420" t="s">
        <v>12</v>
      </c>
      <c r="J1420" t="s">
        <v>12190</v>
      </c>
    </row>
    <row r="1421" spans="1:10" x14ac:dyDescent="0.25">
      <c r="A1421">
        <v>254116</v>
      </c>
      <c r="B1421" t="s">
        <v>1506</v>
      </c>
      <c r="C1421" t="str">
        <f>"9780415091411"</f>
        <v>9780415091411</v>
      </c>
      <c r="D1421" t="str">
        <f>"9780203992593"</f>
        <v>9780203992593</v>
      </c>
      <c r="E1421" t="s">
        <v>15</v>
      </c>
      <c r="F1421" t="s">
        <v>16</v>
      </c>
      <c r="G1421" s="1">
        <v>34667</v>
      </c>
      <c r="H1421" s="1">
        <v>38824</v>
      </c>
      <c r="I1421" t="s">
        <v>12</v>
      </c>
      <c r="J1421" t="s">
        <v>12191</v>
      </c>
    </row>
    <row r="1422" spans="1:10" x14ac:dyDescent="0.25">
      <c r="A1422">
        <v>254122</v>
      </c>
      <c r="B1422" t="s">
        <v>1507</v>
      </c>
      <c r="C1422" t="str">
        <f>"9780415101356"</f>
        <v>9780415101356</v>
      </c>
      <c r="D1422" t="str">
        <f>"9780203984345"</f>
        <v>9780203984345</v>
      </c>
      <c r="E1422" t="s">
        <v>15</v>
      </c>
      <c r="F1422" t="s">
        <v>16</v>
      </c>
      <c r="G1422" s="1">
        <v>35320</v>
      </c>
      <c r="H1422" s="1">
        <v>38819</v>
      </c>
      <c r="I1422" t="s">
        <v>12</v>
      </c>
      <c r="J1422" t="s">
        <v>12192</v>
      </c>
    </row>
    <row r="1423" spans="1:10" x14ac:dyDescent="0.25">
      <c r="A1423">
        <v>254131</v>
      </c>
      <c r="B1423" t="s">
        <v>1508</v>
      </c>
      <c r="C1423" t="str">
        <f>"9780415017978"</f>
        <v>9780415017978</v>
      </c>
      <c r="D1423" t="str">
        <f>"9780203013731"</f>
        <v>9780203013731</v>
      </c>
      <c r="E1423" t="s">
        <v>15</v>
      </c>
      <c r="F1423" t="s">
        <v>16</v>
      </c>
      <c r="G1423" s="1">
        <v>33178</v>
      </c>
      <c r="H1423" s="1">
        <v>38818</v>
      </c>
      <c r="I1423" t="s">
        <v>12</v>
      </c>
      <c r="J1423" t="s">
        <v>12193</v>
      </c>
    </row>
    <row r="1424" spans="1:10" x14ac:dyDescent="0.25">
      <c r="A1424">
        <v>254136</v>
      </c>
      <c r="B1424" t="s">
        <v>1509</v>
      </c>
      <c r="C1424" t="str">
        <f>"9780415110204"</f>
        <v>9780415110204</v>
      </c>
      <c r="D1424" t="str">
        <f>"9780203013700"</f>
        <v>9780203013700</v>
      </c>
      <c r="E1424" t="s">
        <v>15</v>
      </c>
      <c r="F1424" t="s">
        <v>16</v>
      </c>
      <c r="G1424" s="1">
        <v>35811</v>
      </c>
      <c r="H1424" s="1">
        <v>38809</v>
      </c>
      <c r="I1424" t="s">
        <v>12</v>
      </c>
      <c r="J1424" t="s">
        <v>12194</v>
      </c>
    </row>
    <row r="1425" spans="1:10" x14ac:dyDescent="0.25">
      <c r="A1425">
        <v>254145</v>
      </c>
      <c r="B1425" t="s">
        <v>1510</v>
      </c>
      <c r="C1425" t="str">
        <f>"9780415138116"</f>
        <v>9780415138116</v>
      </c>
      <c r="D1425" t="str">
        <f>"9780203973868"</f>
        <v>9780203973868</v>
      </c>
      <c r="E1425" t="s">
        <v>15</v>
      </c>
      <c r="F1425" t="s">
        <v>16</v>
      </c>
      <c r="G1425" s="1">
        <v>35583</v>
      </c>
      <c r="H1425" s="1">
        <v>38824</v>
      </c>
      <c r="I1425" t="s">
        <v>12</v>
      </c>
      <c r="J1425" t="s">
        <v>12195</v>
      </c>
    </row>
    <row r="1426" spans="1:10" x14ac:dyDescent="0.25">
      <c r="A1426">
        <v>254149</v>
      </c>
      <c r="B1426" t="s">
        <v>1511</v>
      </c>
      <c r="C1426" t="str">
        <f>"9780415142359"</f>
        <v>9780415142359</v>
      </c>
      <c r="D1426" t="str">
        <f>"9780203979372"</f>
        <v>9780203979372</v>
      </c>
      <c r="E1426" t="s">
        <v>16</v>
      </c>
      <c r="F1426" t="s">
        <v>16</v>
      </c>
      <c r="G1426" s="1">
        <v>35425</v>
      </c>
      <c r="H1426" s="1">
        <v>38810</v>
      </c>
      <c r="I1426" t="s">
        <v>12</v>
      </c>
      <c r="J1426" t="s">
        <v>12196</v>
      </c>
    </row>
    <row r="1427" spans="1:10" x14ac:dyDescent="0.25">
      <c r="A1427">
        <v>254165</v>
      </c>
      <c r="B1427" t="s">
        <v>1512</v>
      </c>
      <c r="C1427" t="str">
        <f>"9780415160421"</f>
        <v>9780415160421</v>
      </c>
      <c r="D1427" t="str">
        <f>"9780203978115"</f>
        <v>9780203978115</v>
      </c>
      <c r="E1427" t="s">
        <v>15</v>
      </c>
      <c r="F1427" t="s">
        <v>16</v>
      </c>
      <c r="G1427" s="1">
        <v>35583</v>
      </c>
      <c r="H1427" s="1">
        <v>38837</v>
      </c>
      <c r="I1427" t="s">
        <v>12</v>
      </c>
      <c r="J1427" t="s">
        <v>12197</v>
      </c>
    </row>
    <row r="1428" spans="1:10" x14ac:dyDescent="0.25">
      <c r="A1428">
        <v>254175</v>
      </c>
      <c r="B1428" t="s">
        <v>1513</v>
      </c>
      <c r="C1428" t="str">
        <f>"9780415169332"</f>
        <v>9780415169332</v>
      </c>
      <c r="D1428" t="str">
        <f>"9780203992739"</f>
        <v>9780203992739</v>
      </c>
      <c r="E1428" t="s">
        <v>15</v>
      </c>
      <c r="F1428" t="s">
        <v>16</v>
      </c>
      <c r="G1428" s="1">
        <v>35972</v>
      </c>
      <c r="H1428" s="1">
        <v>38819</v>
      </c>
      <c r="I1428" t="s">
        <v>12</v>
      </c>
      <c r="J1428" t="s">
        <v>12198</v>
      </c>
    </row>
    <row r="1429" spans="1:10" x14ac:dyDescent="0.25">
      <c r="A1429">
        <v>254192</v>
      </c>
      <c r="B1429" t="s">
        <v>1514</v>
      </c>
      <c r="C1429" t="str">
        <f>"9780415191302"</f>
        <v>9780415191302</v>
      </c>
      <c r="D1429" t="str">
        <f>"9780203981610"</f>
        <v>9780203981610</v>
      </c>
      <c r="E1429" t="s">
        <v>15</v>
      </c>
      <c r="F1429" t="s">
        <v>16</v>
      </c>
      <c r="G1429" s="1">
        <v>36053</v>
      </c>
      <c r="H1429" s="1">
        <v>38824</v>
      </c>
      <c r="I1429" t="s">
        <v>12</v>
      </c>
      <c r="J1429" t="s">
        <v>12199</v>
      </c>
    </row>
    <row r="1430" spans="1:10" x14ac:dyDescent="0.25">
      <c r="A1430">
        <v>254201</v>
      </c>
      <c r="B1430" t="s">
        <v>1515</v>
      </c>
      <c r="C1430" t="str">
        <f>"9780415207065"</f>
        <v>9780415207065</v>
      </c>
      <c r="D1430" t="str">
        <f>"9780203995457"</f>
        <v>9780203995457</v>
      </c>
      <c r="E1430" t="s">
        <v>15</v>
      </c>
      <c r="F1430" t="s">
        <v>16</v>
      </c>
      <c r="G1430" s="1">
        <v>37112</v>
      </c>
      <c r="H1430" s="1">
        <v>38811</v>
      </c>
      <c r="I1430" t="s">
        <v>12</v>
      </c>
      <c r="J1430" t="s">
        <v>12200</v>
      </c>
    </row>
    <row r="1431" spans="1:10" x14ac:dyDescent="0.25">
      <c r="A1431">
        <v>254206</v>
      </c>
      <c r="B1431" t="s">
        <v>1516</v>
      </c>
      <c r="C1431" t="str">
        <f>"9780415221931"</f>
        <v>9780415221931</v>
      </c>
      <c r="D1431" t="str">
        <f>"9780203982563"</f>
        <v>9780203982563</v>
      </c>
      <c r="E1431" t="s">
        <v>15</v>
      </c>
      <c r="F1431" t="s">
        <v>16</v>
      </c>
      <c r="G1431" s="1">
        <v>36476</v>
      </c>
      <c r="H1431" s="1">
        <v>38825</v>
      </c>
      <c r="I1431" t="s">
        <v>12</v>
      </c>
      <c r="J1431" t="s">
        <v>12201</v>
      </c>
    </row>
    <row r="1432" spans="1:10" x14ac:dyDescent="0.25">
      <c r="A1432">
        <v>254218</v>
      </c>
      <c r="B1432" t="s">
        <v>1517</v>
      </c>
      <c r="C1432" t="str">
        <f>"9780415240482"</f>
        <v>9780415240482</v>
      </c>
      <c r="D1432" t="str">
        <f>"9780203987261"</f>
        <v>9780203987261</v>
      </c>
      <c r="E1432" t="s">
        <v>15</v>
      </c>
      <c r="F1432" t="s">
        <v>16</v>
      </c>
      <c r="G1432" s="1">
        <v>41773</v>
      </c>
      <c r="H1432" s="1">
        <v>38811</v>
      </c>
      <c r="I1432" t="s">
        <v>12</v>
      </c>
      <c r="J1432" t="s">
        <v>12202</v>
      </c>
    </row>
    <row r="1433" spans="1:10" x14ac:dyDescent="0.25">
      <c r="A1433">
        <v>254222</v>
      </c>
      <c r="B1433" t="s">
        <v>1518</v>
      </c>
      <c r="C1433" t="str">
        <f>"9780415250986"</f>
        <v>9780415250986</v>
      </c>
      <c r="D1433" t="str">
        <f>"9780203996836"</f>
        <v>9780203996836</v>
      </c>
      <c r="E1433" t="s">
        <v>15</v>
      </c>
      <c r="F1433" t="s">
        <v>16</v>
      </c>
      <c r="G1433" s="1">
        <v>37239</v>
      </c>
      <c r="H1433" s="1">
        <v>38819</v>
      </c>
      <c r="I1433" t="s">
        <v>12</v>
      </c>
      <c r="J1433" t="s">
        <v>12203</v>
      </c>
    </row>
    <row r="1434" spans="1:10" x14ac:dyDescent="0.25">
      <c r="A1434">
        <v>254231</v>
      </c>
      <c r="B1434" t="s">
        <v>1519</v>
      </c>
      <c r="C1434" t="str">
        <f>"9780415288675"</f>
        <v>9780415288675</v>
      </c>
      <c r="D1434" t="str">
        <f>"9780203099797"</f>
        <v>9780203099797</v>
      </c>
      <c r="E1434" t="s">
        <v>15</v>
      </c>
      <c r="F1434" t="s">
        <v>16</v>
      </c>
      <c r="G1434" s="1">
        <v>38663</v>
      </c>
      <c r="H1434" s="1">
        <v>38818</v>
      </c>
      <c r="I1434" t="s">
        <v>12</v>
      </c>
      <c r="J1434" t="s">
        <v>12204</v>
      </c>
    </row>
    <row r="1435" spans="1:10" x14ac:dyDescent="0.25">
      <c r="A1435">
        <v>254233</v>
      </c>
      <c r="B1435" t="s">
        <v>1520</v>
      </c>
      <c r="C1435" t="str">
        <f>"9780415297721"</f>
        <v>9780415297721</v>
      </c>
      <c r="D1435" t="str">
        <f>"9780203987551"</f>
        <v>9780203987551</v>
      </c>
      <c r="E1435" t="s">
        <v>15</v>
      </c>
      <c r="F1435" t="s">
        <v>16</v>
      </c>
      <c r="G1435" s="1">
        <v>37568</v>
      </c>
      <c r="H1435" s="1">
        <v>38834</v>
      </c>
      <c r="I1435" t="s">
        <v>12</v>
      </c>
      <c r="J1435" t="s">
        <v>12205</v>
      </c>
    </row>
    <row r="1436" spans="1:10" x14ac:dyDescent="0.25">
      <c r="A1436">
        <v>254238</v>
      </c>
      <c r="B1436" t="s">
        <v>1521</v>
      </c>
      <c r="C1436" t="str">
        <f>"9780415300612"</f>
        <v>9780415300612</v>
      </c>
      <c r="D1436" t="str">
        <f>"9780203624289"</f>
        <v>9780203624289</v>
      </c>
      <c r="E1436" t="s">
        <v>15</v>
      </c>
      <c r="F1436" t="s">
        <v>16</v>
      </c>
      <c r="G1436" s="1">
        <v>38232</v>
      </c>
      <c r="H1436" s="1">
        <v>38819</v>
      </c>
      <c r="I1436" t="s">
        <v>12</v>
      </c>
      <c r="J1436" t="s">
        <v>12206</v>
      </c>
    </row>
    <row r="1437" spans="1:10" x14ac:dyDescent="0.25">
      <c r="A1437">
        <v>254241</v>
      </c>
      <c r="B1437" t="s">
        <v>1522</v>
      </c>
      <c r="C1437" t="str">
        <f>"9780415309998"</f>
        <v>9780415309998</v>
      </c>
      <c r="D1437" t="str">
        <f>"9780203402702"</f>
        <v>9780203402702</v>
      </c>
      <c r="E1437" t="s">
        <v>144</v>
      </c>
      <c r="F1437" t="s">
        <v>144</v>
      </c>
      <c r="G1437" s="1">
        <v>38091</v>
      </c>
      <c r="H1437" s="1">
        <v>38825</v>
      </c>
      <c r="I1437" t="s">
        <v>12</v>
      </c>
      <c r="J1437" t="s">
        <v>12207</v>
      </c>
    </row>
    <row r="1438" spans="1:10" x14ac:dyDescent="0.25">
      <c r="A1438">
        <v>254242</v>
      </c>
      <c r="B1438" t="s">
        <v>1523</v>
      </c>
      <c r="C1438" t="str">
        <f>"9780415312073"</f>
        <v>9780415312073</v>
      </c>
      <c r="D1438" t="str">
        <f>"9780203087053"</f>
        <v>9780203087053</v>
      </c>
      <c r="E1438" t="s">
        <v>15</v>
      </c>
      <c r="F1438" t="s">
        <v>16</v>
      </c>
      <c r="G1438" s="1">
        <v>38516</v>
      </c>
      <c r="H1438" s="1">
        <v>38819</v>
      </c>
      <c r="I1438" t="s">
        <v>12</v>
      </c>
      <c r="J1438" t="s">
        <v>12208</v>
      </c>
    </row>
    <row r="1439" spans="1:10" x14ac:dyDescent="0.25">
      <c r="A1439">
        <v>254244</v>
      </c>
      <c r="B1439" t="s">
        <v>1524</v>
      </c>
      <c r="C1439" t="str">
        <f>"9780415318914"</f>
        <v>9780415318914</v>
      </c>
      <c r="D1439" t="str">
        <f>"9780203616734"</f>
        <v>9780203616734</v>
      </c>
      <c r="E1439" t="s">
        <v>15</v>
      </c>
      <c r="F1439" t="s">
        <v>16</v>
      </c>
      <c r="G1439" s="1">
        <v>38663</v>
      </c>
      <c r="H1439" s="1">
        <v>38837</v>
      </c>
      <c r="I1439" t="s">
        <v>12</v>
      </c>
      <c r="J1439" t="s">
        <v>12209</v>
      </c>
    </row>
    <row r="1440" spans="1:10" x14ac:dyDescent="0.25">
      <c r="A1440">
        <v>254249</v>
      </c>
      <c r="B1440" t="s">
        <v>1525</v>
      </c>
      <c r="C1440" t="str">
        <f>"9780415324953"</f>
        <v>9780415324953</v>
      </c>
      <c r="D1440" t="str">
        <f>"9780203086711"</f>
        <v>9780203086711</v>
      </c>
      <c r="E1440" t="s">
        <v>15</v>
      </c>
      <c r="F1440" t="s">
        <v>16</v>
      </c>
      <c r="G1440" s="1">
        <v>38491</v>
      </c>
      <c r="H1440" s="1">
        <v>38834</v>
      </c>
      <c r="I1440" t="s">
        <v>12</v>
      </c>
      <c r="J1440" t="s">
        <v>12210</v>
      </c>
    </row>
    <row r="1441" spans="1:10" x14ac:dyDescent="0.25">
      <c r="A1441">
        <v>254250</v>
      </c>
      <c r="B1441" t="s">
        <v>1526</v>
      </c>
      <c r="C1441" t="str">
        <f>"9780415327954"</f>
        <v>9780415327954</v>
      </c>
      <c r="D1441" t="str">
        <f>"9780203390788"</f>
        <v>9780203390788</v>
      </c>
      <c r="E1441" t="s">
        <v>15</v>
      </c>
      <c r="F1441" t="s">
        <v>16</v>
      </c>
      <c r="G1441" s="1">
        <v>38624</v>
      </c>
      <c r="H1441" s="1">
        <v>38824</v>
      </c>
      <c r="I1441" t="s">
        <v>12</v>
      </c>
      <c r="J1441" t="s">
        <v>12211</v>
      </c>
    </row>
    <row r="1442" spans="1:10" x14ac:dyDescent="0.25">
      <c r="A1442">
        <v>254256</v>
      </c>
      <c r="B1442" t="s">
        <v>1527</v>
      </c>
      <c r="C1442" t="str">
        <f>"9780415333245"</f>
        <v>9780415333245</v>
      </c>
      <c r="D1442" t="str">
        <f>"9780203412923"</f>
        <v>9780203412923</v>
      </c>
      <c r="E1442" t="s">
        <v>15</v>
      </c>
      <c r="F1442" t="s">
        <v>16</v>
      </c>
      <c r="G1442" s="1">
        <v>38622</v>
      </c>
      <c r="H1442" s="1">
        <v>38825</v>
      </c>
      <c r="I1442" t="s">
        <v>12</v>
      </c>
      <c r="J1442" t="s">
        <v>12212</v>
      </c>
    </row>
    <row r="1443" spans="1:10" x14ac:dyDescent="0.25">
      <c r="A1443">
        <v>254257</v>
      </c>
      <c r="B1443" t="s">
        <v>1528</v>
      </c>
      <c r="C1443" t="str">
        <f>"9780415333276"</f>
        <v>9780415333276</v>
      </c>
      <c r="D1443" t="str">
        <f>"9780203412947"</f>
        <v>9780203412947</v>
      </c>
      <c r="E1443" t="s">
        <v>15</v>
      </c>
      <c r="F1443" t="s">
        <v>16</v>
      </c>
      <c r="G1443" s="1">
        <v>38708</v>
      </c>
      <c r="H1443" s="1">
        <v>38834</v>
      </c>
      <c r="I1443" t="s">
        <v>12</v>
      </c>
      <c r="J1443" t="s">
        <v>12213</v>
      </c>
    </row>
    <row r="1444" spans="1:10" x14ac:dyDescent="0.25">
      <c r="A1444">
        <v>254260</v>
      </c>
      <c r="B1444" t="s">
        <v>1529</v>
      </c>
      <c r="C1444" t="str">
        <f>"9780415343121"</f>
        <v>9780415343121</v>
      </c>
      <c r="D1444" t="str">
        <f>"9780203482889"</f>
        <v>9780203482889</v>
      </c>
      <c r="E1444" t="s">
        <v>16</v>
      </c>
      <c r="F1444" t="s">
        <v>16</v>
      </c>
      <c r="G1444" s="1">
        <v>38464</v>
      </c>
      <c r="H1444" s="1">
        <v>39163</v>
      </c>
      <c r="I1444" t="s">
        <v>12</v>
      </c>
      <c r="J1444" t="s">
        <v>12214</v>
      </c>
    </row>
    <row r="1445" spans="1:10" x14ac:dyDescent="0.25">
      <c r="A1445">
        <v>254268</v>
      </c>
      <c r="B1445" t="s">
        <v>1530</v>
      </c>
      <c r="C1445" t="str">
        <f>"9780415348966"</f>
        <v>9780415348966</v>
      </c>
      <c r="D1445" t="str">
        <f>"9780203641125"</f>
        <v>9780203641125</v>
      </c>
      <c r="E1445" t="s">
        <v>16</v>
      </c>
      <c r="F1445" t="s">
        <v>16</v>
      </c>
      <c r="G1445" s="1">
        <v>38534</v>
      </c>
      <c r="H1445" s="1">
        <v>39170</v>
      </c>
      <c r="I1445" t="s">
        <v>12</v>
      </c>
      <c r="J1445" t="s">
        <v>12215</v>
      </c>
    </row>
    <row r="1446" spans="1:10" x14ac:dyDescent="0.25">
      <c r="A1446">
        <v>254270</v>
      </c>
      <c r="B1446" t="s">
        <v>1531</v>
      </c>
      <c r="C1446" t="str">
        <f>"9780415349789"</f>
        <v>9780415349789</v>
      </c>
      <c r="D1446" t="str">
        <f>"9780203696224"</f>
        <v>9780203696224</v>
      </c>
      <c r="E1446" t="s">
        <v>15</v>
      </c>
      <c r="F1446" t="s">
        <v>16</v>
      </c>
      <c r="G1446" s="1">
        <v>38666</v>
      </c>
      <c r="H1446" s="1">
        <v>38824</v>
      </c>
      <c r="I1446" t="s">
        <v>12</v>
      </c>
      <c r="J1446" t="s">
        <v>12216</v>
      </c>
    </row>
    <row r="1447" spans="1:10" x14ac:dyDescent="0.25">
      <c r="A1447">
        <v>254271</v>
      </c>
      <c r="B1447" t="s">
        <v>1532</v>
      </c>
      <c r="C1447" t="str">
        <f>"9780415350013"</f>
        <v>9780415350013</v>
      </c>
      <c r="D1447" t="str">
        <f>"9780203687185"</f>
        <v>9780203687185</v>
      </c>
      <c r="E1447" t="s">
        <v>15</v>
      </c>
      <c r="F1447" t="s">
        <v>16</v>
      </c>
      <c r="G1447" s="1">
        <v>38622</v>
      </c>
      <c r="H1447" s="1">
        <v>38834</v>
      </c>
      <c r="I1447" t="s">
        <v>12</v>
      </c>
      <c r="J1447" t="s">
        <v>12217</v>
      </c>
    </row>
    <row r="1448" spans="1:10" x14ac:dyDescent="0.25">
      <c r="A1448">
        <v>254273</v>
      </c>
      <c r="B1448" t="s">
        <v>1533</v>
      </c>
      <c r="C1448" t="str">
        <f>"9780415351195"</f>
        <v>9780415351195</v>
      </c>
      <c r="D1448" t="str">
        <f>"9780203696804"</f>
        <v>9780203696804</v>
      </c>
      <c r="E1448" t="s">
        <v>15</v>
      </c>
      <c r="F1448" t="s">
        <v>16</v>
      </c>
      <c r="G1448" s="1">
        <v>38666</v>
      </c>
      <c r="H1448" s="1">
        <v>38809</v>
      </c>
      <c r="I1448" t="s">
        <v>12</v>
      </c>
      <c r="J1448" t="s">
        <v>12218</v>
      </c>
    </row>
    <row r="1449" spans="1:10" x14ac:dyDescent="0.25">
      <c r="A1449">
        <v>254274</v>
      </c>
      <c r="B1449" t="s">
        <v>1534</v>
      </c>
      <c r="C1449" t="str">
        <f>"9780415351515"</f>
        <v>9780415351515</v>
      </c>
      <c r="D1449" t="str">
        <f>"9780203698310"</f>
        <v>9780203698310</v>
      </c>
      <c r="E1449" t="s">
        <v>15</v>
      </c>
      <c r="F1449" t="s">
        <v>16</v>
      </c>
      <c r="G1449" s="1">
        <v>38626</v>
      </c>
      <c r="H1449" s="1">
        <v>38834</v>
      </c>
      <c r="I1449" t="s">
        <v>12</v>
      </c>
      <c r="J1449" t="s">
        <v>12219</v>
      </c>
    </row>
    <row r="1450" spans="1:10" x14ac:dyDescent="0.25">
      <c r="A1450">
        <v>254277</v>
      </c>
      <c r="B1450" t="s">
        <v>1535</v>
      </c>
      <c r="C1450" t="str">
        <f>"9780415352345"</f>
        <v>9780415352345</v>
      </c>
      <c r="D1450" t="str">
        <f>"9780203698945"</f>
        <v>9780203698945</v>
      </c>
      <c r="E1450" t="s">
        <v>15</v>
      </c>
      <c r="F1450" t="s">
        <v>16</v>
      </c>
      <c r="G1450" s="1">
        <v>38743</v>
      </c>
      <c r="H1450" s="1">
        <v>38809</v>
      </c>
      <c r="I1450" t="s">
        <v>12</v>
      </c>
      <c r="J1450" t="s">
        <v>12220</v>
      </c>
    </row>
    <row r="1451" spans="1:10" x14ac:dyDescent="0.25">
      <c r="A1451">
        <v>254281</v>
      </c>
      <c r="B1451" t="s">
        <v>1536</v>
      </c>
      <c r="C1451" t="str">
        <f>"9780415353748"</f>
        <v>9780415353748</v>
      </c>
      <c r="D1451" t="str">
        <f>"9780203347089"</f>
        <v>9780203347089</v>
      </c>
      <c r="E1451" t="s">
        <v>15</v>
      </c>
      <c r="F1451" t="s">
        <v>16</v>
      </c>
      <c r="G1451" s="1">
        <v>38666</v>
      </c>
      <c r="H1451" s="1">
        <v>38812</v>
      </c>
      <c r="I1451" t="s">
        <v>12</v>
      </c>
      <c r="J1451" t="s">
        <v>12221</v>
      </c>
    </row>
    <row r="1452" spans="1:10" x14ac:dyDescent="0.25">
      <c r="A1452">
        <v>254282</v>
      </c>
      <c r="B1452" t="s">
        <v>1537</v>
      </c>
      <c r="C1452" t="str">
        <f>"9780415354295"</f>
        <v>9780415354295</v>
      </c>
      <c r="D1452" t="str">
        <f>"9780203018767"</f>
        <v>9780203018767</v>
      </c>
      <c r="E1452" t="s">
        <v>15</v>
      </c>
      <c r="F1452" t="s">
        <v>16</v>
      </c>
      <c r="G1452" s="1">
        <v>38546</v>
      </c>
      <c r="H1452" s="1">
        <v>38818</v>
      </c>
      <c r="I1452" t="s">
        <v>12</v>
      </c>
      <c r="J1452" t="s">
        <v>12222</v>
      </c>
    </row>
    <row r="1453" spans="1:10" x14ac:dyDescent="0.25">
      <c r="A1453">
        <v>254284</v>
      </c>
      <c r="B1453" t="s">
        <v>1538</v>
      </c>
      <c r="C1453" t="str">
        <f>"9780415355018"</f>
        <v>9780415355018</v>
      </c>
      <c r="D1453" t="str">
        <f>"9780203001608"</f>
        <v>9780203001608</v>
      </c>
      <c r="E1453" t="s">
        <v>15</v>
      </c>
      <c r="F1453" t="s">
        <v>16</v>
      </c>
      <c r="G1453" s="1">
        <v>38698</v>
      </c>
      <c r="H1453" s="1">
        <v>38810</v>
      </c>
      <c r="I1453" t="s">
        <v>12</v>
      </c>
      <c r="J1453" t="s">
        <v>12223</v>
      </c>
    </row>
    <row r="1454" spans="1:10" x14ac:dyDescent="0.25">
      <c r="A1454">
        <v>254287</v>
      </c>
      <c r="B1454" t="s">
        <v>1539</v>
      </c>
      <c r="C1454" t="str">
        <f>"9780415355353"</f>
        <v>9780415355353</v>
      </c>
      <c r="D1454" t="str">
        <f>"9780203001653"</f>
        <v>9780203001653</v>
      </c>
      <c r="E1454" t="s">
        <v>15</v>
      </c>
      <c r="F1454" t="s">
        <v>16</v>
      </c>
      <c r="G1454" s="1">
        <v>38698</v>
      </c>
      <c r="H1454" s="1">
        <v>38834</v>
      </c>
      <c r="I1454" t="s">
        <v>12</v>
      </c>
      <c r="J1454" t="s">
        <v>12224</v>
      </c>
    </row>
    <row r="1455" spans="1:10" x14ac:dyDescent="0.25">
      <c r="A1455">
        <v>254299</v>
      </c>
      <c r="B1455" t="s">
        <v>1540</v>
      </c>
      <c r="C1455" t="str">
        <f>"9780415357579"</f>
        <v>9780415357579</v>
      </c>
      <c r="D1455" t="str">
        <f>"9780203003411"</f>
        <v>9780203003411</v>
      </c>
      <c r="E1455" t="s">
        <v>15</v>
      </c>
      <c r="F1455" t="s">
        <v>16</v>
      </c>
      <c r="G1455" s="1">
        <v>38657</v>
      </c>
      <c r="H1455" s="1">
        <v>38834</v>
      </c>
      <c r="I1455" t="s">
        <v>12</v>
      </c>
      <c r="J1455" t="s">
        <v>12225</v>
      </c>
    </row>
    <row r="1456" spans="1:10" x14ac:dyDescent="0.25">
      <c r="A1456">
        <v>254300</v>
      </c>
      <c r="B1456" t="s">
        <v>1541</v>
      </c>
      <c r="C1456" t="str">
        <f>"9780415358132"</f>
        <v>9780415358132</v>
      </c>
      <c r="D1456" t="str">
        <f>"9780203004449"</f>
        <v>9780203004449</v>
      </c>
      <c r="E1456" t="s">
        <v>15</v>
      </c>
      <c r="F1456" t="s">
        <v>16</v>
      </c>
      <c r="G1456" s="1">
        <v>38686</v>
      </c>
      <c r="H1456" s="1">
        <v>38818</v>
      </c>
      <c r="I1456" t="s">
        <v>12</v>
      </c>
      <c r="J1456" t="s">
        <v>12226</v>
      </c>
    </row>
    <row r="1457" spans="1:10" x14ac:dyDescent="0.25">
      <c r="A1457">
        <v>254304</v>
      </c>
      <c r="B1457" t="s">
        <v>1542</v>
      </c>
      <c r="C1457" t="str">
        <f>"9780415358583"</f>
        <v>9780415358583</v>
      </c>
      <c r="D1457" t="str">
        <f>"9780203004791"</f>
        <v>9780203004791</v>
      </c>
      <c r="E1457" t="s">
        <v>144</v>
      </c>
      <c r="F1457" t="s">
        <v>16</v>
      </c>
      <c r="G1457" s="1">
        <v>38622</v>
      </c>
      <c r="H1457" s="1">
        <v>38812</v>
      </c>
      <c r="I1457" t="s">
        <v>12</v>
      </c>
      <c r="J1457" t="s">
        <v>12227</v>
      </c>
    </row>
    <row r="1458" spans="1:10" x14ac:dyDescent="0.25">
      <c r="A1458">
        <v>254310</v>
      </c>
      <c r="B1458" t="s">
        <v>1543</v>
      </c>
      <c r="C1458" t="str">
        <f>"9780415359054"</f>
        <v>9780415359054</v>
      </c>
      <c r="D1458" t="str">
        <f>"9780203006986"</f>
        <v>9780203006986</v>
      </c>
      <c r="E1458" t="s">
        <v>15</v>
      </c>
      <c r="F1458" t="s">
        <v>153</v>
      </c>
      <c r="G1458" s="1">
        <v>38601</v>
      </c>
      <c r="H1458" s="1">
        <v>39163</v>
      </c>
      <c r="I1458" t="s">
        <v>12</v>
      </c>
      <c r="J1458" t="s">
        <v>12228</v>
      </c>
    </row>
    <row r="1459" spans="1:10" x14ac:dyDescent="0.25">
      <c r="A1459">
        <v>254311</v>
      </c>
      <c r="B1459" t="s">
        <v>1544</v>
      </c>
      <c r="C1459" t="str">
        <f>"9780415359078"</f>
        <v>9780415359078</v>
      </c>
      <c r="D1459" t="str">
        <f>"9780203006931"</f>
        <v>9780203006931</v>
      </c>
      <c r="E1459" t="s">
        <v>15</v>
      </c>
      <c r="F1459" t="s">
        <v>16</v>
      </c>
      <c r="G1459" s="1">
        <v>38341</v>
      </c>
      <c r="H1459" s="1">
        <v>38837</v>
      </c>
      <c r="I1459" t="s">
        <v>12</v>
      </c>
      <c r="J1459" t="s">
        <v>12229</v>
      </c>
    </row>
    <row r="1460" spans="1:10" x14ac:dyDescent="0.25">
      <c r="A1460">
        <v>254313</v>
      </c>
      <c r="B1460" t="s">
        <v>1545</v>
      </c>
      <c r="C1460" t="str">
        <f>"9780415359610"</f>
        <v>9780415359610</v>
      </c>
      <c r="D1460" t="str">
        <f>"9780203007556"</f>
        <v>9780203007556</v>
      </c>
      <c r="E1460" t="s">
        <v>15</v>
      </c>
      <c r="F1460" t="s">
        <v>16</v>
      </c>
      <c r="G1460" s="1">
        <v>38646</v>
      </c>
      <c r="H1460" s="1">
        <v>38811</v>
      </c>
      <c r="I1460" t="s">
        <v>12</v>
      </c>
      <c r="J1460" t="s">
        <v>12230</v>
      </c>
    </row>
    <row r="1461" spans="1:10" x14ac:dyDescent="0.25">
      <c r="A1461">
        <v>254326</v>
      </c>
      <c r="B1461" t="s">
        <v>1546</v>
      </c>
      <c r="C1461" t="str">
        <f>"9780415361224"</f>
        <v>9780415361224</v>
      </c>
      <c r="D1461" t="str">
        <f>"9780203008683"</f>
        <v>9780203008683</v>
      </c>
      <c r="E1461" t="s">
        <v>15</v>
      </c>
      <c r="F1461" t="s">
        <v>16</v>
      </c>
      <c r="G1461" s="1">
        <v>38662</v>
      </c>
      <c r="H1461" s="1">
        <v>38834</v>
      </c>
      <c r="I1461" t="s">
        <v>12</v>
      </c>
      <c r="J1461" t="s">
        <v>12231</v>
      </c>
    </row>
    <row r="1462" spans="1:10" x14ac:dyDescent="0.25">
      <c r="A1462">
        <v>254338</v>
      </c>
      <c r="B1462" t="s">
        <v>1547</v>
      </c>
      <c r="C1462" t="str">
        <f>"9780415363914"</f>
        <v>9780415363914</v>
      </c>
      <c r="D1462" t="str">
        <f>"9780203015100"</f>
        <v>9780203015100</v>
      </c>
      <c r="E1462" t="s">
        <v>15</v>
      </c>
      <c r="F1462" t="s">
        <v>16</v>
      </c>
      <c r="G1462" s="1">
        <v>38838</v>
      </c>
      <c r="H1462" s="1">
        <v>38818</v>
      </c>
      <c r="I1462" t="s">
        <v>12</v>
      </c>
      <c r="J1462" t="s">
        <v>12232</v>
      </c>
    </row>
    <row r="1463" spans="1:10" x14ac:dyDescent="0.25">
      <c r="A1463">
        <v>254341</v>
      </c>
      <c r="B1463" t="s">
        <v>1548</v>
      </c>
      <c r="C1463" t="str">
        <f>"9780415364843"</f>
        <v>9780415364843</v>
      </c>
      <c r="D1463" t="str">
        <f>"9780203015858"</f>
        <v>9780203015858</v>
      </c>
      <c r="E1463" t="s">
        <v>15</v>
      </c>
      <c r="F1463" t="s">
        <v>16</v>
      </c>
      <c r="G1463" s="1">
        <v>38644</v>
      </c>
      <c r="H1463" s="1">
        <v>38834</v>
      </c>
      <c r="I1463" t="s">
        <v>12</v>
      </c>
      <c r="J1463" t="s">
        <v>12233</v>
      </c>
    </row>
    <row r="1464" spans="1:10" x14ac:dyDescent="0.25">
      <c r="A1464">
        <v>254345</v>
      </c>
      <c r="B1464" t="s">
        <v>1549</v>
      </c>
      <c r="C1464" t="str">
        <f>"9780415365840"</f>
        <v>9780415365840</v>
      </c>
      <c r="D1464" t="str">
        <f>"9780203018378"</f>
        <v>9780203018378</v>
      </c>
      <c r="E1464" t="s">
        <v>15</v>
      </c>
      <c r="F1464" t="s">
        <v>16</v>
      </c>
      <c r="G1464" s="1">
        <v>38615</v>
      </c>
      <c r="H1464" s="1">
        <v>38811</v>
      </c>
      <c r="I1464" t="s">
        <v>12</v>
      </c>
      <c r="J1464" t="s">
        <v>12234</v>
      </c>
    </row>
    <row r="1465" spans="1:10" x14ac:dyDescent="0.25">
      <c r="A1465">
        <v>254350</v>
      </c>
      <c r="B1465" t="s">
        <v>1550</v>
      </c>
      <c r="C1465" t="str">
        <f>"9780415366878"</f>
        <v>9780415366878</v>
      </c>
      <c r="D1465" t="str">
        <f>"9780203019597"</f>
        <v>9780203019597</v>
      </c>
      <c r="E1465" t="s">
        <v>15</v>
      </c>
      <c r="F1465" t="s">
        <v>16</v>
      </c>
      <c r="G1465" s="1">
        <v>38666</v>
      </c>
      <c r="H1465" s="1">
        <v>38834</v>
      </c>
      <c r="I1465" t="s">
        <v>12</v>
      </c>
      <c r="J1465" t="s">
        <v>12235</v>
      </c>
    </row>
    <row r="1466" spans="1:10" x14ac:dyDescent="0.25">
      <c r="A1466">
        <v>254354</v>
      </c>
      <c r="B1466" t="s">
        <v>1551</v>
      </c>
      <c r="C1466" t="str">
        <f>"9780415368124"</f>
        <v>9780415368124</v>
      </c>
      <c r="D1466" t="str">
        <f>"9780203027899"</f>
        <v>9780203027899</v>
      </c>
      <c r="E1466" t="s">
        <v>16</v>
      </c>
      <c r="F1466" t="s">
        <v>16</v>
      </c>
      <c r="G1466" s="1">
        <v>38786</v>
      </c>
      <c r="H1466" s="1">
        <v>38834</v>
      </c>
      <c r="I1466" t="s">
        <v>12</v>
      </c>
      <c r="J1466" t="s">
        <v>12236</v>
      </c>
    </row>
    <row r="1467" spans="1:10" x14ac:dyDescent="0.25">
      <c r="A1467">
        <v>254360</v>
      </c>
      <c r="B1467" t="s">
        <v>1552</v>
      </c>
      <c r="C1467" t="str">
        <f>"9780415369299"</f>
        <v>9780415369299</v>
      </c>
      <c r="D1467" t="str">
        <f>"9780203029534"</f>
        <v>9780203029534</v>
      </c>
      <c r="E1467" t="s">
        <v>15</v>
      </c>
      <c r="F1467" t="s">
        <v>16</v>
      </c>
      <c r="G1467" s="1">
        <v>38646</v>
      </c>
      <c r="H1467" s="1">
        <v>38809</v>
      </c>
      <c r="I1467" t="s">
        <v>12</v>
      </c>
      <c r="J1467" t="s">
        <v>12237</v>
      </c>
    </row>
    <row r="1468" spans="1:10" x14ac:dyDescent="0.25">
      <c r="A1468">
        <v>254365</v>
      </c>
      <c r="B1468" t="s">
        <v>1553</v>
      </c>
      <c r="C1468" t="str">
        <f>"9780415373180"</f>
        <v>9780415373180</v>
      </c>
      <c r="D1468" t="str">
        <f>"9780203087794"</f>
        <v>9780203087794</v>
      </c>
      <c r="E1468" t="s">
        <v>16</v>
      </c>
      <c r="F1468" t="s">
        <v>16</v>
      </c>
      <c r="G1468" s="1">
        <v>38540</v>
      </c>
      <c r="H1468" s="1">
        <v>39163</v>
      </c>
      <c r="I1468" t="s">
        <v>12</v>
      </c>
      <c r="J1468" t="s">
        <v>12238</v>
      </c>
    </row>
    <row r="1469" spans="1:10" x14ac:dyDescent="0.25">
      <c r="A1469">
        <v>254370</v>
      </c>
      <c r="B1469" t="s">
        <v>1554</v>
      </c>
      <c r="C1469" t="str">
        <f>"9780415700740"</f>
        <v>9780415700740</v>
      </c>
      <c r="D1469" t="str">
        <f>"9780203479469"</f>
        <v>9780203479469</v>
      </c>
      <c r="E1469" t="s">
        <v>15</v>
      </c>
      <c r="F1469" t="s">
        <v>16</v>
      </c>
      <c r="G1469" s="1">
        <v>38708</v>
      </c>
      <c r="H1469" s="1">
        <v>38825</v>
      </c>
      <c r="I1469" t="s">
        <v>12</v>
      </c>
      <c r="J1469" t="s">
        <v>12239</v>
      </c>
    </row>
    <row r="1470" spans="1:10" x14ac:dyDescent="0.25">
      <c r="A1470">
        <v>254414</v>
      </c>
      <c r="B1470" t="s">
        <v>1555</v>
      </c>
      <c r="C1470" t="str">
        <f>"9780750707282"</f>
        <v>9780750707282</v>
      </c>
      <c r="D1470" t="str">
        <f>"9780203974865"</f>
        <v>9780203974865</v>
      </c>
      <c r="E1470" t="s">
        <v>15</v>
      </c>
      <c r="F1470" t="s">
        <v>16</v>
      </c>
      <c r="G1470" s="1">
        <v>38685</v>
      </c>
      <c r="H1470" s="1">
        <v>38818</v>
      </c>
      <c r="I1470" t="s">
        <v>12</v>
      </c>
      <c r="J1470" t="s">
        <v>12240</v>
      </c>
    </row>
    <row r="1471" spans="1:10" x14ac:dyDescent="0.25">
      <c r="A1471">
        <v>254416</v>
      </c>
      <c r="B1471" t="s">
        <v>1556</v>
      </c>
      <c r="C1471" t="str">
        <f>"9780750708500"</f>
        <v>9780750708500</v>
      </c>
      <c r="D1471" t="str">
        <f>"9780203979785"</f>
        <v>9780203979785</v>
      </c>
      <c r="E1471" t="s">
        <v>15</v>
      </c>
      <c r="F1471" t="s">
        <v>16</v>
      </c>
      <c r="G1471" s="1">
        <v>36888</v>
      </c>
      <c r="H1471" s="1">
        <v>38812</v>
      </c>
      <c r="I1471" t="s">
        <v>12</v>
      </c>
      <c r="J1471" t="s">
        <v>12241</v>
      </c>
    </row>
    <row r="1472" spans="1:10" x14ac:dyDescent="0.25">
      <c r="A1472">
        <v>254421</v>
      </c>
      <c r="B1472" t="s">
        <v>1557</v>
      </c>
      <c r="C1472" t="str">
        <f>"9780824740238"</f>
        <v>9780824740238</v>
      </c>
      <c r="D1472" t="str">
        <f>"9780203021408"</f>
        <v>9780203021408</v>
      </c>
      <c r="E1472" t="s">
        <v>144</v>
      </c>
      <c r="F1472" t="s">
        <v>144</v>
      </c>
      <c r="G1472" s="1">
        <v>38131</v>
      </c>
      <c r="H1472" s="1">
        <v>38824</v>
      </c>
      <c r="I1472" t="s">
        <v>12</v>
      </c>
      <c r="J1472" t="s">
        <v>12242</v>
      </c>
    </row>
    <row r="1473" spans="1:10" x14ac:dyDescent="0.25">
      <c r="A1473">
        <v>254441</v>
      </c>
      <c r="B1473" t="s">
        <v>1558</v>
      </c>
      <c r="C1473" t="str">
        <f>"9780415128254"</f>
        <v>9780415128254</v>
      </c>
      <c r="D1473" t="str">
        <f>"9780203975251"</f>
        <v>9780203975251</v>
      </c>
      <c r="E1473" t="s">
        <v>15</v>
      </c>
      <c r="F1473" t="s">
        <v>16</v>
      </c>
      <c r="G1473" s="1">
        <v>35517</v>
      </c>
      <c r="H1473" s="1">
        <v>38825</v>
      </c>
      <c r="I1473" t="s">
        <v>12</v>
      </c>
      <c r="J1473" t="s">
        <v>12243</v>
      </c>
    </row>
    <row r="1474" spans="1:10" x14ac:dyDescent="0.25">
      <c r="A1474">
        <v>254442</v>
      </c>
      <c r="B1474" t="s">
        <v>1559</v>
      </c>
      <c r="C1474" t="str">
        <f>"9780415132046"</f>
        <v>9780415132046</v>
      </c>
      <c r="D1474" t="str">
        <f>"9780203980187"</f>
        <v>9780203980187</v>
      </c>
      <c r="E1474" t="s">
        <v>15</v>
      </c>
      <c r="F1474" t="s">
        <v>16</v>
      </c>
      <c r="G1474" s="1">
        <v>35404</v>
      </c>
      <c r="H1474" s="1">
        <v>38812</v>
      </c>
      <c r="I1474" t="s">
        <v>12</v>
      </c>
      <c r="J1474" t="s">
        <v>12244</v>
      </c>
    </row>
    <row r="1475" spans="1:10" x14ac:dyDescent="0.25">
      <c r="A1475">
        <v>254450</v>
      </c>
      <c r="B1475" t="s">
        <v>1560</v>
      </c>
      <c r="C1475" t="str">
        <f>"9780415341288"</f>
        <v>9780415341288</v>
      </c>
      <c r="D1475" t="str">
        <f>"9780203479292"</f>
        <v>9780203479292</v>
      </c>
      <c r="E1475" t="s">
        <v>15</v>
      </c>
      <c r="F1475" t="s">
        <v>16</v>
      </c>
      <c r="G1475" s="1">
        <v>38644</v>
      </c>
      <c r="H1475" s="1">
        <v>38811</v>
      </c>
      <c r="I1475" t="s">
        <v>12</v>
      </c>
      <c r="J1475" t="s">
        <v>12245</v>
      </c>
    </row>
    <row r="1476" spans="1:10" x14ac:dyDescent="0.25">
      <c r="A1476">
        <v>254453</v>
      </c>
      <c r="B1476" t="s">
        <v>1561</v>
      </c>
      <c r="C1476" t="str">
        <f>"9780415701068"</f>
        <v>9780415701068</v>
      </c>
      <c r="D1476" t="str">
        <f>"9780203799604"</f>
        <v>9780203799604</v>
      </c>
      <c r="E1476" t="s">
        <v>15</v>
      </c>
      <c r="F1476" t="s">
        <v>16</v>
      </c>
      <c r="G1476" s="1">
        <v>38730</v>
      </c>
      <c r="H1476" s="1">
        <v>38810</v>
      </c>
      <c r="I1476" t="s">
        <v>12</v>
      </c>
      <c r="J1476" t="s">
        <v>12246</v>
      </c>
    </row>
    <row r="1477" spans="1:10" x14ac:dyDescent="0.25">
      <c r="A1477">
        <v>254481</v>
      </c>
      <c r="B1477" t="s">
        <v>1562</v>
      </c>
      <c r="C1477" t="str">
        <f>"9780824741204"</f>
        <v>9780824741204</v>
      </c>
      <c r="D1477" t="str">
        <f>"9780203911297"</f>
        <v>9780203911297</v>
      </c>
      <c r="E1477" t="s">
        <v>15</v>
      </c>
      <c r="F1477" t="s">
        <v>153</v>
      </c>
      <c r="G1477" s="1">
        <v>37545</v>
      </c>
      <c r="H1477" s="1">
        <v>38818</v>
      </c>
      <c r="I1477" t="s">
        <v>12</v>
      </c>
      <c r="J1477" t="s">
        <v>12247</v>
      </c>
    </row>
    <row r="1478" spans="1:10" x14ac:dyDescent="0.25">
      <c r="A1478">
        <v>254489</v>
      </c>
      <c r="B1478" t="s">
        <v>1563</v>
      </c>
      <c r="C1478" t="str">
        <f>"9781583911112"</f>
        <v>9781583911112</v>
      </c>
      <c r="D1478" t="str">
        <f>"9780203087954"</f>
        <v>9780203087954</v>
      </c>
      <c r="E1478" t="s">
        <v>15</v>
      </c>
      <c r="F1478" t="s">
        <v>16</v>
      </c>
      <c r="G1478" s="1">
        <v>38670</v>
      </c>
      <c r="H1478" s="1">
        <v>38819</v>
      </c>
      <c r="I1478" t="s">
        <v>12</v>
      </c>
      <c r="J1478" t="s">
        <v>12248</v>
      </c>
    </row>
    <row r="1479" spans="1:10" x14ac:dyDescent="0.25">
      <c r="A1479">
        <v>254492</v>
      </c>
      <c r="B1479" t="s">
        <v>1564</v>
      </c>
      <c r="C1479" t="str">
        <f>"9781841695464"</f>
        <v>9781841695464</v>
      </c>
      <c r="D1479" t="str">
        <f>"9780203000953"</f>
        <v>9780203000953</v>
      </c>
      <c r="E1479" t="s">
        <v>15</v>
      </c>
      <c r="F1479" t="s">
        <v>55</v>
      </c>
      <c r="G1479" s="1">
        <v>38730</v>
      </c>
      <c r="H1479" s="1">
        <v>38810</v>
      </c>
      <c r="I1479" t="s">
        <v>12</v>
      </c>
      <c r="J1479" t="s">
        <v>12249</v>
      </c>
    </row>
    <row r="1480" spans="1:10" x14ac:dyDescent="0.25">
      <c r="A1480">
        <v>254493</v>
      </c>
      <c r="B1480" t="s">
        <v>1565</v>
      </c>
      <c r="C1480" t="str">
        <f>"9781841695556"</f>
        <v>9781841695556</v>
      </c>
      <c r="D1480" t="str">
        <f>"9780203008294"</f>
        <v>9780203008294</v>
      </c>
      <c r="E1480" t="s">
        <v>15</v>
      </c>
      <c r="F1480" t="s">
        <v>55</v>
      </c>
      <c r="G1480" s="1">
        <v>38677</v>
      </c>
      <c r="H1480" s="1">
        <v>38811</v>
      </c>
      <c r="I1480" t="s">
        <v>12</v>
      </c>
      <c r="J1480" t="s">
        <v>12250</v>
      </c>
    </row>
    <row r="1481" spans="1:10" x14ac:dyDescent="0.25">
      <c r="A1481">
        <v>254516</v>
      </c>
      <c r="B1481" t="s">
        <v>1566</v>
      </c>
      <c r="C1481" t="str">
        <f>"9789026519598"</f>
        <v>9789026519598</v>
      </c>
      <c r="D1481" t="str">
        <f>"9780203971055"</f>
        <v>9780203971055</v>
      </c>
      <c r="E1481" t="s">
        <v>144</v>
      </c>
      <c r="F1481" t="s">
        <v>153</v>
      </c>
      <c r="G1481" s="1">
        <v>37622</v>
      </c>
      <c r="H1481" s="1">
        <v>38818</v>
      </c>
      <c r="I1481" t="s">
        <v>12</v>
      </c>
      <c r="J1481" t="s">
        <v>12251</v>
      </c>
    </row>
    <row r="1482" spans="1:10" x14ac:dyDescent="0.25">
      <c r="A1482">
        <v>254536</v>
      </c>
      <c r="B1482" t="s">
        <v>1567</v>
      </c>
      <c r="C1482" t="str">
        <f>"9781583912768"</f>
        <v>9781583912768</v>
      </c>
      <c r="D1482" t="str">
        <f>"9780203989159"</f>
        <v>9780203989159</v>
      </c>
      <c r="E1482" t="s">
        <v>15</v>
      </c>
      <c r="F1482" t="s">
        <v>16</v>
      </c>
      <c r="G1482" s="1">
        <v>37456</v>
      </c>
      <c r="H1482" s="1">
        <v>38825</v>
      </c>
      <c r="I1482" t="s">
        <v>12</v>
      </c>
      <c r="J1482" t="s">
        <v>12252</v>
      </c>
    </row>
    <row r="1483" spans="1:10" x14ac:dyDescent="0.25">
      <c r="A1483">
        <v>254587</v>
      </c>
      <c r="B1483" t="s">
        <v>1568</v>
      </c>
      <c r="C1483" t="str">
        <f>"9780761941675"</f>
        <v>9780761941675</v>
      </c>
      <c r="D1483" t="str">
        <f>"9781412933698"</f>
        <v>9781412933698</v>
      </c>
      <c r="E1483" t="s">
        <v>1569</v>
      </c>
      <c r="F1483" t="s">
        <v>1570</v>
      </c>
      <c r="G1483" s="1">
        <v>38114</v>
      </c>
      <c r="H1483" s="1">
        <v>38834</v>
      </c>
      <c r="I1483" t="s">
        <v>12</v>
      </c>
      <c r="J1483" t="s">
        <v>12253</v>
      </c>
    </row>
    <row r="1484" spans="1:10" x14ac:dyDescent="0.25">
      <c r="A1484">
        <v>254591</v>
      </c>
      <c r="B1484" t="s">
        <v>1571</v>
      </c>
      <c r="C1484" t="str">
        <f>"9780761942542"</f>
        <v>9780761942542</v>
      </c>
      <c r="D1484" t="str">
        <f>"9781412932899"</f>
        <v>9781412932899</v>
      </c>
      <c r="E1484" t="s">
        <v>1569</v>
      </c>
      <c r="F1484" t="s">
        <v>1570</v>
      </c>
      <c r="G1484" s="1">
        <v>38035</v>
      </c>
      <c r="H1484" s="1">
        <v>38830</v>
      </c>
      <c r="I1484" t="s">
        <v>12</v>
      </c>
      <c r="J1484" t="s">
        <v>12254</v>
      </c>
    </row>
    <row r="1485" spans="1:10" x14ac:dyDescent="0.25">
      <c r="A1485">
        <v>254603</v>
      </c>
      <c r="B1485" t="s">
        <v>1572</v>
      </c>
      <c r="C1485" t="str">
        <f>"9780761943860"</f>
        <v>9780761943860</v>
      </c>
      <c r="D1485" t="str">
        <f>"9781412931335"</f>
        <v>9781412931335</v>
      </c>
      <c r="E1485" t="s">
        <v>1569</v>
      </c>
      <c r="F1485" t="s">
        <v>1570</v>
      </c>
      <c r="G1485" s="1">
        <v>38062</v>
      </c>
      <c r="H1485" s="1">
        <v>38830</v>
      </c>
      <c r="I1485" t="s">
        <v>12</v>
      </c>
      <c r="J1485" t="s">
        <v>12255</v>
      </c>
    </row>
    <row r="1486" spans="1:10" x14ac:dyDescent="0.25">
      <c r="A1486">
        <v>254739</v>
      </c>
      <c r="B1486" t="s">
        <v>1573</v>
      </c>
      <c r="C1486" t="str">
        <f>"9780761966500"</f>
        <v>9780761966500</v>
      </c>
      <c r="D1486" t="str">
        <f>"9781412933278"</f>
        <v>9781412933278</v>
      </c>
      <c r="E1486" t="s">
        <v>1569</v>
      </c>
      <c r="F1486" t="s">
        <v>1570</v>
      </c>
      <c r="G1486" s="1">
        <v>37131</v>
      </c>
      <c r="H1486" s="1">
        <v>38834</v>
      </c>
      <c r="I1486" t="s">
        <v>12</v>
      </c>
      <c r="J1486" t="s">
        <v>12256</v>
      </c>
    </row>
    <row r="1487" spans="1:10" x14ac:dyDescent="0.25">
      <c r="A1487">
        <v>254746</v>
      </c>
      <c r="B1487" t="s">
        <v>1574</v>
      </c>
      <c r="C1487" t="str">
        <f>"9780761966852"</f>
        <v>9780761966852</v>
      </c>
      <c r="D1487" t="str">
        <f>"9781412933612"</f>
        <v>9781412933612</v>
      </c>
      <c r="E1487" t="s">
        <v>1569</v>
      </c>
      <c r="F1487" t="s">
        <v>1570</v>
      </c>
      <c r="G1487" s="1">
        <v>38045</v>
      </c>
      <c r="H1487" s="1">
        <v>38834</v>
      </c>
      <c r="I1487" t="s">
        <v>12</v>
      </c>
      <c r="J1487" t="s">
        <v>12257</v>
      </c>
    </row>
    <row r="1488" spans="1:10" x14ac:dyDescent="0.25">
      <c r="A1488">
        <v>254784</v>
      </c>
      <c r="B1488" t="s">
        <v>1575</v>
      </c>
      <c r="C1488" t="str">
        <f>"9780761971238"</f>
        <v>9780761971238</v>
      </c>
      <c r="D1488" t="str">
        <f>"9781412933476"</f>
        <v>9781412933476</v>
      </c>
      <c r="E1488" t="s">
        <v>1569</v>
      </c>
      <c r="F1488" t="s">
        <v>1570</v>
      </c>
      <c r="G1488" s="1">
        <v>38323</v>
      </c>
      <c r="H1488" s="1">
        <v>38830</v>
      </c>
      <c r="I1488" t="s">
        <v>12</v>
      </c>
      <c r="J1488" t="s">
        <v>12258</v>
      </c>
    </row>
    <row r="1489" spans="1:10" x14ac:dyDescent="0.25">
      <c r="A1489">
        <v>254786</v>
      </c>
      <c r="B1489" t="s">
        <v>1576</v>
      </c>
      <c r="C1489" t="str">
        <f>"9780761971405"</f>
        <v>9780761971405</v>
      </c>
      <c r="D1489" t="str">
        <f>"9781412932424"</f>
        <v>9781412932424</v>
      </c>
      <c r="E1489" t="s">
        <v>1569</v>
      </c>
      <c r="F1489" t="s">
        <v>1570</v>
      </c>
      <c r="G1489" s="1">
        <v>37603</v>
      </c>
      <c r="H1489" s="1">
        <v>38830</v>
      </c>
      <c r="I1489" t="s">
        <v>12</v>
      </c>
      <c r="J1489" t="s">
        <v>12259</v>
      </c>
    </row>
    <row r="1490" spans="1:10" x14ac:dyDescent="0.25">
      <c r="A1490">
        <v>254789</v>
      </c>
      <c r="B1490" t="s">
        <v>1577</v>
      </c>
      <c r="C1490" t="str">
        <f>"9780761971467"</f>
        <v>9780761971467</v>
      </c>
      <c r="D1490" t="str">
        <f>"9781412933520"</f>
        <v>9781412933520</v>
      </c>
      <c r="E1490" t="s">
        <v>1569</v>
      </c>
      <c r="F1490" t="s">
        <v>1570</v>
      </c>
      <c r="G1490" s="1">
        <v>37735</v>
      </c>
      <c r="H1490" s="1">
        <v>38831</v>
      </c>
      <c r="I1490" t="s">
        <v>12</v>
      </c>
      <c r="J1490" t="s">
        <v>12260</v>
      </c>
    </row>
    <row r="1491" spans="1:10" x14ac:dyDescent="0.25">
      <c r="A1491">
        <v>254792</v>
      </c>
      <c r="B1491" t="s">
        <v>1578</v>
      </c>
      <c r="C1491" t="str">
        <f>"9780761972013"</f>
        <v>9780761972013</v>
      </c>
      <c r="D1491" t="str">
        <f>"9781412932660"</f>
        <v>9781412932660</v>
      </c>
      <c r="E1491" t="s">
        <v>1569</v>
      </c>
      <c r="F1491" t="s">
        <v>1570</v>
      </c>
      <c r="G1491" s="1">
        <v>38337</v>
      </c>
      <c r="H1491" s="1">
        <v>38830</v>
      </c>
      <c r="I1491" t="s">
        <v>12</v>
      </c>
      <c r="J1491" t="s">
        <v>12261</v>
      </c>
    </row>
    <row r="1492" spans="1:10" x14ac:dyDescent="0.25">
      <c r="A1492">
        <v>254820</v>
      </c>
      <c r="B1492" t="s">
        <v>1579</v>
      </c>
      <c r="C1492" t="str">
        <f>"9781412900584"</f>
        <v>9781412900584</v>
      </c>
      <c r="D1492" t="str">
        <f>"9781412933056"</f>
        <v>9781412933056</v>
      </c>
      <c r="E1492" t="s">
        <v>1569</v>
      </c>
      <c r="F1492" t="s">
        <v>1570</v>
      </c>
      <c r="G1492" s="1">
        <v>38399</v>
      </c>
      <c r="H1492" s="1">
        <v>38831</v>
      </c>
      <c r="I1492" t="s">
        <v>12</v>
      </c>
      <c r="J1492" t="s">
        <v>12262</v>
      </c>
    </row>
    <row r="1493" spans="1:10" x14ac:dyDescent="0.25">
      <c r="A1493">
        <v>254822</v>
      </c>
      <c r="B1493" t="s">
        <v>1580</v>
      </c>
      <c r="C1493" t="str">
        <f>"9781412900805"</f>
        <v>9781412900805</v>
      </c>
      <c r="D1493" t="str">
        <f>"9781412931458"</f>
        <v>9781412931458</v>
      </c>
      <c r="E1493" t="s">
        <v>1569</v>
      </c>
      <c r="F1493" t="s">
        <v>1570</v>
      </c>
      <c r="G1493" s="1">
        <v>38244</v>
      </c>
      <c r="H1493" s="1">
        <v>38834</v>
      </c>
      <c r="I1493" t="s">
        <v>12</v>
      </c>
      <c r="J1493" t="s">
        <v>12263</v>
      </c>
    </row>
    <row r="1494" spans="1:10" x14ac:dyDescent="0.25">
      <c r="A1494">
        <v>254925</v>
      </c>
      <c r="B1494" t="s">
        <v>1581</v>
      </c>
      <c r="C1494" t="str">
        <f>"9780521847476"</f>
        <v>9780521847476</v>
      </c>
      <c r="D1494" t="str">
        <f>"9780511199431"</f>
        <v>9780511199431</v>
      </c>
      <c r="E1494" t="s">
        <v>18</v>
      </c>
      <c r="F1494" t="s">
        <v>18</v>
      </c>
      <c r="G1494" s="1">
        <v>38504</v>
      </c>
      <c r="H1494" s="1">
        <v>38887</v>
      </c>
      <c r="I1494" t="s">
        <v>12</v>
      </c>
      <c r="J1494" t="s">
        <v>12264</v>
      </c>
    </row>
    <row r="1495" spans="1:10" x14ac:dyDescent="0.25">
      <c r="A1495">
        <v>255009</v>
      </c>
      <c r="B1495" t="s">
        <v>1582</v>
      </c>
      <c r="C1495" t="str">
        <f>"9780521855044"</f>
        <v>9780521855044</v>
      </c>
      <c r="D1495" t="str">
        <f>"9780511145971"</f>
        <v>9780511145971</v>
      </c>
      <c r="E1495" t="s">
        <v>18</v>
      </c>
      <c r="F1495" t="s">
        <v>18</v>
      </c>
      <c r="G1495" s="1">
        <v>38722</v>
      </c>
      <c r="H1495" s="1">
        <v>38831</v>
      </c>
      <c r="I1495" t="s">
        <v>12</v>
      </c>
      <c r="J1495" t="s">
        <v>12265</v>
      </c>
    </row>
    <row r="1496" spans="1:10" x14ac:dyDescent="0.25">
      <c r="A1496">
        <v>255011</v>
      </c>
      <c r="B1496" t="s">
        <v>1583</v>
      </c>
      <c r="C1496" t="str">
        <f>"9780521857130"</f>
        <v>9780521857130</v>
      </c>
      <c r="D1496" t="str">
        <f>"9780511145995"</f>
        <v>9780511145995</v>
      </c>
      <c r="E1496" t="s">
        <v>18</v>
      </c>
      <c r="F1496" t="s">
        <v>18</v>
      </c>
      <c r="G1496" s="1">
        <v>38708</v>
      </c>
      <c r="H1496" s="1">
        <v>38827</v>
      </c>
      <c r="I1496" t="s">
        <v>12</v>
      </c>
      <c r="J1496" t="s">
        <v>12266</v>
      </c>
    </row>
    <row r="1497" spans="1:10" x14ac:dyDescent="0.25">
      <c r="A1497">
        <v>255016</v>
      </c>
      <c r="B1497" t="s">
        <v>1584</v>
      </c>
      <c r="C1497" t="str">
        <f>"9780521859752"</f>
        <v>9780521859752</v>
      </c>
      <c r="D1497" t="str">
        <f>"9780511146046"</f>
        <v>9780511146046</v>
      </c>
      <c r="E1497" t="s">
        <v>18</v>
      </c>
      <c r="F1497" t="s">
        <v>18</v>
      </c>
      <c r="G1497" s="1">
        <v>38718</v>
      </c>
      <c r="H1497" s="1">
        <v>38827</v>
      </c>
      <c r="I1497" t="s">
        <v>12</v>
      </c>
      <c r="J1497" t="s">
        <v>12267</v>
      </c>
    </row>
    <row r="1498" spans="1:10" x14ac:dyDescent="0.25">
      <c r="A1498">
        <v>255019</v>
      </c>
      <c r="B1498" t="s">
        <v>1585</v>
      </c>
      <c r="C1498" t="str">
        <f>"9780521861786"</f>
        <v>9780521861786</v>
      </c>
      <c r="D1498" t="str">
        <f>"9780511146077"</f>
        <v>9780511146077</v>
      </c>
      <c r="E1498" t="s">
        <v>18</v>
      </c>
      <c r="F1498" t="s">
        <v>18</v>
      </c>
      <c r="G1498" s="1">
        <v>38764</v>
      </c>
      <c r="H1498" s="1">
        <v>38835</v>
      </c>
      <c r="I1498" t="s">
        <v>12</v>
      </c>
      <c r="J1498" t="s">
        <v>12268</v>
      </c>
    </row>
    <row r="1499" spans="1:10" x14ac:dyDescent="0.25">
      <c r="A1499">
        <v>255135</v>
      </c>
      <c r="B1499" t="s">
        <v>1586</v>
      </c>
      <c r="C1499" t="str">
        <f>"9780521772525"</f>
        <v>9780521772525</v>
      </c>
      <c r="D1499" t="str">
        <f>"9780511160080"</f>
        <v>9780511160080</v>
      </c>
      <c r="E1499" t="s">
        <v>18</v>
      </c>
      <c r="F1499" t="s">
        <v>18</v>
      </c>
      <c r="G1499" s="1">
        <v>38453</v>
      </c>
      <c r="H1499" s="1">
        <v>38834</v>
      </c>
      <c r="I1499" t="s">
        <v>12</v>
      </c>
      <c r="J1499" t="s">
        <v>12269</v>
      </c>
    </row>
    <row r="1500" spans="1:10" x14ac:dyDescent="0.25">
      <c r="A1500">
        <v>255136</v>
      </c>
      <c r="B1500" t="s">
        <v>1587</v>
      </c>
      <c r="C1500" t="str">
        <f>"9780521793100"</f>
        <v>9780521793100</v>
      </c>
      <c r="D1500" t="str">
        <f>"9780511160363"</f>
        <v>9780511160363</v>
      </c>
      <c r="E1500" t="s">
        <v>18</v>
      </c>
      <c r="F1500" t="s">
        <v>18</v>
      </c>
      <c r="G1500" s="1">
        <v>38799</v>
      </c>
      <c r="H1500" s="1">
        <v>38834</v>
      </c>
      <c r="I1500" t="s">
        <v>12</v>
      </c>
      <c r="J1500" t="s">
        <v>12270</v>
      </c>
    </row>
    <row r="1501" spans="1:10" x14ac:dyDescent="0.25">
      <c r="A1501">
        <v>255173</v>
      </c>
      <c r="B1501" t="s">
        <v>1588</v>
      </c>
      <c r="C1501" t="str">
        <f>"9780521818575"</f>
        <v>9780521818575</v>
      </c>
      <c r="D1501" t="str">
        <f>"9780511163982"</f>
        <v>9780511163982</v>
      </c>
      <c r="E1501" t="s">
        <v>18</v>
      </c>
      <c r="F1501" t="s">
        <v>18</v>
      </c>
      <c r="G1501" s="1">
        <v>37935</v>
      </c>
      <c r="H1501" s="1">
        <v>38840</v>
      </c>
      <c r="I1501" t="s">
        <v>12</v>
      </c>
      <c r="J1501" t="s">
        <v>12271</v>
      </c>
    </row>
    <row r="1502" spans="1:10" x14ac:dyDescent="0.25">
      <c r="A1502">
        <v>255177</v>
      </c>
      <c r="B1502" t="s">
        <v>1589</v>
      </c>
      <c r="C1502" t="str">
        <f>"9780521821186"</f>
        <v>9780521821186</v>
      </c>
      <c r="D1502" t="str">
        <f>"9780511164002"</f>
        <v>9780511164002</v>
      </c>
      <c r="E1502" t="s">
        <v>18</v>
      </c>
      <c r="F1502" t="s">
        <v>18</v>
      </c>
      <c r="G1502" s="1">
        <v>37994</v>
      </c>
      <c r="H1502" s="1">
        <v>38840</v>
      </c>
      <c r="I1502" t="s">
        <v>12</v>
      </c>
      <c r="J1502" t="s">
        <v>12272</v>
      </c>
    </row>
    <row r="1503" spans="1:10" x14ac:dyDescent="0.25">
      <c r="A1503">
        <v>255181</v>
      </c>
      <c r="B1503" t="s">
        <v>1590</v>
      </c>
      <c r="C1503" t="str">
        <f>"9780521822817"</f>
        <v>9780521822817</v>
      </c>
      <c r="D1503" t="str">
        <f>"9780511163722"</f>
        <v>9780511163722</v>
      </c>
      <c r="E1503" t="s">
        <v>18</v>
      </c>
      <c r="F1503" t="s">
        <v>18</v>
      </c>
      <c r="G1503" s="1">
        <v>37994</v>
      </c>
      <c r="H1503" s="1">
        <v>38840</v>
      </c>
      <c r="I1503" t="s">
        <v>12</v>
      </c>
      <c r="J1503" t="s">
        <v>12273</v>
      </c>
    </row>
    <row r="1504" spans="1:10" x14ac:dyDescent="0.25">
      <c r="A1504">
        <v>255203</v>
      </c>
      <c r="B1504" t="s">
        <v>1591</v>
      </c>
      <c r="C1504" t="str">
        <f>"9780521830331"</f>
        <v>9780521830331</v>
      </c>
      <c r="D1504" t="str">
        <f>"9780511164378"</f>
        <v>9780511164378</v>
      </c>
      <c r="E1504" t="s">
        <v>18</v>
      </c>
      <c r="F1504" t="s">
        <v>18</v>
      </c>
      <c r="G1504" s="1">
        <v>37973</v>
      </c>
      <c r="H1504" s="1">
        <v>38840</v>
      </c>
      <c r="I1504" t="s">
        <v>12</v>
      </c>
      <c r="J1504" t="s">
        <v>12274</v>
      </c>
    </row>
    <row r="1505" spans="1:10" x14ac:dyDescent="0.25">
      <c r="A1505">
        <v>255204</v>
      </c>
      <c r="B1505" t="s">
        <v>1592</v>
      </c>
      <c r="C1505" t="str">
        <f>"9780521830508"</f>
        <v>9780521830508</v>
      </c>
      <c r="D1505" t="str">
        <f>"9780511163876"</f>
        <v>9780511163876</v>
      </c>
      <c r="E1505" t="s">
        <v>18</v>
      </c>
      <c r="F1505" t="s">
        <v>18</v>
      </c>
      <c r="G1505" s="1">
        <v>37966</v>
      </c>
      <c r="H1505" s="1">
        <v>38840</v>
      </c>
      <c r="I1505" t="s">
        <v>12</v>
      </c>
      <c r="J1505" t="s">
        <v>12275</v>
      </c>
    </row>
    <row r="1506" spans="1:10" x14ac:dyDescent="0.25">
      <c r="A1506">
        <v>255206</v>
      </c>
      <c r="B1506" t="s">
        <v>1593</v>
      </c>
      <c r="C1506" t="str">
        <f>"9780521830751"</f>
        <v>9780521830751</v>
      </c>
      <c r="D1506" t="str">
        <f>"9780511164057"</f>
        <v>9780511164057</v>
      </c>
      <c r="E1506" t="s">
        <v>18</v>
      </c>
      <c r="F1506" t="s">
        <v>18</v>
      </c>
      <c r="G1506" s="1">
        <v>37949</v>
      </c>
      <c r="H1506" s="1">
        <v>38837</v>
      </c>
      <c r="I1506" t="s">
        <v>12</v>
      </c>
      <c r="J1506" t="s">
        <v>12276</v>
      </c>
    </row>
    <row r="1507" spans="1:10" x14ac:dyDescent="0.25">
      <c r="A1507">
        <v>255231</v>
      </c>
      <c r="B1507" t="s">
        <v>1594</v>
      </c>
      <c r="C1507" t="str">
        <f>"9780240806952"</f>
        <v>9780240806952</v>
      </c>
      <c r="D1507" t="str">
        <f>"9780080477732"</f>
        <v>9780080477732</v>
      </c>
      <c r="E1507" t="s">
        <v>15</v>
      </c>
      <c r="F1507" t="s">
        <v>1122</v>
      </c>
      <c r="G1507" s="1">
        <v>38596</v>
      </c>
      <c r="H1507" s="1">
        <v>38799</v>
      </c>
      <c r="I1507" t="s">
        <v>12</v>
      </c>
      <c r="J1507" t="s">
        <v>12277</v>
      </c>
    </row>
    <row r="1508" spans="1:10" x14ac:dyDescent="0.25">
      <c r="A1508">
        <v>255232</v>
      </c>
      <c r="B1508" t="s">
        <v>1595</v>
      </c>
      <c r="C1508" t="str">
        <f>"9780240807027"</f>
        <v>9780240807027</v>
      </c>
      <c r="D1508" t="str">
        <f>"9780080477299"</f>
        <v>9780080477299</v>
      </c>
      <c r="E1508" t="s">
        <v>15</v>
      </c>
      <c r="F1508" t="s">
        <v>16</v>
      </c>
      <c r="G1508" s="1">
        <v>38644</v>
      </c>
      <c r="H1508" s="1">
        <v>38799</v>
      </c>
      <c r="I1508" t="s">
        <v>12</v>
      </c>
      <c r="J1508" t="s">
        <v>12278</v>
      </c>
    </row>
    <row r="1509" spans="1:10" x14ac:dyDescent="0.25">
      <c r="A1509">
        <v>255233</v>
      </c>
      <c r="B1509" t="s">
        <v>1596</v>
      </c>
      <c r="C1509" t="str">
        <f>"9780240807102"</f>
        <v>9780240807102</v>
      </c>
      <c r="D1509" t="str">
        <f>"9780080480411"</f>
        <v>9780080480411</v>
      </c>
      <c r="E1509" t="s">
        <v>15</v>
      </c>
      <c r="F1509" t="s">
        <v>1122</v>
      </c>
      <c r="G1509" s="1">
        <v>38629</v>
      </c>
      <c r="H1509" s="1">
        <v>38804</v>
      </c>
      <c r="I1509" t="s">
        <v>12</v>
      </c>
      <c r="J1509" t="s">
        <v>12279</v>
      </c>
    </row>
    <row r="1510" spans="1:10" x14ac:dyDescent="0.25">
      <c r="A1510">
        <v>255294</v>
      </c>
      <c r="B1510" t="s">
        <v>1597</v>
      </c>
      <c r="C1510" t="str">
        <f>"9781405188227"</f>
        <v>9781405188227</v>
      </c>
      <c r="D1510" t="str">
        <f>"9781405154673"</f>
        <v>9781405154673</v>
      </c>
      <c r="E1510" t="s">
        <v>1088</v>
      </c>
      <c r="F1510" t="s">
        <v>1089</v>
      </c>
      <c r="G1510" s="1">
        <v>38758</v>
      </c>
      <c r="H1510" s="1">
        <v>40696</v>
      </c>
      <c r="I1510" t="s">
        <v>12</v>
      </c>
      <c r="J1510" t="s">
        <v>12280</v>
      </c>
    </row>
    <row r="1511" spans="1:10" x14ac:dyDescent="0.25">
      <c r="A1511">
        <v>255728</v>
      </c>
      <c r="B1511" t="s">
        <v>1598</v>
      </c>
      <c r="C1511" t="str">
        <f>"9781845410353"</f>
        <v>9781845410353</v>
      </c>
      <c r="D1511" t="str">
        <f>"9781845410360"</f>
        <v>9781845410360</v>
      </c>
      <c r="E1511" t="s">
        <v>886</v>
      </c>
      <c r="F1511" t="s">
        <v>886</v>
      </c>
      <c r="G1511" s="1">
        <v>38728</v>
      </c>
      <c r="H1511" s="1">
        <v>38942</v>
      </c>
      <c r="I1511" t="s">
        <v>12</v>
      </c>
      <c r="J1511" t="s">
        <v>12281</v>
      </c>
    </row>
    <row r="1512" spans="1:10" x14ac:dyDescent="0.25">
      <c r="A1512">
        <v>255729</v>
      </c>
      <c r="B1512" t="s">
        <v>1599</v>
      </c>
      <c r="C1512" t="str">
        <f>"9781853598548"</f>
        <v>9781853598548</v>
      </c>
      <c r="D1512" t="str">
        <f>"9781853598555"</f>
        <v>9781853598555</v>
      </c>
      <c r="E1512" t="s">
        <v>886</v>
      </c>
      <c r="F1512" t="s">
        <v>887</v>
      </c>
      <c r="G1512" s="1">
        <v>38727</v>
      </c>
      <c r="H1512" s="1">
        <v>38942</v>
      </c>
      <c r="I1512" t="s">
        <v>12</v>
      </c>
      <c r="J1512" t="s">
        <v>12282</v>
      </c>
    </row>
    <row r="1513" spans="1:10" x14ac:dyDescent="0.25">
      <c r="A1513">
        <v>255730</v>
      </c>
      <c r="B1513" t="s">
        <v>1600</v>
      </c>
      <c r="C1513" t="str">
        <f>"9781853598593"</f>
        <v>9781853598593</v>
      </c>
      <c r="D1513" t="str">
        <f>"9781853598609"</f>
        <v>9781853598609</v>
      </c>
      <c r="E1513" t="s">
        <v>886</v>
      </c>
      <c r="F1513" t="s">
        <v>887</v>
      </c>
      <c r="G1513" s="1">
        <v>38762</v>
      </c>
      <c r="H1513" s="1">
        <v>38837</v>
      </c>
      <c r="I1513" t="s">
        <v>12</v>
      </c>
      <c r="J1513" t="s">
        <v>12283</v>
      </c>
    </row>
    <row r="1514" spans="1:10" x14ac:dyDescent="0.25">
      <c r="A1514">
        <v>255731</v>
      </c>
      <c r="B1514" t="s">
        <v>1601</v>
      </c>
      <c r="C1514" t="str">
        <f>"9781853598418"</f>
        <v>9781853598418</v>
      </c>
      <c r="D1514" t="str">
        <f>"9781853598425"</f>
        <v>9781853598425</v>
      </c>
      <c r="E1514" t="s">
        <v>886</v>
      </c>
      <c r="F1514" t="s">
        <v>887</v>
      </c>
      <c r="G1514" s="1">
        <v>38610</v>
      </c>
      <c r="H1514" s="1">
        <v>38837</v>
      </c>
      <c r="I1514" t="s">
        <v>12</v>
      </c>
      <c r="J1514" t="s">
        <v>12284</v>
      </c>
    </row>
    <row r="1515" spans="1:10" x14ac:dyDescent="0.25">
      <c r="A1515">
        <v>255733</v>
      </c>
      <c r="B1515" t="s">
        <v>1602</v>
      </c>
      <c r="C1515" t="str">
        <f>"9781853598302"</f>
        <v>9781853598302</v>
      </c>
      <c r="D1515" t="str">
        <f>"9781853598319"</f>
        <v>9781853598319</v>
      </c>
      <c r="E1515" t="s">
        <v>886</v>
      </c>
      <c r="F1515" t="s">
        <v>887</v>
      </c>
      <c r="G1515" s="1">
        <v>38632</v>
      </c>
      <c r="H1515" s="1">
        <v>39085</v>
      </c>
      <c r="I1515" t="s">
        <v>12</v>
      </c>
      <c r="J1515" t="s">
        <v>12285</v>
      </c>
    </row>
    <row r="1516" spans="1:10" x14ac:dyDescent="0.25">
      <c r="A1516">
        <v>255735</v>
      </c>
      <c r="B1516" t="s">
        <v>1603</v>
      </c>
      <c r="C1516" t="str">
        <f>"9781853598333"</f>
        <v>9781853598333</v>
      </c>
      <c r="D1516" t="str">
        <f>"9781853598340"</f>
        <v>9781853598340</v>
      </c>
      <c r="E1516" t="s">
        <v>886</v>
      </c>
      <c r="F1516" t="s">
        <v>887</v>
      </c>
      <c r="G1516" s="1">
        <v>38637</v>
      </c>
      <c r="H1516" s="1">
        <v>38942</v>
      </c>
      <c r="I1516" t="s">
        <v>12</v>
      </c>
      <c r="J1516" t="s">
        <v>12286</v>
      </c>
    </row>
    <row r="1517" spans="1:10" x14ac:dyDescent="0.25">
      <c r="A1517">
        <v>255736</v>
      </c>
      <c r="B1517" t="s">
        <v>1604</v>
      </c>
      <c r="C1517" t="str">
        <f>"9781853598791"</f>
        <v>9781853598791</v>
      </c>
      <c r="D1517" t="str">
        <f>"9781853598807"</f>
        <v>9781853598807</v>
      </c>
      <c r="E1517" t="s">
        <v>886</v>
      </c>
      <c r="F1517" t="s">
        <v>887</v>
      </c>
      <c r="G1517" s="1">
        <v>38813</v>
      </c>
      <c r="H1517" s="1">
        <v>38837</v>
      </c>
      <c r="I1517" t="s">
        <v>12</v>
      </c>
      <c r="J1517" t="s">
        <v>12287</v>
      </c>
    </row>
    <row r="1518" spans="1:10" x14ac:dyDescent="0.25">
      <c r="A1518">
        <v>255737</v>
      </c>
      <c r="B1518" t="s">
        <v>1605</v>
      </c>
      <c r="C1518" t="str">
        <f>"9781853598760"</f>
        <v>9781853598760</v>
      </c>
      <c r="D1518" t="str">
        <f>"9781853598777"</f>
        <v>9781853598777</v>
      </c>
      <c r="E1518" t="s">
        <v>886</v>
      </c>
      <c r="F1518" t="s">
        <v>887</v>
      </c>
      <c r="G1518" s="1">
        <v>38813</v>
      </c>
      <c r="H1518" s="1">
        <v>38837</v>
      </c>
      <c r="I1518" t="s">
        <v>12</v>
      </c>
      <c r="J1518" t="s">
        <v>12288</v>
      </c>
    </row>
    <row r="1519" spans="1:10" x14ac:dyDescent="0.25">
      <c r="A1519">
        <v>255738</v>
      </c>
      <c r="B1519" t="s">
        <v>1606</v>
      </c>
      <c r="C1519" t="str">
        <f>"9781853598364"</f>
        <v>9781853598364</v>
      </c>
      <c r="D1519" t="str">
        <f>"9781853598371"</f>
        <v>9781853598371</v>
      </c>
      <c r="E1519" t="s">
        <v>886</v>
      </c>
      <c r="F1519" t="s">
        <v>887</v>
      </c>
      <c r="G1519" s="1">
        <v>38667</v>
      </c>
      <c r="H1519" s="1">
        <v>38942</v>
      </c>
      <c r="I1519" t="s">
        <v>12</v>
      </c>
      <c r="J1519" t="s">
        <v>12289</v>
      </c>
    </row>
    <row r="1520" spans="1:10" x14ac:dyDescent="0.25">
      <c r="A1520">
        <v>255739</v>
      </c>
      <c r="B1520" t="s">
        <v>1607</v>
      </c>
      <c r="C1520" t="str">
        <f>"9781853598852"</f>
        <v>9781853598852</v>
      </c>
      <c r="D1520" t="str">
        <f>"9781853598876"</f>
        <v>9781853598876</v>
      </c>
      <c r="E1520" t="s">
        <v>886</v>
      </c>
      <c r="F1520" t="s">
        <v>887</v>
      </c>
      <c r="G1520" s="1">
        <v>38819</v>
      </c>
      <c r="H1520" s="1">
        <v>38837</v>
      </c>
      <c r="I1520" t="s">
        <v>12</v>
      </c>
      <c r="J1520" t="s">
        <v>12290</v>
      </c>
    </row>
    <row r="1521" spans="1:10" x14ac:dyDescent="0.25">
      <c r="A1521">
        <v>255740</v>
      </c>
      <c r="B1521" t="s">
        <v>1608</v>
      </c>
      <c r="C1521" t="str">
        <f>"9781853598470"</f>
        <v>9781853598470</v>
      </c>
      <c r="D1521" t="str">
        <f>"9781853598487"</f>
        <v>9781853598487</v>
      </c>
      <c r="E1521" t="s">
        <v>886</v>
      </c>
      <c r="F1521" t="s">
        <v>887</v>
      </c>
      <c r="G1521" s="1">
        <v>38667</v>
      </c>
      <c r="H1521" s="1">
        <v>38942</v>
      </c>
      <c r="I1521" t="s">
        <v>12</v>
      </c>
      <c r="J1521" t="s">
        <v>12291</v>
      </c>
    </row>
    <row r="1522" spans="1:10" x14ac:dyDescent="0.25">
      <c r="A1522">
        <v>255742</v>
      </c>
      <c r="B1522" t="s">
        <v>1609</v>
      </c>
      <c r="C1522" t="str">
        <f>"9781853598494"</f>
        <v>9781853598494</v>
      </c>
      <c r="D1522" t="str">
        <f>"9781853598500"</f>
        <v>9781853598500</v>
      </c>
      <c r="E1522" t="s">
        <v>886</v>
      </c>
      <c r="F1522" t="s">
        <v>887</v>
      </c>
      <c r="G1522" s="1">
        <v>38631</v>
      </c>
      <c r="H1522" s="1">
        <v>38836</v>
      </c>
      <c r="I1522" t="s">
        <v>12</v>
      </c>
      <c r="J1522" t="s">
        <v>12292</v>
      </c>
    </row>
    <row r="1523" spans="1:10" x14ac:dyDescent="0.25">
      <c r="A1523">
        <v>255744</v>
      </c>
      <c r="B1523" t="s">
        <v>1610</v>
      </c>
      <c r="C1523" t="str">
        <f>"9781853598449"</f>
        <v>9781853598449</v>
      </c>
      <c r="D1523" t="str">
        <f>"9781853598456"</f>
        <v>9781853598456</v>
      </c>
      <c r="E1523" t="s">
        <v>886</v>
      </c>
      <c r="F1523" t="s">
        <v>887</v>
      </c>
      <c r="G1523" s="1">
        <v>38588</v>
      </c>
      <c r="H1523" s="1">
        <v>38942</v>
      </c>
      <c r="I1523" t="s">
        <v>12</v>
      </c>
      <c r="J1523" t="s">
        <v>12293</v>
      </c>
    </row>
    <row r="1524" spans="1:10" x14ac:dyDescent="0.25">
      <c r="A1524">
        <v>255747</v>
      </c>
      <c r="B1524" t="s">
        <v>1611</v>
      </c>
      <c r="C1524" t="str">
        <f>"9781853598678"</f>
        <v>9781853598678</v>
      </c>
      <c r="D1524" t="str">
        <f>"9781853598685"</f>
        <v>9781853598685</v>
      </c>
      <c r="E1524" t="s">
        <v>886</v>
      </c>
      <c r="F1524" t="s">
        <v>887</v>
      </c>
      <c r="G1524" s="1">
        <v>38791</v>
      </c>
      <c r="H1524" s="1">
        <v>38837</v>
      </c>
      <c r="I1524" t="s">
        <v>12</v>
      </c>
      <c r="J1524" t="s">
        <v>12294</v>
      </c>
    </row>
    <row r="1525" spans="1:10" x14ac:dyDescent="0.25">
      <c r="A1525">
        <v>255748</v>
      </c>
      <c r="B1525" t="s">
        <v>1612</v>
      </c>
      <c r="C1525" t="str">
        <f>"9781853598722"</f>
        <v>9781853598722</v>
      </c>
      <c r="D1525" t="str">
        <f>"9781853598746"</f>
        <v>9781853598746</v>
      </c>
      <c r="E1525" t="s">
        <v>886</v>
      </c>
      <c r="F1525" t="s">
        <v>887</v>
      </c>
      <c r="G1525" s="1">
        <v>38785</v>
      </c>
      <c r="H1525" s="1">
        <v>38836</v>
      </c>
      <c r="I1525" t="s">
        <v>12</v>
      </c>
      <c r="J1525" t="s">
        <v>12295</v>
      </c>
    </row>
    <row r="1526" spans="1:10" x14ac:dyDescent="0.25">
      <c r="A1526">
        <v>255749</v>
      </c>
      <c r="B1526" t="s">
        <v>1613</v>
      </c>
      <c r="C1526" t="str">
        <f>"9781853598562"</f>
        <v>9781853598562</v>
      </c>
      <c r="D1526" t="str">
        <f>"9781853598579"</f>
        <v>9781853598579</v>
      </c>
      <c r="E1526" t="s">
        <v>886</v>
      </c>
      <c r="F1526" t="s">
        <v>887</v>
      </c>
      <c r="G1526" s="1">
        <v>38776</v>
      </c>
      <c r="H1526" s="1">
        <v>38836</v>
      </c>
      <c r="I1526" t="s">
        <v>12</v>
      </c>
      <c r="J1526" t="s">
        <v>12296</v>
      </c>
    </row>
    <row r="1527" spans="1:10" x14ac:dyDescent="0.25">
      <c r="A1527">
        <v>255751</v>
      </c>
      <c r="B1527" t="s">
        <v>1614</v>
      </c>
      <c r="C1527" t="str">
        <f>"9781845410377"</f>
        <v>9781845410377</v>
      </c>
      <c r="D1527" t="str">
        <f>"9781845410384"</f>
        <v>9781845410384</v>
      </c>
      <c r="E1527" t="s">
        <v>886</v>
      </c>
      <c r="F1527" t="s">
        <v>886</v>
      </c>
      <c r="G1527" s="1">
        <v>38768</v>
      </c>
      <c r="H1527" s="1">
        <v>38837</v>
      </c>
      <c r="I1527" t="s">
        <v>12</v>
      </c>
      <c r="J1527" t="s">
        <v>12297</v>
      </c>
    </row>
    <row r="1528" spans="1:10" x14ac:dyDescent="0.25">
      <c r="A1528">
        <v>255753</v>
      </c>
      <c r="B1528" t="s">
        <v>1615</v>
      </c>
      <c r="C1528" t="str">
        <f>"9781853598517"</f>
        <v>9781853598517</v>
      </c>
      <c r="D1528" t="str">
        <f>"9781853598531"</f>
        <v>9781853598531</v>
      </c>
      <c r="E1528" t="s">
        <v>886</v>
      </c>
      <c r="F1528" t="s">
        <v>887</v>
      </c>
      <c r="G1528" s="1">
        <v>38735</v>
      </c>
      <c r="H1528" s="1">
        <v>38837</v>
      </c>
      <c r="I1528" t="s">
        <v>12</v>
      </c>
      <c r="J1528" t="s">
        <v>12298</v>
      </c>
    </row>
    <row r="1529" spans="1:10" x14ac:dyDescent="0.25">
      <c r="A1529">
        <v>255754</v>
      </c>
      <c r="B1529" t="s">
        <v>1616</v>
      </c>
      <c r="C1529" t="str">
        <f>"9781845410292"</f>
        <v>9781845410292</v>
      </c>
      <c r="D1529" t="str">
        <f>"9781845410308"</f>
        <v>9781845410308</v>
      </c>
      <c r="E1529" t="s">
        <v>886</v>
      </c>
      <c r="F1529" t="s">
        <v>886</v>
      </c>
      <c r="G1529" s="1">
        <v>38728</v>
      </c>
      <c r="H1529" s="1">
        <v>38837</v>
      </c>
      <c r="I1529" t="s">
        <v>12</v>
      </c>
      <c r="J1529" t="s">
        <v>12299</v>
      </c>
    </row>
    <row r="1530" spans="1:10" x14ac:dyDescent="0.25">
      <c r="A1530">
        <v>255755</v>
      </c>
      <c r="B1530" t="s">
        <v>1617</v>
      </c>
      <c r="C1530" t="str">
        <f>"9781845410261"</f>
        <v>9781845410261</v>
      </c>
      <c r="D1530" t="str">
        <f>"9781845410278"</f>
        <v>9781845410278</v>
      </c>
      <c r="E1530" t="s">
        <v>886</v>
      </c>
      <c r="F1530" t="s">
        <v>886</v>
      </c>
      <c r="G1530" s="1">
        <v>38728</v>
      </c>
      <c r="H1530" s="1">
        <v>38837</v>
      </c>
      <c r="I1530" t="s">
        <v>12</v>
      </c>
      <c r="J1530" t="s">
        <v>12300</v>
      </c>
    </row>
    <row r="1531" spans="1:10" x14ac:dyDescent="0.25">
      <c r="A1531">
        <v>256138</v>
      </c>
      <c r="B1531" t="s">
        <v>1618</v>
      </c>
      <c r="C1531" t="str">
        <f>"9780749442583"</f>
        <v>9780749442583</v>
      </c>
      <c r="D1531" t="str">
        <f>"9780749446741"</f>
        <v>9780749446741</v>
      </c>
      <c r="E1531" t="s">
        <v>1059</v>
      </c>
      <c r="F1531" t="s">
        <v>1059</v>
      </c>
      <c r="G1531" s="1">
        <v>38353</v>
      </c>
      <c r="H1531" s="1">
        <v>38816</v>
      </c>
      <c r="I1531" t="s">
        <v>12</v>
      </c>
      <c r="J1531" t="s">
        <v>12301</v>
      </c>
    </row>
    <row r="1532" spans="1:10" x14ac:dyDescent="0.25">
      <c r="A1532">
        <v>256143</v>
      </c>
      <c r="B1532" t="s">
        <v>1619</v>
      </c>
      <c r="C1532" t="str">
        <f>"9780749445348"</f>
        <v>9780749445348</v>
      </c>
      <c r="D1532" t="str">
        <f>"9780749447908"</f>
        <v>9780749447908</v>
      </c>
      <c r="E1532" t="s">
        <v>1059</v>
      </c>
      <c r="F1532" t="s">
        <v>1059</v>
      </c>
      <c r="G1532" s="1">
        <v>38718</v>
      </c>
      <c r="H1532" s="1">
        <v>38817</v>
      </c>
      <c r="I1532" t="s">
        <v>12</v>
      </c>
      <c r="J1532" t="s">
        <v>12302</v>
      </c>
    </row>
    <row r="1533" spans="1:10" x14ac:dyDescent="0.25">
      <c r="A1533">
        <v>256145</v>
      </c>
      <c r="B1533" t="s">
        <v>1620</v>
      </c>
      <c r="C1533" t="str">
        <f>"9780749444761"</f>
        <v>9780749444761</v>
      </c>
      <c r="D1533" t="str">
        <f>"9780749447847"</f>
        <v>9780749447847</v>
      </c>
      <c r="E1533" t="s">
        <v>1059</v>
      </c>
      <c r="F1533" t="s">
        <v>1059</v>
      </c>
      <c r="G1533" s="1">
        <v>38353</v>
      </c>
      <c r="H1533" s="1">
        <v>38818</v>
      </c>
      <c r="I1533" t="s">
        <v>12</v>
      </c>
      <c r="J1533" t="s">
        <v>12303</v>
      </c>
    </row>
    <row r="1534" spans="1:10" x14ac:dyDescent="0.25">
      <c r="A1534">
        <v>256156</v>
      </c>
      <c r="B1534" t="s">
        <v>1621</v>
      </c>
      <c r="C1534" t="str">
        <f>"9780749444815"</f>
        <v>9780749444815</v>
      </c>
      <c r="D1534" t="str">
        <f>"9780749446772"</f>
        <v>9780749446772</v>
      </c>
      <c r="E1534" t="s">
        <v>1059</v>
      </c>
      <c r="F1534" t="s">
        <v>1059</v>
      </c>
      <c r="G1534" s="1">
        <v>38353</v>
      </c>
      <c r="H1534" s="1">
        <v>39100</v>
      </c>
      <c r="I1534" t="s">
        <v>12</v>
      </c>
      <c r="J1534" t="s">
        <v>12304</v>
      </c>
    </row>
    <row r="1535" spans="1:10" x14ac:dyDescent="0.25">
      <c r="A1535">
        <v>256164</v>
      </c>
      <c r="B1535" t="s">
        <v>1622</v>
      </c>
      <c r="C1535" t="str">
        <f>"9780749444969"</f>
        <v>9780749444969</v>
      </c>
      <c r="D1535" t="str">
        <f>"9780749446857"</f>
        <v>9780749446857</v>
      </c>
      <c r="E1535" t="s">
        <v>1059</v>
      </c>
      <c r="F1535" t="s">
        <v>1059</v>
      </c>
      <c r="G1535" s="1">
        <v>38659</v>
      </c>
      <c r="H1535" s="1">
        <v>38824</v>
      </c>
      <c r="I1535" t="s">
        <v>12</v>
      </c>
      <c r="J1535" t="s">
        <v>12305</v>
      </c>
    </row>
    <row r="1536" spans="1:10" x14ac:dyDescent="0.25">
      <c r="A1536">
        <v>256165</v>
      </c>
      <c r="B1536" t="s">
        <v>1623</v>
      </c>
      <c r="C1536" t="str">
        <f>"9780749444303"</f>
        <v>9780749444303</v>
      </c>
      <c r="D1536" t="str">
        <f>"9780749448103"</f>
        <v>9780749448103</v>
      </c>
      <c r="E1536" t="s">
        <v>1059</v>
      </c>
      <c r="F1536" t="s">
        <v>1059</v>
      </c>
      <c r="G1536" s="1">
        <v>38718</v>
      </c>
      <c r="H1536" s="1">
        <v>38824</v>
      </c>
      <c r="I1536" t="s">
        <v>12</v>
      </c>
      <c r="J1536" t="s">
        <v>12306</v>
      </c>
    </row>
    <row r="1537" spans="1:10" x14ac:dyDescent="0.25">
      <c r="A1537">
        <v>256166</v>
      </c>
      <c r="B1537" t="s">
        <v>1624</v>
      </c>
      <c r="C1537" t="str">
        <f>"9780749445379"</f>
        <v>9780749445379</v>
      </c>
      <c r="D1537" t="str">
        <f>"9780749447922"</f>
        <v>9780749447922</v>
      </c>
      <c r="E1537" t="s">
        <v>1059</v>
      </c>
      <c r="F1537" t="s">
        <v>1059</v>
      </c>
      <c r="G1537" s="1">
        <v>38718</v>
      </c>
      <c r="H1537" s="1">
        <v>38824</v>
      </c>
      <c r="I1537" t="s">
        <v>12</v>
      </c>
      <c r="J1537" t="s">
        <v>12307</v>
      </c>
    </row>
    <row r="1538" spans="1:10" x14ac:dyDescent="0.25">
      <c r="A1538">
        <v>256351</v>
      </c>
      <c r="B1538" t="s">
        <v>1625</v>
      </c>
      <c r="C1538" t="str">
        <f>"9781591407355"</f>
        <v>9781591407355</v>
      </c>
      <c r="D1538" t="str">
        <f>"9781591407379"</f>
        <v>9781591407379</v>
      </c>
      <c r="E1538" t="s">
        <v>623</v>
      </c>
      <c r="F1538" t="s">
        <v>624</v>
      </c>
      <c r="G1538" s="1">
        <v>39023</v>
      </c>
      <c r="H1538" s="1">
        <v>38834</v>
      </c>
      <c r="I1538" t="s">
        <v>12</v>
      </c>
      <c r="J1538" t="s">
        <v>12308</v>
      </c>
    </row>
    <row r="1539" spans="1:10" x14ac:dyDescent="0.25">
      <c r="A1539">
        <v>256352</v>
      </c>
      <c r="B1539" t="s">
        <v>1626</v>
      </c>
      <c r="C1539" t="str">
        <f>"9781591409717"</f>
        <v>9781591409717</v>
      </c>
      <c r="D1539" t="str">
        <f>"9781591409731"</f>
        <v>9781591409731</v>
      </c>
      <c r="E1539" t="s">
        <v>623</v>
      </c>
      <c r="F1539" t="s">
        <v>624</v>
      </c>
      <c r="G1539" s="1">
        <v>39031</v>
      </c>
      <c r="H1539" s="1">
        <v>40636</v>
      </c>
      <c r="I1539" t="s">
        <v>12</v>
      </c>
      <c r="J1539" t="s">
        <v>12309</v>
      </c>
    </row>
    <row r="1540" spans="1:10" x14ac:dyDescent="0.25">
      <c r="A1540">
        <v>256355</v>
      </c>
      <c r="B1540" t="s">
        <v>1627</v>
      </c>
      <c r="C1540" t="str">
        <f>"9781591409236"</f>
        <v>9781591409236</v>
      </c>
      <c r="D1540" t="str">
        <f>"9781591409250"</f>
        <v>9781591409250</v>
      </c>
      <c r="E1540" t="s">
        <v>623</v>
      </c>
      <c r="F1540" t="s">
        <v>624</v>
      </c>
      <c r="G1540" s="1">
        <v>38718</v>
      </c>
      <c r="H1540" s="1">
        <v>38824</v>
      </c>
      <c r="I1540" t="s">
        <v>12</v>
      </c>
      <c r="J1540" t="s">
        <v>12310</v>
      </c>
    </row>
    <row r="1541" spans="1:10" x14ac:dyDescent="0.25">
      <c r="A1541">
        <v>256357</v>
      </c>
      <c r="B1541" t="s">
        <v>1628</v>
      </c>
      <c r="C1541" t="str">
        <f>"9781591408178"</f>
        <v>9781591408178</v>
      </c>
      <c r="D1541" t="str">
        <f>"9781591408185"</f>
        <v>9781591408185</v>
      </c>
      <c r="E1541" t="s">
        <v>623</v>
      </c>
      <c r="F1541" t="s">
        <v>624</v>
      </c>
      <c r="G1541" s="1">
        <v>38919</v>
      </c>
      <c r="H1541" s="1">
        <v>38824</v>
      </c>
      <c r="I1541" t="s">
        <v>12</v>
      </c>
      <c r="J1541" t="s">
        <v>12311</v>
      </c>
    </row>
    <row r="1542" spans="1:10" x14ac:dyDescent="0.25">
      <c r="A1542">
        <v>256361</v>
      </c>
      <c r="B1542" t="s">
        <v>1629</v>
      </c>
      <c r="C1542" t="str">
        <f>"9781599044170"</f>
        <v>9781599044170</v>
      </c>
      <c r="D1542" t="str">
        <f>"9781599044194"</f>
        <v>9781599044194</v>
      </c>
      <c r="E1542" t="s">
        <v>623</v>
      </c>
      <c r="F1542" t="s">
        <v>624</v>
      </c>
      <c r="G1542" s="1">
        <v>39041</v>
      </c>
      <c r="H1542" s="1">
        <v>38824</v>
      </c>
      <c r="I1542" t="s">
        <v>12</v>
      </c>
      <c r="J1542" t="s">
        <v>12312</v>
      </c>
    </row>
    <row r="1543" spans="1:10" x14ac:dyDescent="0.25">
      <c r="A1543">
        <v>256577</v>
      </c>
      <c r="B1543" t="s">
        <v>1630</v>
      </c>
      <c r="C1543" t="str">
        <f>"9780521622097"</f>
        <v>9780521622097</v>
      </c>
      <c r="D1543" t="str">
        <f>"9780511167423"</f>
        <v>9780511167423</v>
      </c>
      <c r="E1543" t="s">
        <v>18</v>
      </c>
      <c r="F1543" t="s">
        <v>18</v>
      </c>
      <c r="G1543" s="1">
        <v>38803</v>
      </c>
      <c r="H1543" s="1">
        <v>38831</v>
      </c>
      <c r="I1543" t="s">
        <v>12</v>
      </c>
      <c r="J1543" t="s">
        <v>12313</v>
      </c>
    </row>
    <row r="1544" spans="1:10" x14ac:dyDescent="0.25">
      <c r="A1544">
        <v>256579</v>
      </c>
      <c r="B1544" t="s">
        <v>1631</v>
      </c>
      <c r="C1544" t="str">
        <f>"9780521662277"</f>
        <v>9780521662277</v>
      </c>
      <c r="D1544" t="str">
        <f>"9780511167447"</f>
        <v>9780511167447</v>
      </c>
      <c r="E1544" t="s">
        <v>18</v>
      </c>
      <c r="F1544" t="s">
        <v>18</v>
      </c>
      <c r="G1544" s="1">
        <v>39524</v>
      </c>
      <c r="H1544" s="1">
        <v>38828</v>
      </c>
      <c r="I1544" t="s">
        <v>12</v>
      </c>
      <c r="J1544" t="s">
        <v>12314</v>
      </c>
    </row>
    <row r="1545" spans="1:10" x14ac:dyDescent="0.25">
      <c r="A1545">
        <v>256588</v>
      </c>
      <c r="B1545" t="s">
        <v>1632</v>
      </c>
      <c r="C1545" t="str">
        <f>"9780521823012"</f>
        <v>9780521823012</v>
      </c>
      <c r="D1545" t="str">
        <f>"9780511167522"</f>
        <v>9780511167522</v>
      </c>
      <c r="E1545" t="s">
        <v>18</v>
      </c>
      <c r="F1545" t="s">
        <v>18</v>
      </c>
      <c r="G1545" s="1">
        <v>38782</v>
      </c>
      <c r="H1545" s="1">
        <v>38831</v>
      </c>
      <c r="I1545" t="s">
        <v>12</v>
      </c>
      <c r="J1545" t="s">
        <v>12315</v>
      </c>
    </row>
    <row r="1546" spans="1:10" x14ac:dyDescent="0.25">
      <c r="A1546">
        <v>256591</v>
      </c>
      <c r="B1546" t="s">
        <v>1633</v>
      </c>
      <c r="C1546" t="str">
        <f>"9780521831642"</f>
        <v>9780521831642</v>
      </c>
      <c r="D1546" t="str">
        <f>"9780511167553"</f>
        <v>9780511167553</v>
      </c>
      <c r="E1546" t="s">
        <v>18</v>
      </c>
      <c r="F1546" t="s">
        <v>18</v>
      </c>
      <c r="G1546" s="1">
        <v>38726</v>
      </c>
      <c r="H1546" s="1">
        <v>38887</v>
      </c>
      <c r="I1546" t="s">
        <v>12</v>
      </c>
      <c r="J1546" t="s">
        <v>12316</v>
      </c>
    </row>
    <row r="1547" spans="1:10" x14ac:dyDescent="0.25">
      <c r="A1547">
        <v>256598</v>
      </c>
      <c r="B1547" t="s">
        <v>1634</v>
      </c>
      <c r="C1547" t="str">
        <f>"9780521842075"</f>
        <v>9780521842075</v>
      </c>
      <c r="D1547" t="str">
        <f>"9780511167621"</f>
        <v>9780511167621</v>
      </c>
      <c r="E1547" t="s">
        <v>18</v>
      </c>
      <c r="F1547" t="s">
        <v>18</v>
      </c>
      <c r="G1547" s="1">
        <v>38808</v>
      </c>
      <c r="H1547" s="1">
        <v>38831</v>
      </c>
      <c r="I1547" t="s">
        <v>12</v>
      </c>
      <c r="J1547" t="s">
        <v>12317</v>
      </c>
    </row>
    <row r="1548" spans="1:10" x14ac:dyDescent="0.25">
      <c r="A1548">
        <v>256604</v>
      </c>
      <c r="B1548" t="s">
        <v>1635</v>
      </c>
      <c r="C1548" t="str">
        <f>"9780521849418"</f>
        <v>9780521849418</v>
      </c>
      <c r="D1548" t="str">
        <f>"9780511167683"</f>
        <v>9780511167683</v>
      </c>
      <c r="E1548" t="s">
        <v>18</v>
      </c>
      <c r="F1548" t="s">
        <v>18</v>
      </c>
      <c r="G1548" s="1">
        <v>38808</v>
      </c>
      <c r="H1548" s="1">
        <v>38831</v>
      </c>
      <c r="I1548" t="s">
        <v>12</v>
      </c>
      <c r="J1548" t="s">
        <v>12318</v>
      </c>
    </row>
    <row r="1549" spans="1:10" x14ac:dyDescent="0.25">
      <c r="A1549">
        <v>256611</v>
      </c>
      <c r="B1549" t="s">
        <v>1636</v>
      </c>
      <c r="C1549" t="str">
        <f>"9780521854900"</f>
        <v>9780521854900</v>
      </c>
      <c r="D1549" t="str">
        <f>"9780511167751"</f>
        <v>9780511167751</v>
      </c>
      <c r="E1549" t="s">
        <v>18</v>
      </c>
      <c r="F1549" t="s">
        <v>18</v>
      </c>
      <c r="G1549" s="1">
        <v>38808</v>
      </c>
      <c r="H1549" s="1">
        <v>38831</v>
      </c>
      <c r="I1549" t="s">
        <v>12</v>
      </c>
      <c r="J1549" t="s">
        <v>12319</v>
      </c>
    </row>
    <row r="1550" spans="1:10" x14ac:dyDescent="0.25">
      <c r="A1550">
        <v>256613</v>
      </c>
      <c r="B1550" t="s">
        <v>1637</v>
      </c>
      <c r="C1550" t="str">
        <f>"9780521855150"</f>
        <v>9780521855150</v>
      </c>
      <c r="D1550" t="str">
        <f>"9780511167775"</f>
        <v>9780511167775</v>
      </c>
      <c r="E1550" t="s">
        <v>18</v>
      </c>
      <c r="F1550" t="s">
        <v>18</v>
      </c>
      <c r="G1550" s="1">
        <v>38785</v>
      </c>
      <c r="H1550" s="1">
        <v>38837</v>
      </c>
      <c r="I1550" t="s">
        <v>12</v>
      </c>
      <c r="J1550" t="s">
        <v>12320</v>
      </c>
    </row>
    <row r="1551" spans="1:10" x14ac:dyDescent="0.25">
      <c r="A1551">
        <v>256618</v>
      </c>
      <c r="B1551" t="s">
        <v>1638</v>
      </c>
      <c r="C1551" t="str">
        <f>"9780521857598"</f>
        <v>9780521857598</v>
      </c>
      <c r="D1551" t="str">
        <f>"9780511167812"</f>
        <v>9780511167812</v>
      </c>
      <c r="E1551" t="s">
        <v>18</v>
      </c>
      <c r="F1551" t="s">
        <v>18</v>
      </c>
      <c r="G1551" s="1">
        <v>38749</v>
      </c>
      <c r="H1551" s="1">
        <v>38831</v>
      </c>
      <c r="I1551" t="s">
        <v>12</v>
      </c>
      <c r="J1551" t="s">
        <v>12321</v>
      </c>
    </row>
    <row r="1552" spans="1:10" x14ac:dyDescent="0.25">
      <c r="A1552">
        <v>256620</v>
      </c>
      <c r="B1552" t="s">
        <v>1639</v>
      </c>
      <c r="C1552" t="str">
        <f>"9780521857956"</f>
        <v>9780521857956</v>
      </c>
      <c r="D1552" t="str">
        <f>"9780511167836"</f>
        <v>9780511167836</v>
      </c>
      <c r="E1552" t="s">
        <v>18</v>
      </c>
      <c r="F1552" t="s">
        <v>18</v>
      </c>
      <c r="G1552" s="1">
        <v>38808</v>
      </c>
      <c r="H1552" s="1">
        <v>38831</v>
      </c>
      <c r="I1552" t="s">
        <v>12</v>
      </c>
      <c r="J1552" t="s">
        <v>12322</v>
      </c>
    </row>
    <row r="1553" spans="1:10" x14ac:dyDescent="0.25">
      <c r="A1553">
        <v>256621</v>
      </c>
      <c r="B1553" t="s">
        <v>1640</v>
      </c>
      <c r="C1553" t="str">
        <f>"9780521858335"</f>
        <v>9780521858335</v>
      </c>
      <c r="D1553" t="str">
        <f>"9780511167843"</f>
        <v>9780511167843</v>
      </c>
      <c r="E1553" t="s">
        <v>18</v>
      </c>
      <c r="F1553" t="s">
        <v>18</v>
      </c>
      <c r="G1553" s="1">
        <v>38808</v>
      </c>
      <c r="H1553" s="1">
        <v>38837</v>
      </c>
      <c r="I1553" t="s">
        <v>12</v>
      </c>
      <c r="J1553" t="s">
        <v>12323</v>
      </c>
    </row>
    <row r="1554" spans="1:10" x14ac:dyDescent="0.25">
      <c r="A1554">
        <v>256622</v>
      </c>
      <c r="B1554" t="s">
        <v>1641</v>
      </c>
      <c r="C1554" t="str">
        <f>"9780521858595"</f>
        <v>9780521858595</v>
      </c>
      <c r="D1554" t="str">
        <f>"9780511167850"</f>
        <v>9780511167850</v>
      </c>
      <c r="E1554" t="s">
        <v>18</v>
      </c>
      <c r="F1554" t="s">
        <v>18</v>
      </c>
      <c r="G1554" s="1">
        <v>38777</v>
      </c>
      <c r="H1554" s="1">
        <v>38828</v>
      </c>
      <c r="I1554" t="s">
        <v>12</v>
      </c>
      <c r="J1554" t="s">
        <v>12324</v>
      </c>
    </row>
    <row r="1555" spans="1:10" x14ac:dyDescent="0.25">
      <c r="A1555">
        <v>256628</v>
      </c>
      <c r="B1555" t="s">
        <v>1642</v>
      </c>
      <c r="C1555" t="str">
        <f>"9780521863537"</f>
        <v>9780521863537</v>
      </c>
      <c r="D1555" t="str">
        <f>"9780511167935"</f>
        <v>9780511167935</v>
      </c>
      <c r="E1555" t="s">
        <v>18</v>
      </c>
      <c r="F1555" t="s">
        <v>18</v>
      </c>
      <c r="G1555" s="1">
        <v>38777</v>
      </c>
      <c r="H1555" s="1">
        <v>38831</v>
      </c>
      <c r="I1555" t="s">
        <v>12</v>
      </c>
      <c r="J1555" t="s">
        <v>12325</v>
      </c>
    </row>
    <row r="1556" spans="1:10" x14ac:dyDescent="0.25">
      <c r="A1556">
        <v>256663</v>
      </c>
      <c r="B1556" t="s">
        <v>1643</v>
      </c>
      <c r="C1556" t="str">
        <f>"9780521820981"</f>
        <v>9780521820981</v>
      </c>
      <c r="D1556" t="str">
        <f>"9780511187285"</f>
        <v>9780511187285</v>
      </c>
      <c r="E1556" t="s">
        <v>18</v>
      </c>
      <c r="F1556" t="s">
        <v>18</v>
      </c>
      <c r="G1556" s="1">
        <v>38043</v>
      </c>
      <c r="H1556" s="1">
        <v>38887</v>
      </c>
      <c r="I1556" t="s">
        <v>12</v>
      </c>
      <c r="J1556" t="s">
        <v>12326</v>
      </c>
    </row>
    <row r="1557" spans="1:10" x14ac:dyDescent="0.25">
      <c r="A1557">
        <v>256666</v>
      </c>
      <c r="B1557" t="s">
        <v>1644</v>
      </c>
      <c r="C1557" t="str">
        <f>"9780521822879"</f>
        <v>9780521822879</v>
      </c>
      <c r="D1557" t="str">
        <f>"9780511187315"</f>
        <v>9780511187315</v>
      </c>
      <c r="E1557" t="s">
        <v>18</v>
      </c>
      <c r="F1557" t="s">
        <v>18</v>
      </c>
      <c r="G1557" s="1">
        <v>37970</v>
      </c>
      <c r="H1557" s="1">
        <v>38887</v>
      </c>
      <c r="I1557" t="s">
        <v>12</v>
      </c>
      <c r="J1557" t="s">
        <v>12327</v>
      </c>
    </row>
    <row r="1558" spans="1:10" x14ac:dyDescent="0.25">
      <c r="A1558">
        <v>256688</v>
      </c>
      <c r="B1558" t="s">
        <v>1645</v>
      </c>
      <c r="C1558" t="str">
        <f>"9780521828130"</f>
        <v>9780521828130</v>
      </c>
      <c r="D1558" t="str">
        <f>"9780511187681"</f>
        <v>9780511187681</v>
      </c>
      <c r="E1558" t="s">
        <v>18</v>
      </c>
      <c r="F1558" t="s">
        <v>18</v>
      </c>
      <c r="G1558" s="1">
        <v>38036</v>
      </c>
      <c r="H1558" s="1">
        <v>38887</v>
      </c>
      <c r="I1558" t="s">
        <v>12</v>
      </c>
      <c r="J1558" t="s">
        <v>12328</v>
      </c>
    </row>
    <row r="1559" spans="1:10" x14ac:dyDescent="0.25">
      <c r="A1559">
        <v>256700</v>
      </c>
      <c r="B1559" t="s">
        <v>1646</v>
      </c>
      <c r="C1559" t="str">
        <f>"9780521832038"</f>
        <v>9780521832038</v>
      </c>
      <c r="D1559" t="str">
        <f>"9780511187896"</f>
        <v>9780511187896</v>
      </c>
      <c r="E1559" t="s">
        <v>18</v>
      </c>
      <c r="F1559" t="s">
        <v>18</v>
      </c>
      <c r="G1559" s="1">
        <v>38068</v>
      </c>
      <c r="H1559" s="1">
        <v>38887</v>
      </c>
      <c r="I1559" t="s">
        <v>12</v>
      </c>
      <c r="J1559" t="s">
        <v>12329</v>
      </c>
    </row>
    <row r="1560" spans="1:10" x14ac:dyDescent="0.25">
      <c r="A1560">
        <v>256846</v>
      </c>
      <c r="B1560" t="s">
        <v>1647</v>
      </c>
      <c r="C1560" t="str">
        <f>"9781593572433"</f>
        <v>9781593572433</v>
      </c>
      <c r="D1560" t="str">
        <f>"9781593573423"</f>
        <v>9781593573423</v>
      </c>
      <c r="E1560" t="s">
        <v>1142</v>
      </c>
      <c r="F1560" t="s">
        <v>1143</v>
      </c>
      <c r="G1560" s="1">
        <v>38833</v>
      </c>
      <c r="H1560" s="1">
        <v>38909</v>
      </c>
      <c r="I1560" t="s">
        <v>12</v>
      </c>
      <c r="J1560" t="s">
        <v>12330</v>
      </c>
    </row>
    <row r="1561" spans="1:10" x14ac:dyDescent="0.25">
      <c r="A1561">
        <v>256879</v>
      </c>
      <c r="B1561" t="s">
        <v>1648</v>
      </c>
      <c r="C1561" t="str">
        <f>"9780415160384"</f>
        <v>9780415160384</v>
      </c>
      <c r="D1561" t="str">
        <f>"9780203984215"</f>
        <v>9780203984215</v>
      </c>
      <c r="E1561" t="s">
        <v>15</v>
      </c>
      <c r="F1561" t="s">
        <v>16</v>
      </c>
      <c r="G1561" s="1">
        <v>36062</v>
      </c>
      <c r="H1561" s="1">
        <v>39997</v>
      </c>
      <c r="I1561" t="s">
        <v>12</v>
      </c>
      <c r="J1561" t="s">
        <v>12331</v>
      </c>
    </row>
    <row r="1562" spans="1:10" x14ac:dyDescent="0.25">
      <c r="A1562">
        <v>256881</v>
      </c>
      <c r="B1562" t="s">
        <v>1649</v>
      </c>
      <c r="C1562" t="str">
        <f>"9780415022255"</f>
        <v>9780415022255</v>
      </c>
      <c r="D1562" t="str">
        <f>"9780203980057"</f>
        <v>9780203980057</v>
      </c>
      <c r="E1562" t="s">
        <v>15</v>
      </c>
      <c r="F1562" t="s">
        <v>16</v>
      </c>
      <c r="G1562" s="1">
        <v>35194</v>
      </c>
      <c r="H1562" s="1">
        <v>38837</v>
      </c>
      <c r="I1562" t="s">
        <v>12</v>
      </c>
      <c r="J1562" t="s">
        <v>12332</v>
      </c>
    </row>
    <row r="1563" spans="1:10" x14ac:dyDescent="0.25">
      <c r="A1563">
        <v>256883</v>
      </c>
      <c r="B1563" t="s">
        <v>1650</v>
      </c>
      <c r="C1563" t="str">
        <f>"9780415253215"</f>
        <v>9780415253215</v>
      </c>
      <c r="D1563" t="str">
        <f>"9780203994160"</f>
        <v>9780203994160</v>
      </c>
      <c r="E1563" t="s">
        <v>16</v>
      </c>
      <c r="F1563" t="s">
        <v>16</v>
      </c>
      <c r="G1563" s="1">
        <v>37428</v>
      </c>
      <c r="H1563" s="1">
        <v>38837</v>
      </c>
      <c r="I1563" t="s">
        <v>12</v>
      </c>
      <c r="J1563" t="s">
        <v>12333</v>
      </c>
    </row>
    <row r="1564" spans="1:10" x14ac:dyDescent="0.25">
      <c r="A1564">
        <v>256888</v>
      </c>
      <c r="B1564" t="s">
        <v>1651</v>
      </c>
      <c r="C1564" t="str">
        <f>"9780415312585"</f>
        <v>9780415312585</v>
      </c>
      <c r="D1564" t="str">
        <f>"9780203489949"</f>
        <v>9780203489949</v>
      </c>
      <c r="E1564" t="s">
        <v>15</v>
      </c>
      <c r="F1564" t="s">
        <v>16</v>
      </c>
      <c r="G1564" s="1">
        <v>38516</v>
      </c>
      <c r="H1564" s="1">
        <v>38836</v>
      </c>
      <c r="I1564" t="s">
        <v>12</v>
      </c>
      <c r="J1564" t="s">
        <v>12334</v>
      </c>
    </row>
    <row r="1565" spans="1:10" x14ac:dyDescent="0.25">
      <c r="A1565">
        <v>256891</v>
      </c>
      <c r="B1565" t="s">
        <v>1652</v>
      </c>
      <c r="C1565" t="str">
        <f>"9780415316903"</f>
        <v>9780415316903</v>
      </c>
      <c r="D1565" t="str">
        <f>"9780203969298"</f>
        <v>9780203969298</v>
      </c>
      <c r="E1565" t="s">
        <v>15</v>
      </c>
      <c r="F1565" t="s">
        <v>16</v>
      </c>
      <c r="G1565" s="1">
        <v>38701</v>
      </c>
      <c r="H1565" s="1">
        <v>38837</v>
      </c>
      <c r="I1565" t="s">
        <v>12</v>
      </c>
      <c r="J1565" t="s">
        <v>12335</v>
      </c>
    </row>
    <row r="1566" spans="1:10" x14ac:dyDescent="0.25">
      <c r="A1566">
        <v>256893</v>
      </c>
      <c r="B1566" t="s">
        <v>1653</v>
      </c>
      <c r="C1566" t="str">
        <f>"9780415320580"</f>
        <v>9780415320580</v>
      </c>
      <c r="D1566" t="str">
        <f>"9780203238233"</f>
        <v>9780203238233</v>
      </c>
      <c r="E1566" t="s">
        <v>15</v>
      </c>
      <c r="F1566" t="s">
        <v>16</v>
      </c>
      <c r="G1566" s="1">
        <v>38386</v>
      </c>
      <c r="H1566" s="1">
        <v>38837</v>
      </c>
      <c r="I1566" t="s">
        <v>12</v>
      </c>
      <c r="J1566" t="s">
        <v>12336</v>
      </c>
    </row>
    <row r="1567" spans="1:10" x14ac:dyDescent="0.25">
      <c r="A1567">
        <v>256901</v>
      </c>
      <c r="B1567" t="s">
        <v>1654</v>
      </c>
      <c r="C1567" t="str">
        <f>"9780415335607"</f>
        <v>9780415335607</v>
      </c>
      <c r="D1567" t="str">
        <f>"9780203420249"</f>
        <v>9780203420249</v>
      </c>
      <c r="E1567" t="s">
        <v>15</v>
      </c>
      <c r="F1567" t="s">
        <v>16</v>
      </c>
      <c r="G1567" s="1">
        <v>38737</v>
      </c>
      <c r="H1567" s="1">
        <v>38837</v>
      </c>
      <c r="I1567" t="s">
        <v>12</v>
      </c>
      <c r="J1567" t="s">
        <v>12337</v>
      </c>
    </row>
    <row r="1568" spans="1:10" x14ac:dyDescent="0.25">
      <c r="A1568">
        <v>256905</v>
      </c>
      <c r="B1568" t="s">
        <v>1655</v>
      </c>
      <c r="C1568" t="str">
        <f>"9780415340984"</f>
        <v>9780415340984</v>
      </c>
      <c r="D1568" t="str">
        <f>"9780203463321"</f>
        <v>9780203463321</v>
      </c>
      <c r="E1568" t="s">
        <v>15</v>
      </c>
      <c r="F1568" t="s">
        <v>16</v>
      </c>
      <c r="G1568" s="1">
        <v>38628</v>
      </c>
      <c r="H1568" s="1">
        <v>38837</v>
      </c>
      <c r="I1568" t="s">
        <v>12</v>
      </c>
      <c r="J1568" t="s">
        <v>12338</v>
      </c>
    </row>
    <row r="1569" spans="1:10" x14ac:dyDescent="0.25">
      <c r="A1569">
        <v>256915</v>
      </c>
      <c r="B1569" t="s">
        <v>1656</v>
      </c>
      <c r="C1569" t="str">
        <f>"9780415355384"</f>
        <v>9780415355384</v>
      </c>
      <c r="D1569" t="str">
        <f>"9780203001721"</f>
        <v>9780203001721</v>
      </c>
      <c r="E1569" t="s">
        <v>15</v>
      </c>
      <c r="F1569" t="s">
        <v>16</v>
      </c>
      <c r="G1569" s="1">
        <v>38667</v>
      </c>
      <c r="H1569" s="1">
        <v>38837</v>
      </c>
      <c r="I1569" t="s">
        <v>12</v>
      </c>
      <c r="J1569" t="s">
        <v>12339</v>
      </c>
    </row>
    <row r="1570" spans="1:10" x14ac:dyDescent="0.25">
      <c r="A1570">
        <v>256916</v>
      </c>
      <c r="B1570" t="s">
        <v>1657</v>
      </c>
      <c r="C1570" t="str">
        <f>"9780415355988"</f>
        <v>9780415355988</v>
      </c>
      <c r="D1570" t="str">
        <f>"9780203002445"</f>
        <v>9780203002445</v>
      </c>
      <c r="E1570" t="s">
        <v>15</v>
      </c>
      <c r="F1570" t="s">
        <v>16</v>
      </c>
      <c r="G1570" s="1">
        <v>38702</v>
      </c>
      <c r="H1570" s="1">
        <v>38836</v>
      </c>
      <c r="I1570" t="s">
        <v>12</v>
      </c>
      <c r="J1570" t="s">
        <v>12340</v>
      </c>
    </row>
    <row r="1571" spans="1:10" x14ac:dyDescent="0.25">
      <c r="A1571">
        <v>256919</v>
      </c>
      <c r="B1571" t="s">
        <v>1658</v>
      </c>
      <c r="C1571" t="str">
        <f>"9780415357814"</f>
        <v>9780415357814</v>
      </c>
      <c r="D1571" t="str">
        <f>"9780203003862"</f>
        <v>9780203003862</v>
      </c>
      <c r="E1571" t="s">
        <v>144</v>
      </c>
      <c r="F1571" t="s">
        <v>153</v>
      </c>
      <c r="G1571" s="1">
        <v>38730</v>
      </c>
      <c r="H1571" s="1">
        <v>38887</v>
      </c>
      <c r="I1571" t="s">
        <v>12</v>
      </c>
      <c r="J1571" t="s">
        <v>12341</v>
      </c>
    </row>
    <row r="1572" spans="1:10" x14ac:dyDescent="0.25">
      <c r="A1572">
        <v>256924</v>
      </c>
      <c r="B1572" t="s">
        <v>1659</v>
      </c>
      <c r="C1572" t="str">
        <f>"9780415360401"</f>
        <v>9780415360401</v>
      </c>
      <c r="D1572" t="str">
        <f>"9780203008058"</f>
        <v>9780203008058</v>
      </c>
      <c r="E1572" t="s">
        <v>15</v>
      </c>
      <c r="F1572" t="s">
        <v>16</v>
      </c>
      <c r="G1572" s="1">
        <v>38718</v>
      </c>
      <c r="H1572" s="1">
        <v>38837</v>
      </c>
      <c r="I1572" t="s">
        <v>12</v>
      </c>
      <c r="J1572" t="s">
        <v>12342</v>
      </c>
    </row>
    <row r="1573" spans="1:10" x14ac:dyDescent="0.25">
      <c r="A1573">
        <v>256925</v>
      </c>
      <c r="B1573" t="s">
        <v>1660</v>
      </c>
      <c r="C1573" t="str">
        <f>"9780415360814"</f>
        <v>9780415360814</v>
      </c>
      <c r="D1573" t="str">
        <f>"9780203008386"</f>
        <v>9780203008386</v>
      </c>
      <c r="E1573" t="s">
        <v>15</v>
      </c>
      <c r="F1573" t="s">
        <v>16</v>
      </c>
      <c r="G1573" s="1">
        <v>38730</v>
      </c>
      <c r="H1573" s="1">
        <v>38836</v>
      </c>
      <c r="I1573" t="s">
        <v>12</v>
      </c>
      <c r="J1573" t="s">
        <v>12343</v>
      </c>
    </row>
    <row r="1574" spans="1:10" x14ac:dyDescent="0.25">
      <c r="A1574">
        <v>256928</v>
      </c>
      <c r="B1574" t="s">
        <v>1661</v>
      </c>
      <c r="C1574" t="str">
        <f>"9780415362122"</f>
        <v>9780415362122</v>
      </c>
      <c r="D1574" t="str">
        <f>"9780203012376"</f>
        <v>9780203012376</v>
      </c>
      <c r="E1574" t="s">
        <v>15</v>
      </c>
      <c r="F1574" t="s">
        <v>16</v>
      </c>
      <c r="G1574" s="1">
        <v>38777</v>
      </c>
      <c r="H1574" s="1">
        <v>38837</v>
      </c>
      <c r="I1574" t="s">
        <v>12</v>
      </c>
      <c r="J1574" t="s">
        <v>12344</v>
      </c>
    </row>
    <row r="1575" spans="1:10" x14ac:dyDescent="0.25">
      <c r="A1575">
        <v>256931</v>
      </c>
      <c r="B1575" t="s">
        <v>1662</v>
      </c>
      <c r="C1575" t="str">
        <f>"9780415367462"</f>
        <v>9780415367462</v>
      </c>
      <c r="D1575" t="str">
        <f>"9780203020012"</f>
        <v>9780203020012</v>
      </c>
      <c r="E1575" t="s">
        <v>15</v>
      </c>
      <c r="F1575" t="s">
        <v>16</v>
      </c>
      <c r="G1575" s="1">
        <v>38595</v>
      </c>
      <c r="H1575" s="1">
        <v>38837</v>
      </c>
      <c r="I1575" t="s">
        <v>12</v>
      </c>
      <c r="J1575" t="s">
        <v>12345</v>
      </c>
    </row>
    <row r="1576" spans="1:10" x14ac:dyDescent="0.25">
      <c r="A1576">
        <v>256943</v>
      </c>
      <c r="B1576" t="s">
        <v>1663</v>
      </c>
      <c r="C1576" t="str">
        <f>"9780415385763"</f>
        <v>9780415385763</v>
      </c>
      <c r="D1576" t="str">
        <f>"9780203969960"</f>
        <v>9780203969960</v>
      </c>
      <c r="E1576" t="s">
        <v>15</v>
      </c>
      <c r="F1576" t="s">
        <v>16</v>
      </c>
      <c r="G1576" s="1">
        <v>38705</v>
      </c>
      <c r="H1576" s="1">
        <v>38837</v>
      </c>
      <c r="I1576" t="s">
        <v>12</v>
      </c>
      <c r="J1576" t="s">
        <v>12346</v>
      </c>
    </row>
    <row r="1577" spans="1:10" x14ac:dyDescent="0.25">
      <c r="A1577">
        <v>256947</v>
      </c>
      <c r="B1577" t="s">
        <v>1664</v>
      </c>
      <c r="C1577" t="str">
        <f>"9780415701853"</f>
        <v>9780415701853</v>
      </c>
      <c r="D1577" t="str">
        <f>"9780203099841"</f>
        <v>9780203099841</v>
      </c>
      <c r="E1577" t="s">
        <v>15</v>
      </c>
      <c r="F1577" t="s">
        <v>16</v>
      </c>
      <c r="G1577" s="1">
        <v>38706</v>
      </c>
      <c r="H1577" s="1">
        <v>38836</v>
      </c>
      <c r="I1577" t="s">
        <v>12</v>
      </c>
      <c r="J1577" t="s">
        <v>12347</v>
      </c>
    </row>
    <row r="1578" spans="1:10" x14ac:dyDescent="0.25">
      <c r="A1578">
        <v>256963</v>
      </c>
      <c r="B1578" t="s">
        <v>1665</v>
      </c>
      <c r="C1578" t="str">
        <f>"9780728600430"</f>
        <v>9780728600430</v>
      </c>
      <c r="D1578" t="str">
        <f>"9780203989531"</f>
        <v>9780203989531</v>
      </c>
      <c r="E1578" t="s">
        <v>15</v>
      </c>
      <c r="F1578" t="s">
        <v>16</v>
      </c>
      <c r="G1578" s="1">
        <v>37235</v>
      </c>
      <c r="H1578" s="1">
        <v>38837</v>
      </c>
      <c r="I1578" t="s">
        <v>12</v>
      </c>
      <c r="J1578" t="s">
        <v>12348</v>
      </c>
    </row>
    <row r="1579" spans="1:10" x14ac:dyDescent="0.25">
      <c r="A1579">
        <v>256981</v>
      </c>
      <c r="B1579" t="s">
        <v>1666</v>
      </c>
      <c r="C1579" t="str">
        <f>"9780853343967"</f>
        <v>9780853343967</v>
      </c>
      <c r="D1579" t="str">
        <f>"9780203978030"</f>
        <v>9780203978030</v>
      </c>
      <c r="E1579" t="s">
        <v>15</v>
      </c>
      <c r="F1579" t="s">
        <v>139</v>
      </c>
      <c r="G1579" s="1">
        <v>33238</v>
      </c>
      <c r="H1579" s="1">
        <v>38836</v>
      </c>
      <c r="I1579" t="s">
        <v>12</v>
      </c>
      <c r="J1579" t="s">
        <v>12349</v>
      </c>
    </row>
    <row r="1580" spans="1:10" x14ac:dyDescent="0.25">
      <c r="A1580">
        <v>256993</v>
      </c>
      <c r="B1580" t="s">
        <v>1667</v>
      </c>
      <c r="C1580" t="str">
        <f>"9781850000273"</f>
        <v>9781850000273</v>
      </c>
      <c r="D1580" t="str">
        <f>"9780203974049"</f>
        <v>9780203974049</v>
      </c>
      <c r="E1580" t="s">
        <v>15</v>
      </c>
      <c r="F1580" t="s">
        <v>16</v>
      </c>
      <c r="G1580" s="1">
        <v>31048</v>
      </c>
      <c r="H1580" s="1">
        <v>38836</v>
      </c>
      <c r="I1580" t="s">
        <v>12</v>
      </c>
      <c r="J1580" t="s">
        <v>12350</v>
      </c>
    </row>
    <row r="1581" spans="1:10" x14ac:dyDescent="0.25">
      <c r="A1581">
        <v>256996</v>
      </c>
      <c r="B1581" t="s">
        <v>1668</v>
      </c>
      <c r="C1581" t="str">
        <f>"9789056995539"</f>
        <v>9789056995539</v>
      </c>
      <c r="D1581" t="str">
        <f>"9780203985182"</f>
        <v>9780203985182</v>
      </c>
      <c r="E1581" t="s">
        <v>15</v>
      </c>
      <c r="F1581" t="s">
        <v>16</v>
      </c>
      <c r="G1581" s="1">
        <v>38660</v>
      </c>
      <c r="H1581" s="1">
        <v>38836</v>
      </c>
      <c r="I1581" t="s">
        <v>12</v>
      </c>
      <c r="J1581" t="s">
        <v>12351</v>
      </c>
    </row>
    <row r="1582" spans="1:10" x14ac:dyDescent="0.25">
      <c r="A1582">
        <v>257004</v>
      </c>
      <c r="B1582" t="s">
        <v>1669</v>
      </c>
      <c r="C1582" t="str">
        <f>"9780415283373"</f>
        <v>9780415283373</v>
      </c>
      <c r="D1582" t="str">
        <f>"9780203088135"</f>
        <v>9780203088135</v>
      </c>
      <c r="E1582" t="s">
        <v>16</v>
      </c>
      <c r="F1582" t="s">
        <v>16</v>
      </c>
      <c r="G1582" s="1">
        <v>38516</v>
      </c>
      <c r="H1582" s="1">
        <v>38837</v>
      </c>
      <c r="I1582" t="s">
        <v>12</v>
      </c>
      <c r="J1582" t="s">
        <v>12352</v>
      </c>
    </row>
    <row r="1583" spans="1:10" x14ac:dyDescent="0.25">
      <c r="A1583">
        <v>257005</v>
      </c>
      <c r="B1583" t="s">
        <v>1670</v>
      </c>
      <c r="C1583" t="str">
        <f>"9780415291781"</f>
        <v>9780415291781</v>
      </c>
      <c r="D1583" t="str">
        <f>"9781134436217"</f>
        <v>9781134436217</v>
      </c>
      <c r="E1583" t="s">
        <v>15</v>
      </c>
      <c r="F1583" t="s">
        <v>16</v>
      </c>
      <c r="G1583" s="1">
        <v>38805</v>
      </c>
      <c r="H1583" s="1">
        <v>38837</v>
      </c>
      <c r="I1583" t="s">
        <v>12</v>
      </c>
      <c r="J1583" t="s">
        <v>12353</v>
      </c>
    </row>
    <row r="1584" spans="1:10" x14ac:dyDescent="0.25">
      <c r="A1584">
        <v>257011</v>
      </c>
      <c r="B1584" t="s">
        <v>1671</v>
      </c>
      <c r="C1584" t="str">
        <f>"9780415371520"</f>
        <v>9780415371520</v>
      </c>
      <c r="D1584" t="str">
        <f>"9780203099827"</f>
        <v>9780203099827</v>
      </c>
      <c r="E1584" t="s">
        <v>15</v>
      </c>
      <c r="F1584" t="s">
        <v>16</v>
      </c>
      <c r="G1584" s="1">
        <v>38702</v>
      </c>
      <c r="H1584" s="1">
        <v>38837</v>
      </c>
      <c r="I1584" t="s">
        <v>12</v>
      </c>
      <c r="J1584" t="s">
        <v>12354</v>
      </c>
    </row>
    <row r="1585" spans="1:10" x14ac:dyDescent="0.25">
      <c r="A1585">
        <v>257015</v>
      </c>
      <c r="B1585" t="s">
        <v>1672</v>
      </c>
      <c r="C1585" t="str">
        <f>"9780824748142"</f>
        <v>9780824748142</v>
      </c>
      <c r="D1585" t="str">
        <f>"9780203021743"</f>
        <v>9780203021743</v>
      </c>
      <c r="E1585" t="s">
        <v>15</v>
      </c>
      <c r="F1585" t="s">
        <v>153</v>
      </c>
      <c r="G1585" s="1">
        <v>37987</v>
      </c>
      <c r="H1585" s="1">
        <v>38837</v>
      </c>
      <c r="I1585" t="s">
        <v>12</v>
      </c>
      <c r="J1585" t="s">
        <v>12355</v>
      </c>
    </row>
    <row r="1586" spans="1:10" x14ac:dyDescent="0.25">
      <c r="A1586">
        <v>257017</v>
      </c>
      <c r="B1586" t="s">
        <v>1673</v>
      </c>
      <c r="C1586" t="str">
        <f>"9781583917565"</f>
        <v>9781583917565</v>
      </c>
      <c r="D1586" t="str">
        <f>"9780203015391"</f>
        <v>9780203015391</v>
      </c>
      <c r="E1586" t="s">
        <v>15</v>
      </c>
      <c r="F1586" t="s">
        <v>16</v>
      </c>
      <c r="G1586" s="1">
        <v>38573</v>
      </c>
      <c r="H1586" s="1">
        <v>38837</v>
      </c>
      <c r="I1586" t="s">
        <v>12</v>
      </c>
      <c r="J1586" t="s">
        <v>12356</v>
      </c>
    </row>
    <row r="1587" spans="1:10" x14ac:dyDescent="0.25">
      <c r="A1587">
        <v>257025</v>
      </c>
      <c r="B1587" t="s">
        <v>1674</v>
      </c>
      <c r="C1587" t="str">
        <f>"9781593573126"</f>
        <v>9781593573126</v>
      </c>
      <c r="D1587" t="str">
        <f>"9781593573522"</f>
        <v>9781593573522</v>
      </c>
      <c r="E1587" t="s">
        <v>1142</v>
      </c>
      <c r="F1587" t="s">
        <v>1143</v>
      </c>
      <c r="G1587" s="1">
        <v>38837</v>
      </c>
      <c r="H1587" s="1">
        <v>38953</v>
      </c>
      <c r="I1587" t="s">
        <v>12</v>
      </c>
      <c r="J1587" t="s">
        <v>12357</v>
      </c>
    </row>
    <row r="1588" spans="1:10" x14ac:dyDescent="0.25">
      <c r="A1588">
        <v>257318</v>
      </c>
      <c r="B1588" t="s">
        <v>1675</v>
      </c>
      <c r="C1588" t="str">
        <f>"9781403913326"</f>
        <v>9781403913326</v>
      </c>
      <c r="D1588" t="str">
        <f>"9780230501027"</f>
        <v>9780230501027</v>
      </c>
      <c r="E1588" t="s">
        <v>875</v>
      </c>
      <c r="F1588" t="s">
        <v>876</v>
      </c>
      <c r="G1588" s="1">
        <v>38006</v>
      </c>
      <c r="H1588" s="1">
        <v>38897</v>
      </c>
      <c r="I1588" t="s">
        <v>12</v>
      </c>
      <c r="J1588" t="s">
        <v>12358</v>
      </c>
    </row>
    <row r="1589" spans="1:10" x14ac:dyDescent="0.25">
      <c r="A1589">
        <v>257321</v>
      </c>
      <c r="B1589" t="s">
        <v>1676</v>
      </c>
      <c r="C1589" t="str">
        <f>"9781403946799"</f>
        <v>9781403946799</v>
      </c>
      <c r="D1589" t="str">
        <f>"9780230501072"</f>
        <v>9780230501072</v>
      </c>
      <c r="E1589" t="s">
        <v>875</v>
      </c>
      <c r="F1589" t="s">
        <v>875</v>
      </c>
      <c r="G1589" s="1">
        <v>38622</v>
      </c>
      <c r="H1589" s="1">
        <v>38897</v>
      </c>
      <c r="I1589" t="s">
        <v>12</v>
      </c>
      <c r="J1589" t="s">
        <v>12359</v>
      </c>
    </row>
    <row r="1590" spans="1:10" x14ac:dyDescent="0.25">
      <c r="A1590">
        <v>257325</v>
      </c>
      <c r="B1590" t="s">
        <v>1677</v>
      </c>
      <c r="C1590" t="str">
        <f>"9781403945426"</f>
        <v>9781403945426</v>
      </c>
      <c r="D1590" t="str">
        <f>"9780230501119"</f>
        <v>9780230501119</v>
      </c>
      <c r="E1590" t="s">
        <v>875</v>
      </c>
      <c r="F1590" t="s">
        <v>875</v>
      </c>
      <c r="G1590" s="1">
        <v>38603</v>
      </c>
      <c r="H1590" s="1">
        <v>38897</v>
      </c>
      <c r="I1590" t="s">
        <v>12</v>
      </c>
      <c r="J1590" t="s">
        <v>12360</v>
      </c>
    </row>
    <row r="1591" spans="1:10" x14ac:dyDescent="0.25">
      <c r="A1591">
        <v>257327</v>
      </c>
      <c r="B1591" t="s">
        <v>1678</v>
      </c>
      <c r="C1591" t="str">
        <f>"9781403916891"</f>
        <v>9781403916891</v>
      </c>
      <c r="D1591" t="str">
        <f>"9780230501195"</f>
        <v>9780230501195</v>
      </c>
      <c r="E1591" t="s">
        <v>875</v>
      </c>
      <c r="F1591" t="s">
        <v>875</v>
      </c>
      <c r="G1591" s="1">
        <v>38666</v>
      </c>
      <c r="H1591" s="1">
        <v>38897</v>
      </c>
      <c r="I1591" t="s">
        <v>12</v>
      </c>
      <c r="J1591" t="s">
        <v>12361</v>
      </c>
    </row>
    <row r="1592" spans="1:10" x14ac:dyDescent="0.25">
      <c r="A1592">
        <v>257337</v>
      </c>
      <c r="B1592" t="s">
        <v>1679</v>
      </c>
      <c r="C1592" t="str">
        <f>"9781403901293"</f>
        <v>9781403901293</v>
      </c>
      <c r="D1592" t="str">
        <f>"9780230501409"</f>
        <v>9780230501409</v>
      </c>
      <c r="E1592" t="s">
        <v>875</v>
      </c>
      <c r="F1592" t="s">
        <v>876</v>
      </c>
      <c r="G1592" s="1">
        <v>37974</v>
      </c>
      <c r="H1592" s="1">
        <v>38897</v>
      </c>
      <c r="I1592" t="s">
        <v>12</v>
      </c>
      <c r="J1592" t="s">
        <v>12362</v>
      </c>
    </row>
    <row r="1593" spans="1:10" x14ac:dyDescent="0.25">
      <c r="A1593">
        <v>257342</v>
      </c>
      <c r="B1593" t="s">
        <v>1680</v>
      </c>
      <c r="C1593" t="str">
        <f>"9781403936813"</f>
        <v>9781403936813</v>
      </c>
      <c r="D1593" t="str">
        <f>"9780230501508"</f>
        <v>9780230501508</v>
      </c>
      <c r="E1593" t="s">
        <v>875</v>
      </c>
      <c r="F1593" t="s">
        <v>875</v>
      </c>
      <c r="G1593" s="1">
        <v>38701</v>
      </c>
      <c r="H1593" s="1">
        <v>38897</v>
      </c>
      <c r="I1593" t="s">
        <v>12</v>
      </c>
      <c r="J1593" t="s">
        <v>12363</v>
      </c>
    </row>
    <row r="1594" spans="1:10" x14ac:dyDescent="0.25">
      <c r="A1594">
        <v>257348</v>
      </c>
      <c r="B1594" t="s">
        <v>1681</v>
      </c>
      <c r="C1594" t="str">
        <f>"9780230580053"</f>
        <v>9780230580053</v>
      </c>
      <c r="D1594" t="str">
        <f>"9780230501652"</f>
        <v>9780230501652</v>
      </c>
      <c r="E1594" t="s">
        <v>876</v>
      </c>
      <c r="F1594" t="s">
        <v>876</v>
      </c>
      <c r="G1594" s="1">
        <v>39981</v>
      </c>
      <c r="H1594" s="1">
        <v>38897</v>
      </c>
      <c r="I1594" t="s">
        <v>12</v>
      </c>
      <c r="J1594" t="s">
        <v>12364</v>
      </c>
    </row>
    <row r="1595" spans="1:10" x14ac:dyDescent="0.25">
      <c r="A1595">
        <v>257366</v>
      </c>
      <c r="B1595" t="s">
        <v>1682</v>
      </c>
      <c r="C1595" t="str">
        <f>"9781403933713"</f>
        <v>9781403933713</v>
      </c>
      <c r="D1595" t="str">
        <f>"9780230501973"</f>
        <v>9780230501973</v>
      </c>
      <c r="E1595" t="s">
        <v>875</v>
      </c>
      <c r="F1595" t="s">
        <v>875</v>
      </c>
      <c r="G1595" s="1">
        <v>38666</v>
      </c>
      <c r="H1595" s="1">
        <v>38897</v>
      </c>
      <c r="I1595" t="s">
        <v>12</v>
      </c>
      <c r="J1595" t="s">
        <v>12365</v>
      </c>
    </row>
    <row r="1596" spans="1:10" x14ac:dyDescent="0.25">
      <c r="A1596">
        <v>257372</v>
      </c>
      <c r="B1596" t="s">
        <v>1683</v>
      </c>
      <c r="C1596" t="str">
        <f>"9781403939708"</f>
        <v>9781403939708</v>
      </c>
      <c r="D1596" t="str">
        <f>"9780230502086"</f>
        <v>9780230502086</v>
      </c>
      <c r="E1596" t="s">
        <v>875</v>
      </c>
      <c r="F1596" t="s">
        <v>875</v>
      </c>
      <c r="G1596" s="1">
        <v>38699</v>
      </c>
      <c r="H1596" s="1">
        <v>38952</v>
      </c>
      <c r="I1596" t="s">
        <v>12</v>
      </c>
      <c r="J1596" t="s">
        <v>12366</v>
      </c>
    </row>
    <row r="1597" spans="1:10" x14ac:dyDescent="0.25">
      <c r="A1597">
        <v>257382</v>
      </c>
      <c r="B1597" t="s">
        <v>1684</v>
      </c>
      <c r="C1597" t="str">
        <f>"9781403941909"</f>
        <v>9781403941909</v>
      </c>
      <c r="D1597" t="str">
        <f>"9780230502338"</f>
        <v>9780230502338</v>
      </c>
      <c r="E1597" t="s">
        <v>875</v>
      </c>
      <c r="F1597" t="s">
        <v>875</v>
      </c>
      <c r="G1597" s="1">
        <v>38666</v>
      </c>
      <c r="H1597" s="1">
        <v>38897</v>
      </c>
      <c r="I1597" t="s">
        <v>12</v>
      </c>
      <c r="J1597" t="s">
        <v>12367</v>
      </c>
    </row>
    <row r="1598" spans="1:10" x14ac:dyDescent="0.25">
      <c r="A1598">
        <v>257389</v>
      </c>
      <c r="B1598" t="s">
        <v>1685</v>
      </c>
      <c r="C1598" t="str">
        <f>"9781403948519"</f>
        <v>9781403948519</v>
      </c>
      <c r="D1598" t="str">
        <f>"9780230502499"</f>
        <v>9780230502499</v>
      </c>
      <c r="E1598" t="s">
        <v>875</v>
      </c>
      <c r="F1598" t="s">
        <v>875</v>
      </c>
      <c r="G1598" s="1">
        <v>38504</v>
      </c>
      <c r="H1598" s="1">
        <v>38897</v>
      </c>
      <c r="I1598" t="s">
        <v>12</v>
      </c>
      <c r="J1598" t="s">
        <v>12368</v>
      </c>
    </row>
    <row r="1599" spans="1:10" x14ac:dyDescent="0.25">
      <c r="A1599">
        <v>257398</v>
      </c>
      <c r="B1599" t="s">
        <v>1686</v>
      </c>
      <c r="C1599" t="str">
        <f>"9780333993132"</f>
        <v>9780333993132</v>
      </c>
      <c r="D1599" t="str">
        <f>"9780230502703"</f>
        <v>9780230502703</v>
      </c>
      <c r="E1599" t="s">
        <v>875</v>
      </c>
      <c r="F1599" t="s">
        <v>876</v>
      </c>
      <c r="G1599" s="1">
        <v>37944</v>
      </c>
      <c r="H1599" s="1">
        <v>38897</v>
      </c>
      <c r="I1599" t="s">
        <v>12</v>
      </c>
      <c r="J1599" t="s">
        <v>12369</v>
      </c>
    </row>
    <row r="1600" spans="1:10" x14ac:dyDescent="0.25">
      <c r="A1600">
        <v>257399</v>
      </c>
      <c r="B1600" t="s">
        <v>1687</v>
      </c>
      <c r="C1600" t="str">
        <f>"9781403943361"</f>
        <v>9781403943361</v>
      </c>
      <c r="D1600" t="str">
        <f>"9780230502727"</f>
        <v>9780230502727</v>
      </c>
      <c r="E1600" t="s">
        <v>875</v>
      </c>
      <c r="F1600" t="s">
        <v>875</v>
      </c>
      <c r="G1600" s="1">
        <v>38603</v>
      </c>
      <c r="H1600" s="1">
        <v>38905</v>
      </c>
      <c r="I1600" t="s">
        <v>12</v>
      </c>
      <c r="J1600" t="s">
        <v>12370</v>
      </c>
    </row>
    <row r="1601" spans="1:10" x14ac:dyDescent="0.25">
      <c r="A1601">
        <v>257402</v>
      </c>
      <c r="B1601" t="s">
        <v>1688</v>
      </c>
      <c r="C1601" t="str">
        <f>"9781403945983"</f>
        <v>9781403945983</v>
      </c>
      <c r="D1601" t="str">
        <f>"9780230502765"</f>
        <v>9780230502765</v>
      </c>
      <c r="E1601" t="s">
        <v>875</v>
      </c>
      <c r="F1601" t="s">
        <v>875</v>
      </c>
      <c r="G1601" s="1">
        <v>38504</v>
      </c>
      <c r="H1601" s="1">
        <v>38897</v>
      </c>
      <c r="I1601" t="s">
        <v>12</v>
      </c>
      <c r="J1601" t="s">
        <v>12371</v>
      </c>
    </row>
    <row r="1602" spans="1:10" x14ac:dyDescent="0.25">
      <c r="A1602">
        <v>257403</v>
      </c>
      <c r="B1602" t="s">
        <v>1689</v>
      </c>
      <c r="C1602" t="str">
        <f>"9781403942296"</f>
        <v>9781403942296</v>
      </c>
      <c r="D1602" t="str">
        <f>"9780230502796"</f>
        <v>9780230502796</v>
      </c>
      <c r="E1602" t="s">
        <v>876</v>
      </c>
      <c r="F1602" t="s">
        <v>876</v>
      </c>
      <c r="G1602" s="1">
        <v>38321</v>
      </c>
      <c r="H1602" s="1">
        <v>38897</v>
      </c>
      <c r="I1602" t="s">
        <v>12</v>
      </c>
      <c r="J1602" t="s">
        <v>12372</v>
      </c>
    </row>
    <row r="1603" spans="1:10" x14ac:dyDescent="0.25">
      <c r="A1603">
        <v>257417</v>
      </c>
      <c r="B1603" t="s">
        <v>1690</v>
      </c>
      <c r="C1603" t="str">
        <f>"9781403903976"</f>
        <v>9781403903976</v>
      </c>
      <c r="D1603" t="str">
        <f>"9780230502994"</f>
        <v>9780230502994</v>
      </c>
      <c r="E1603" t="s">
        <v>875</v>
      </c>
      <c r="F1603" t="s">
        <v>876</v>
      </c>
      <c r="G1603" s="1">
        <v>37936</v>
      </c>
      <c r="H1603" s="1">
        <v>38905</v>
      </c>
      <c r="I1603" t="s">
        <v>12</v>
      </c>
      <c r="J1603" t="s">
        <v>12373</v>
      </c>
    </row>
    <row r="1604" spans="1:10" x14ac:dyDescent="0.25">
      <c r="A1604">
        <v>257418</v>
      </c>
      <c r="B1604" t="s">
        <v>1691</v>
      </c>
      <c r="C1604" t="str">
        <f>"9781403915856"</f>
        <v>9781403915856</v>
      </c>
      <c r="D1604" t="str">
        <f>"9780230503007"</f>
        <v>9780230503007</v>
      </c>
      <c r="E1604" t="s">
        <v>875</v>
      </c>
      <c r="F1604" t="s">
        <v>876</v>
      </c>
      <c r="G1604" s="1">
        <v>37971</v>
      </c>
      <c r="H1604" s="1">
        <v>38905</v>
      </c>
      <c r="I1604" t="s">
        <v>12</v>
      </c>
      <c r="J1604" t="s">
        <v>12374</v>
      </c>
    </row>
    <row r="1605" spans="1:10" x14ac:dyDescent="0.25">
      <c r="A1605">
        <v>257421</v>
      </c>
      <c r="B1605" t="s">
        <v>1692</v>
      </c>
      <c r="C1605" t="str">
        <f>"9780333771518"</f>
        <v>9780333771518</v>
      </c>
      <c r="D1605" t="str">
        <f>"9780230503076"</f>
        <v>9780230503076</v>
      </c>
      <c r="E1605" t="s">
        <v>875</v>
      </c>
      <c r="F1605" t="s">
        <v>875</v>
      </c>
      <c r="G1605" s="1">
        <v>38321</v>
      </c>
      <c r="H1605" s="1">
        <v>38897</v>
      </c>
      <c r="I1605" t="s">
        <v>12</v>
      </c>
      <c r="J1605" t="s">
        <v>12375</v>
      </c>
    </row>
    <row r="1606" spans="1:10" x14ac:dyDescent="0.25">
      <c r="A1606">
        <v>257424</v>
      </c>
      <c r="B1606" t="s">
        <v>1693</v>
      </c>
      <c r="C1606" t="str">
        <f>"9781403912558"</f>
        <v>9781403912558</v>
      </c>
      <c r="D1606" t="str">
        <f>"9780230503120"</f>
        <v>9780230503120</v>
      </c>
      <c r="E1606" t="s">
        <v>875</v>
      </c>
      <c r="F1606" t="s">
        <v>876</v>
      </c>
      <c r="G1606" s="1">
        <v>38132</v>
      </c>
      <c r="H1606" s="1">
        <v>38897</v>
      </c>
      <c r="I1606" t="s">
        <v>12</v>
      </c>
      <c r="J1606" t="s">
        <v>12376</v>
      </c>
    </row>
    <row r="1607" spans="1:10" x14ac:dyDescent="0.25">
      <c r="A1607">
        <v>257428</v>
      </c>
      <c r="B1607" t="s">
        <v>1694</v>
      </c>
      <c r="C1607" t="str">
        <f>"9781403939876"</f>
        <v>9781403939876</v>
      </c>
      <c r="D1607" t="str">
        <f>"9780230503182"</f>
        <v>9780230503182</v>
      </c>
      <c r="E1607" t="s">
        <v>875</v>
      </c>
      <c r="F1607" t="s">
        <v>875</v>
      </c>
      <c r="G1607" s="1">
        <v>38272</v>
      </c>
      <c r="H1607" s="1">
        <v>38897</v>
      </c>
      <c r="I1607" t="s">
        <v>12</v>
      </c>
      <c r="J1607" t="s">
        <v>12377</v>
      </c>
    </row>
    <row r="1608" spans="1:10" x14ac:dyDescent="0.25">
      <c r="A1608">
        <v>257432</v>
      </c>
      <c r="B1608" t="s">
        <v>1695</v>
      </c>
      <c r="C1608" t="str">
        <f>"9780333995730"</f>
        <v>9780333995730</v>
      </c>
      <c r="D1608" t="str">
        <f>"9780230503236"</f>
        <v>9780230503236</v>
      </c>
      <c r="E1608" t="s">
        <v>875</v>
      </c>
      <c r="F1608" t="s">
        <v>875</v>
      </c>
      <c r="G1608" s="1">
        <v>38485</v>
      </c>
      <c r="H1608" s="1">
        <v>38905</v>
      </c>
      <c r="I1608" t="s">
        <v>12</v>
      </c>
      <c r="J1608" t="s">
        <v>12378</v>
      </c>
    </row>
    <row r="1609" spans="1:10" x14ac:dyDescent="0.25">
      <c r="A1609">
        <v>257441</v>
      </c>
      <c r="B1609" t="s">
        <v>1696</v>
      </c>
      <c r="C1609" t="str">
        <f>"9780333997536"</f>
        <v>9780333997536</v>
      </c>
      <c r="D1609" t="str">
        <f>"9780230503427"</f>
        <v>9780230503427</v>
      </c>
      <c r="E1609" t="s">
        <v>875</v>
      </c>
      <c r="F1609" t="s">
        <v>876</v>
      </c>
      <c r="G1609" s="1">
        <v>38135</v>
      </c>
      <c r="H1609" s="1">
        <v>38897</v>
      </c>
      <c r="I1609" t="s">
        <v>12</v>
      </c>
      <c r="J1609" t="s">
        <v>12379</v>
      </c>
    </row>
    <row r="1610" spans="1:10" x14ac:dyDescent="0.25">
      <c r="A1610">
        <v>257448</v>
      </c>
      <c r="B1610" t="s">
        <v>1697</v>
      </c>
      <c r="C1610" t="str">
        <f>"9781403917270"</f>
        <v>9781403917270</v>
      </c>
      <c r="D1610" t="str">
        <f>"9780230503571"</f>
        <v>9780230503571</v>
      </c>
      <c r="E1610" t="s">
        <v>875</v>
      </c>
      <c r="F1610" t="s">
        <v>875</v>
      </c>
      <c r="G1610" s="1">
        <v>38504</v>
      </c>
      <c r="H1610" s="1">
        <v>38909</v>
      </c>
      <c r="I1610" t="s">
        <v>12</v>
      </c>
      <c r="J1610" t="s">
        <v>12380</v>
      </c>
    </row>
    <row r="1611" spans="1:10" x14ac:dyDescent="0.25">
      <c r="A1611">
        <v>257451</v>
      </c>
      <c r="B1611" t="s">
        <v>1698</v>
      </c>
      <c r="C1611" t="str">
        <f>"9781403912350"</f>
        <v>9781403912350</v>
      </c>
      <c r="D1611" t="str">
        <f>"9780230503618"</f>
        <v>9780230503618</v>
      </c>
      <c r="E1611" t="s">
        <v>875</v>
      </c>
      <c r="F1611" t="s">
        <v>875</v>
      </c>
      <c r="G1611" s="1">
        <v>38359</v>
      </c>
      <c r="H1611" s="1">
        <v>38897</v>
      </c>
      <c r="I1611" t="s">
        <v>12</v>
      </c>
      <c r="J1611" t="s">
        <v>12381</v>
      </c>
    </row>
    <row r="1612" spans="1:10" x14ac:dyDescent="0.25">
      <c r="A1612">
        <v>257456</v>
      </c>
      <c r="B1612" t="s">
        <v>1699</v>
      </c>
      <c r="C1612" t="str">
        <f>"9781403942487"</f>
        <v>9781403942487</v>
      </c>
      <c r="D1612" t="str">
        <f>"9780230503793"</f>
        <v>9780230503793</v>
      </c>
      <c r="E1612" t="s">
        <v>875</v>
      </c>
      <c r="F1612" t="s">
        <v>876</v>
      </c>
      <c r="G1612" s="1">
        <v>38280</v>
      </c>
      <c r="H1612" s="1">
        <v>38908</v>
      </c>
      <c r="I1612" t="s">
        <v>12</v>
      </c>
      <c r="J1612" t="s">
        <v>12382</v>
      </c>
    </row>
    <row r="1613" spans="1:10" x14ac:dyDescent="0.25">
      <c r="A1613">
        <v>257466</v>
      </c>
      <c r="B1613" t="s">
        <v>1700</v>
      </c>
      <c r="C1613" t="str">
        <f>"9781403919120"</f>
        <v>9781403919120</v>
      </c>
      <c r="D1613" t="str">
        <f>"9780230503854"</f>
        <v>9780230503854</v>
      </c>
      <c r="E1613" t="s">
        <v>875</v>
      </c>
      <c r="F1613" t="s">
        <v>875</v>
      </c>
      <c r="G1613" s="1">
        <v>38653</v>
      </c>
      <c r="H1613" s="1">
        <v>38897</v>
      </c>
      <c r="I1613" t="s">
        <v>12</v>
      </c>
      <c r="J1613" t="s">
        <v>12383</v>
      </c>
    </row>
    <row r="1614" spans="1:10" x14ac:dyDescent="0.25">
      <c r="A1614">
        <v>257468</v>
      </c>
      <c r="B1614" t="s">
        <v>1701</v>
      </c>
      <c r="C1614" t="str">
        <f>"9781403907882"</f>
        <v>9781403907882</v>
      </c>
      <c r="D1614" t="str">
        <f>"9780230503878"</f>
        <v>9780230503878</v>
      </c>
      <c r="E1614" t="s">
        <v>875</v>
      </c>
      <c r="F1614" t="s">
        <v>876</v>
      </c>
      <c r="G1614" s="1">
        <v>37873</v>
      </c>
      <c r="H1614" s="1">
        <v>38897</v>
      </c>
      <c r="I1614" t="s">
        <v>12</v>
      </c>
      <c r="J1614" t="s">
        <v>12384</v>
      </c>
    </row>
    <row r="1615" spans="1:10" x14ac:dyDescent="0.25">
      <c r="A1615">
        <v>257475</v>
      </c>
      <c r="B1615" t="s">
        <v>1702</v>
      </c>
      <c r="C1615" t="str">
        <f>"9781403992819"</f>
        <v>9781403992819</v>
      </c>
      <c r="D1615" t="str">
        <f>"9780230504240"</f>
        <v>9780230504240</v>
      </c>
      <c r="E1615" t="s">
        <v>875</v>
      </c>
      <c r="F1615" t="s">
        <v>875</v>
      </c>
      <c r="G1615" s="1">
        <v>38702</v>
      </c>
      <c r="H1615" s="1">
        <v>38897</v>
      </c>
      <c r="I1615" t="s">
        <v>12</v>
      </c>
      <c r="J1615" t="s">
        <v>12385</v>
      </c>
    </row>
    <row r="1616" spans="1:10" x14ac:dyDescent="0.25">
      <c r="A1616">
        <v>257487</v>
      </c>
      <c r="B1616" t="s">
        <v>1703</v>
      </c>
      <c r="C1616" t="str">
        <f>"9781403921215"</f>
        <v>9781403921215</v>
      </c>
      <c r="D1616" t="str">
        <f>"9780230504325"</f>
        <v>9780230504325</v>
      </c>
      <c r="E1616" t="s">
        <v>875</v>
      </c>
      <c r="F1616" t="s">
        <v>875</v>
      </c>
      <c r="G1616" s="1">
        <v>38565</v>
      </c>
      <c r="H1616" s="1">
        <v>38904</v>
      </c>
      <c r="I1616" t="s">
        <v>12</v>
      </c>
      <c r="J1616" t="s">
        <v>12386</v>
      </c>
    </row>
    <row r="1617" spans="1:10" x14ac:dyDescent="0.25">
      <c r="A1617">
        <v>257488</v>
      </c>
      <c r="B1617" t="s">
        <v>1704</v>
      </c>
      <c r="C1617" t="str">
        <f>"9781403943316"</f>
        <v>9781403943316</v>
      </c>
      <c r="D1617" t="str">
        <f>"9780230504370"</f>
        <v>9780230504370</v>
      </c>
      <c r="E1617" t="s">
        <v>875</v>
      </c>
      <c r="F1617" t="s">
        <v>875</v>
      </c>
      <c r="G1617" s="1">
        <v>38574</v>
      </c>
      <c r="H1617" s="1">
        <v>38897</v>
      </c>
      <c r="I1617" t="s">
        <v>12</v>
      </c>
      <c r="J1617" t="s">
        <v>12387</v>
      </c>
    </row>
    <row r="1618" spans="1:10" x14ac:dyDescent="0.25">
      <c r="A1618">
        <v>257492</v>
      </c>
      <c r="B1618" t="s">
        <v>1705</v>
      </c>
      <c r="C1618" t="str">
        <f>"9781403933898"</f>
        <v>9781403933898</v>
      </c>
      <c r="D1618" t="str">
        <f>"9780230504516"</f>
        <v>9780230504516</v>
      </c>
      <c r="E1618" t="s">
        <v>875</v>
      </c>
      <c r="F1618" t="s">
        <v>876</v>
      </c>
      <c r="G1618" s="1">
        <v>38203</v>
      </c>
      <c r="H1618" s="1">
        <v>38897</v>
      </c>
      <c r="I1618" t="s">
        <v>12</v>
      </c>
      <c r="J1618" t="s">
        <v>12388</v>
      </c>
    </row>
    <row r="1619" spans="1:10" x14ac:dyDescent="0.25">
      <c r="A1619">
        <v>257498</v>
      </c>
      <c r="B1619" t="s">
        <v>1706</v>
      </c>
      <c r="C1619" t="str">
        <f>"9780333993378"</f>
        <v>9780333993378</v>
      </c>
      <c r="D1619" t="str">
        <f>"9780230504646"</f>
        <v>9780230504646</v>
      </c>
      <c r="E1619" t="s">
        <v>875</v>
      </c>
      <c r="F1619" t="s">
        <v>876</v>
      </c>
      <c r="G1619" s="1">
        <v>37603</v>
      </c>
      <c r="H1619" s="1">
        <v>38897</v>
      </c>
      <c r="I1619" t="s">
        <v>12</v>
      </c>
      <c r="J1619" t="s">
        <v>12389</v>
      </c>
    </row>
    <row r="1620" spans="1:10" x14ac:dyDescent="0.25">
      <c r="A1620">
        <v>257503</v>
      </c>
      <c r="B1620" t="s">
        <v>1707</v>
      </c>
      <c r="C1620" t="str">
        <f>"9781403949639"</f>
        <v>9781403949639</v>
      </c>
      <c r="D1620" t="str">
        <f>"9780230504745"</f>
        <v>9780230504745</v>
      </c>
      <c r="E1620" t="s">
        <v>875</v>
      </c>
      <c r="F1620" t="s">
        <v>875</v>
      </c>
      <c r="G1620" s="1">
        <v>38685</v>
      </c>
      <c r="H1620" s="1">
        <v>38897</v>
      </c>
      <c r="I1620" t="s">
        <v>12</v>
      </c>
      <c r="J1620" t="s">
        <v>12390</v>
      </c>
    </row>
    <row r="1621" spans="1:10" x14ac:dyDescent="0.25">
      <c r="A1621">
        <v>257519</v>
      </c>
      <c r="B1621" t="s">
        <v>1708</v>
      </c>
      <c r="C1621" t="str">
        <f>"9781403990785"</f>
        <v>9781403990785</v>
      </c>
      <c r="D1621" t="str">
        <f>"9780230504998"</f>
        <v>9780230504998</v>
      </c>
      <c r="E1621" t="s">
        <v>875</v>
      </c>
      <c r="F1621" t="s">
        <v>875</v>
      </c>
      <c r="G1621" s="1">
        <v>38433</v>
      </c>
      <c r="H1621" s="1">
        <v>38897</v>
      </c>
      <c r="I1621" t="s">
        <v>12</v>
      </c>
      <c r="J1621" t="s">
        <v>12391</v>
      </c>
    </row>
    <row r="1622" spans="1:10" x14ac:dyDescent="0.25">
      <c r="A1622">
        <v>257527</v>
      </c>
      <c r="B1622" t="s">
        <v>1709</v>
      </c>
      <c r="C1622" t="str">
        <f>"9781403949516"</f>
        <v>9781403949516</v>
      </c>
      <c r="D1622" t="str">
        <f>"9780230505193"</f>
        <v>9780230505193</v>
      </c>
      <c r="E1622" t="s">
        <v>875</v>
      </c>
      <c r="F1622" t="s">
        <v>875</v>
      </c>
      <c r="G1622" s="1">
        <v>38517</v>
      </c>
      <c r="H1622" s="1">
        <v>38908</v>
      </c>
      <c r="I1622" t="s">
        <v>12</v>
      </c>
      <c r="J1622" t="s">
        <v>12392</v>
      </c>
    </row>
    <row r="1623" spans="1:10" x14ac:dyDescent="0.25">
      <c r="A1623">
        <v>257530</v>
      </c>
      <c r="B1623" t="s">
        <v>1710</v>
      </c>
      <c r="C1623" t="str">
        <f>"9781403941640"</f>
        <v>9781403941640</v>
      </c>
      <c r="D1623" t="str">
        <f>"9780230505315"</f>
        <v>9780230505315</v>
      </c>
      <c r="E1623" t="s">
        <v>875</v>
      </c>
      <c r="F1623" t="s">
        <v>876</v>
      </c>
      <c r="G1623" s="1">
        <v>38275</v>
      </c>
      <c r="H1623" s="1">
        <v>38897</v>
      </c>
      <c r="I1623" t="s">
        <v>12</v>
      </c>
      <c r="J1623" t="s">
        <v>12393</v>
      </c>
    </row>
    <row r="1624" spans="1:10" x14ac:dyDescent="0.25">
      <c r="A1624">
        <v>257532</v>
      </c>
      <c r="B1624" t="s">
        <v>1711</v>
      </c>
      <c r="C1624" t="str">
        <f>"9781403937056"</f>
        <v>9781403937056</v>
      </c>
      <c r="D1624" t="str">
        <f>"9780230505384"</f>
        <v>9780230505384</v>
      </c>
      <c r="E1624" t="s">
        <v>875</v>
      </c>
      <c r="F1624" t="s">
        <v>875</v>
      </c>
      <c r="G1624" s="1">
        <v>38390</v>
      </c>
      <c r="H1624" s="1">
        <v>38897</v>
      </c>
      <c r="I1624" t="s">
        <v>12</v>
      </c>
      <c r="J1624" t="s">
        <v>12394</v>
      </c>
    </row>
    <row r="1625" spans="1:10" x14ac:dyDescent="0.25">
      <c r="A1625">
        <v>257533</v>
      </c>
      <c r="B1625" t="s">
        <v>1712</v>
      </c>
      <c r="C1625" t="str">
        <f>"9781403943347"</f>
        <v>9781403943347</v>
      </c>
      <c r="D1625" t="str">
        <f>"9780230505391"</f>
        <v>9780230505391</v>
      </c>
      <c r="E1625" t="s">
        <v>875</v>
      </c>
      <c r="F1625" t="s">
        <v>875</v>
      </c>
      <c r="G1625" s="1">
        <v>38331</v>
      </c>
      <c r="H1625" s="1">
        <v>38897</v>
      </c>
      <c r="I1625" t="s">
        <v>12</v>
      </c>
      <c r="J1625" t="s">
        <v>12395</v>
      </c>
    </row>
    <row r="1626" spans="1:10" x14ac:dyDescent="0.25">
      <c r="A1626">
        <v>257534</v>
      </c>
      <c r="B1626" t="s">
        <v>1713</v>
      </c>
      <c r="C1626" t="str">
        <f>"9780230202290"</f>
        <v>9780230202290</v>
      </c>
      <c r="D1626" t="str">
        <f>"9780230505506"</f>
        <v>9780230505506</v>
      </c>
      <c r="E1626" t="s">
        <v>875</v>
      </c>
      <c r="F1626" t="s">
        <v>875</v>
      </c>
      <c r="G1626" s="1">
        <v>38631</v>
      </c>
      <c r="H1626" s="1">
        <v>38897</v>
      </c>
      <c r="I1626" t="s">
        <v>12</v>
      </c>
      <c r="J1626" t="s">
        <v>12396</v>
      </c>
    </row>
    <row r="1627" spans="1:10" x14ac:dyDescent="0.25">
      <c r="A1627">
        <v>257536</v>
      </c>
      <c r="B1627" t="s">
        <v>1714</v>
      </c>
      <c r="C1627" t="str">
        <f>"9781403993403"</f>
        <v>9781403993403</v>
      </c>
      <c r="D1627" t="str">
        <f>"9780230504684"</f>
        <v>9780230504684</v>
      </c>
      <c r="E1627" t="s">
        <v>875</v>
      </c>
      <c r="F1627" t="s">
        <v>876</v>
      </c>
      <c r="G1627" s="1">
        <v>37928</v>
      </c>
      <c r="H1627" s="1">
        <v>38905</v>
      </c>
      <c r="I1627" t="s">
        <v>12</v>
      </c>
      <c r="J1627" t="s">
        <v>12397</v>
      </c>
    </row>
    <row r="1628" spans="1:10" x14ac:dyDescent="0.25">
      <c r="A1628">
        <v>257616</v>
      </c>
      <c r="B1628" t="s">
        <v>1715</v>
      </c>
      <c r="C1628" t="str">
        <f>"9781403939333"</f>
        <v>9781403939333</v>
      </c>
      <c r="D1628" t="str">
        <f>"9780230504929"</f>
        <v>9780230504929</v>
      </c>
      <c r="E1628" t="s">
        <v>875</v>
      </c>
      <c r="F1628" t="s">
        <v>875</v>
      </c>
      <c r="G1628" s="1">
        <v>38569</v>
      </c>
      <c r="H1628" s="1">
        <v>38897</v>
      </c>
      <c r="I1628" t="s">
        <v>12</v>
      </c>
      <c r="J1628" t="s">
        <v>12398</v>
      </c>
    </row>
    <row r="1629" spans="1:10" x14ac:dyDescent="0.25">
      <c r="A1629">
        <v>257617</v>
      </c>
      <c r="B1629" t="s">
        <v>1716</v>
      </c>
      <c r="C1629" t="str">
        <f>"9781403901354"</f>
        <v>9781403901354</v>
      </c>
      <c r="D1629" t="str">
        <f>"9780230505056"</f>
        <v>9780230505056</v>
      </c>
      <c r="E1629" t="s">
        <v>875</v>
      </c>
      <c r="F1629" t="s">
        <v>876</v>
      </c>
      <c r="G1629" s="1">
        <v>37852</v>
      </c>
      <c r="H1629" s="1">
        <v>38897</v>
      </c>
      <c r="I1629" t="s">
        <v>12</v>
      </c>
      <c r="J1629" t="s">
        <v>12399</v>
      </c>
    </row>
    <row r="1630" spans="1:10" x14ac:dyDescent="0.25">
      <c r="A1630">
        <v>257628</v>
      </c>
      <c r="B1630" t="s">
        <v>1717</v>
      </c>
      <c r="C1630" t="str">
        <f>"9781403949141"</f>
        <v>9781403949141</v>
      </c>
      <c r="D1630" t="str">
        <f>"9780230505605"</f>
        <v>9780230505605</v>
      </c>
      <c r="E1630" t="s">
        <v>875</v>
      </c>
      <c r="F1630" t="s">
        <v>875</v>
      </c>
      <c r="G1630" s="1">
        <v>38504</v>
      </c>
      <c r="H1630" s="1">
        <v>38897</v>
      </c>
      <c r="I1630" t="s">
        <v>12</v>
      </c>
      <c r="J1630" t="s">
        <v>12400</v>
      </c>
    </row>
    <row r="1631" spans="1:10" x14ac:dyDescent="0.25">
      <c r="A1631">
        <v>257637</v>
      </c>
      <c r="B1631" t="s">
        <v>1718</v>
      </c>
      <c r="C1631" t="str">
        <f>"9781403918147"</f>
        <v>9781403918147</v>
      </c>
      <c r="D1631" t="str">
        <f>"9780230505957"</f>
        <v>9780230505957</v>
      </c>
      <c r="E1631" t="s">
        <v>875</v>
      </c>
      <c r="F1631" t="s">
        <v>875</v>
      </c>
      <c r="G1631" s="1">
        <v>38447</v>
      </c>
      <c r="H1631" s="1">
        <v>38908</v>
      </c>
      <c r="I1631" t="s">
        <v>12</v>
      </c>
      <c r="J1631" t="s">
        <v>12401</v>
      </c>
    </row>
    <row r="1632" spans="1:10" x14ac:dyDescent="0.25">
      <c r="A1632">
        <v>257654</v>
      </c>
      <c r="B1632" t="s">
        <v>1719</v>
      </c>
      <c r="C1632" t="str">
        <f>"9781403986351"</f>
        <v>9781403986351</v>
      </c>
      <c r="D1632" t="str">
        <f>"9780230505889"</f>
        <v>9780230505889</v>
      </c>
      <c r="E1632" t="s">
        <v>875</v>
      </c>
      <c r="F1632" t="s">
        <v>875</v>
      </c>
      <c r="G1632" s="1">
        <v>38806</v>
      </c>
      <c r="H1632" s="1">
        <v>38867</v>
      </c>
      <c r="I1632" t="s">
        <v>12</v>
      </c>
      <c r="J1632" t="s">
        <v>12402</v>
      </c>
    </row>
    <row r="1633" spans="1:10" x14ac:dyDescent="0.25">
      <c r="A1633">
        <v>257664</v>
      </c>
      <c r="B1633" t="s">
        <v>1720</v>
      </c>
      <c r="C1633" t="str">
        <f>"9781403994783"</f>
        <v>9781403994783</v>
      </c>
      <c r="D1633" t="str">
        <f>"9780230506145"</f>
        <v>9780230506145</v>
      </c>
      <c r="E1633" t="s">
        <v>875</v>
      </c>
      <c r="F1633" t="s">
        <v>875</v>
      </c>
      <c r="G1633" s="1">
        <v>38678</v>
      </c>
      <c r="H1633" s="1">
        <v>38842</v>
      </c>
      <c r="I1633" t="s">
        <v>12</v>
      </c>
      <c r="J1633" t="s">
        <v>12403</v>
      </c>
    </row>
    <row r="1634" spans="1:10" x14ac:dyDescent="0.25">
      <c r="A1634">
        <v>257720</v>
      </c>
      <c r="B1634" t="s">
        <v>1721</v>
      </c>
      <c r="C1634" t="str">
        <f>"9780333973707"</f>
        <v>9780333973707</v>
      </c>
      <c r="D1634" t="str">
        <f>"9780230505827"</f>
        <v>9780230505827</v>
      </c>
      <c r="E1634" t="s">
        <v>875</v>
      </c>
      <c r="F1634" t="s">
        <v>876</v>
      </c>
      <c r="G1634" s="1">
        <v>37453</v>
      </c>
      <c r="H1634" s="1">
        <v>38897</v>
      </c>
      <c r="I1634" t="s">
        <v>12</v>
      </c>
      <c r="J1634" t="s">
        <v>12404</v>
      </c>
    </row>
    <row r="1635" spans="1:10" x14ac:dyDescent="0.25">
      <c r="A1635">
        <v>257740</v>
      </c>
      <c r="B1635" t="s">
        <v>1722</v>
      </c>
      <c r="C1635" t="str">
        <f>"9780230554320"</f>
        <v>9780230554320</v>
      </c>
      <c r="D1635" t="str">
        <f>"9780230501263"</f>
        <v>9780230501263</v>
      </c>
      <c r="E1635" t="s">
        <v>875</v>
      </c>
      <c r="F1635" t="s">
        <v>876</v>
      </c>
      <c r="G1635" s="1">
        <v>37894</v>
      </c>
      <c r="H1635" s="1">
        <v>38897</v>
      </c>
      <c r="I1635" t="s">
        <v>12</v>
      </c>
      <c r="J1635" t="s">
        <v>12405</v>
      </c>
    </row>
    <row r="1636" spans="1:10" x14ac:dyDescent="0.25">
      <c r="A1636">
        <v>257962</v>
      </c>
      <c r="B1636" t="s">
        <v>1723</v>
      </c>
      <c r="C1636" t="str">
        <f>"9781403936455"</f>
        <v>9781403936455</v>
      </c>
      <c r="D1636" t="str">
        <f>"9780230501546"</f>
        <v>9780230501546</v>
      </c>
      <c r="E1636" t="s">
        <v>875</v>
      </c>
      <c r="F1636" t="s">
        <v>875</v>
      </c>
      <c r="G1636" s="1">
        <v>38702</v>
      </c>
      <c r="H1636" s="1">
        <v>38897</v>
      </c>
      <c r="I1636" t="s">
        <v>12</v>
      </c>
      <c r="J1636" t="s">
        <v>12406</v>
      </c>
    </row>
    <row r="1637" spans="1:10" x14ac:dyDescent="0.25">
      <c r="A1637">
        <v>257968</v>
      </c>
      <c r="B1637" t="s">
        <v>1724</v>
      </c>
      <c r="C1637" t="str">
        <f>"9781403920478"</f>
        <v>9781403920478</v>
      </c>
      <c r="D1637" t="str">
        <f>"9780230502048"</f>
        <v>9780230502048</v>
      </c>
      <c r="E1637" t="s">
        <v>875</v>
      </c>
      <c r="F1637" t="s">
        <v>875</v>
      </c>
      <c r="G1637" s="1">
        <v>38359</v>
      </c>
      <c r="H1637" s="1">
        <v>38897</v>
      </c>
      <c r="I1637" t="s">
        <v>12</v>
      </c>
      <c r="J1637" t="s">
        <v>12407</v>
      </c>
    </row>
    <row r="1638" spans="1:10" x14ac:dyDescent="0.25">
      <c r="A1638">
        <v>257974</v>
      </c>
      <c r="B1638" t="s">
        <v>1725</v>
      </c>
      <c r="C1638" t="str">
        <f>"9781403934444"</f>
        <v>9781403934444</v>
      </c>
      <c r="D1638" t="str">
        <f>"9780230505094"</f>
        <v>9780230505094</v>
      </c>
      <c r="E1638" t="s">
        <v>875</v>
      </c>
      <c r="F1638" t="s">
        <v>876</v>
      </c>
      <c r="G1638" s="1">
        <v>38280</v>
      </c>
      <c r="H1638" s="1">
        <v>38897</v>
      </c>
      <c r="I1638" t="s">
        <v>12</v>
      </c>
      <c r="J1638" t="s">
        <v>12408</v>
      </c>
    </row>
    <row r="1639" spans="1:10" x14ac:dyDescent="0.25">
      <c r="A1639">
        <v>258126</v>
      </c>
      <c r="B1639" t="s">
        <v>1726</v>
      </c>
      <c r="C1639" t="str">
        <f>"9781845449063"</f>
        <v>9781845449063</v>
      </c>
      <c r="D1639" t="str">
        <f>"9781845449070"</f>
        <v>9781845449070</v>
      </c>
      <c r="E1639" t="s">
        <v>1116</v>
      </c>
      <c r="F1639" t="s">
        <v>1117</v>
      </c>
      <c r="G1639" s="1">
        <v>38779</v>
      </c>
      <c r="H1639" s="1">
        <v>38909</v>
      </c>
      <c r="I1639" t="s">
        <v>12</v>
      </c>
      <c r="J1639" t="s">
        <v>12409</v>
      </c>
    </row>
    <row r="1640" spans="1:10" x14ac:dyDescent="0.25">
      <c r="A1640">
        <v>258127</v>
      </c>
      <c r="B1640" t="s">
        <v>1727</v>
      </c>
      <c r="C1640" t="str">
        <f>"9781845448929"</f>
        <v>9781845448929</v>
      </c>
      <c r="D1640" t="str">
        <f>"9781845448936"</f>
        <v>9781845448936</v>
      </c>
      <c r="E1640" t="s">
        <v>1116</v>
      </c>
      <c r="F1640" t="s">
        <v>1117</v>
      </c>
      <c r="G1640" s="1">
        <v>38744</v>
      </c>
      <c r="H1640" s="1">
        <v>38866</v>
      </c>
      <c r="I1640" t="s">
        <v>12</v>
      </c>
      <c r="J1640" t="s">
        <v>12410</v>
      </c>
    </row>
    <row r="1641" spans="1:10" x14ac:dyDescent="0.25">
      <c r="A1641">
        <v>258128</v>
      </c>
      <c r="B1641" t="s">
        <v>1728</v>
      </c>
      <c r="C1641" t="str">
        <f>"9781845448905"</f>
        <v>9781845448905</v>
      </c>
      <c r="D1641" t="str">
        <f>"9781845448912"</f>
        <v>9781845448912</v>
      </c>
      <c r="E1641" t="s">
        <v>1116</v>
      </c>
      <c r="F1641" t="s">
        <v>1117</v>
      </c>
      <c r="G1641" s="1">
        <v>38744</v>
      </c>
      <c r="H1641" s="1">
        <v>38849</v>
      </c>
      <c r="I1641" t="s">
        <v>12</v>
      </c>
      <c r="J1641" t="s">
        <v>12411</v>
      </c>
    </row>
    <row r="1642" spans="1:10" x14ac:dyDescent="0.25">
      <c r="A1642">
        <v>258129</v>
      </c>
      <c r="B1642" t="s">
        <v>1729</v>
      </c>
      <c r="C1642" t="str">
        <f>"9781845449124"</f>
        <v>9781845449124</v>
      </c>
      <c r="D1642" t="str">
        <f>"9781845449131"</f>
        <v>9781845449131</v>
      </c>
      <c r="E1642" t="s">
        <v>1116</v>
      </c>
      <c r="F1642" t="s">
        <v>1117</v>
      </c>
      <c r="G1642" s="1">
        <v>38800</v>
      </c>
      <c r="H1642" s="1">
        <v>38849</v>
      </c>
      <c r="I1642" t="s">
        <v>12</v>
      </c>
      <c r="J1642" t="s">
        <v>12412</v>
      </c>
    </row>
    <row r="1643" spans="1:10" x14ac:dyDescent="0.25">
      <c r="A1643">
        <v>258130</v>
      </c>
      <c r="B1643" t="s">
        <v>1730</v>
      </c>
      <c r="C1643" t="str">
        <f>"9781845449421"</f>
        <v>9781845449421</v>
      </c>
      <c r="D1643" t="str">
        <f>"9781845449438"</f>
        <v>9781845449438</v>
      </c>
      <c r="E1643" t="s">
        <v>1116</v>
      </c>
      <c r="F1643" t="s">
        <v>1117</v>
      </c>
      <c r="G1643" s="1">
        <v>38800</v>
      </c>
      <c r="H1643" s="1">
        <v>38866</v>
      </c>
      <c r="I1643" t="s">
        <v>12</v>
      </c>
      <c r="J1643" t="s">
        <v>12413</v>
      </c>
    </row>
    <row r="1644" spans="1:10" x14ac:dyDescent="0.25">
      <c r="A1644">
        <v>258134</v>
      </c>
      <c r="B1644" t="s">
        <v>1731</v>
      </c>
      <c r="C1644" t="str">
        <f>"9781845449506"</f>
        <v>9781845449506</v>
      </c>
      <c r="D1644" t="str">
        <f>"9781845449513"</f>
        <v>9781845449513</v>
      </c>
      <c r="E1644" t="s">
        <v>1116</v>
      </c>
      <c r="F1644" t="s">
        <v>1117</v>
      </c>
      <c r="G1644" s="1">
        <v>38800</v>
      </c>
      <c r="H1644" s="1">
        <v>39044</v>
      </c>
      <c r="I1644" t="s">
        <v>12</v>
      </c>
      <c r="J1644" t="s">
        <v>12414</v>
      </c>
    </row>
    <row r="1645" spans="1:10" x14ac:dyDescent="0.25">
      <c r="A1645">
        <v>258136</v>
      </c>
      <c r="B1645" t="s">
        <v>1732</v>
      </c>
      <c r="C1645" t="str">
        <f>"9781845449308"</f>
        <v>9781845449308</v>
      </c>
      <c r="D1645" t="str">
        <f>"9781845449315"</f>
        <v>9781845449315</v>
      </c>
      <c r="E1645" t="s">
        <v>1116</v>
      </c>
      <c r="F1645" t="s">
        <v>1117</v>
      </c>
      <c r="G1645" s="1">
        <v>38793</v>
      </c>
      <c r="H1645" s="1">
        <v>38866</v>
      </c>
      <c r="I1645" t="s">
        <v>12</v>
      </c>
      <c r="J1645" t="s">
        <v>12415</v>
      </c>
    </row>
    <row r="1646" spans="1:10" x14ac:dyDescent="0.25">
      <c r="A1646">
        <v>258144</v>
      </c>
      <c r="B1646" t="s">
        <v>1733</v>
      </c>
      <c r="C1646" t="str">
        <f>"9781845449322"</f>
        <v>9781845449322</v>
      </c>
      <c r="D1646" t="str">
        <f>"9781845449339"</f>
        <v>9781845449339</v>
      </c>
      <c r="E1646" t="s">
        <v>1116</v>
      </c>
      <c r="F1646" t="s">
        <v>1117</v>
      </c>
      <c r="G1646" s="1">
        <v>38786</v>
      </c>
      <c r="H1646" s="1">
        <v>38849</v>
      </c>
      <c r="I1646" t="s">
        <v>12</v>
      </c>
      <c r="J1646" t="s">
        <v>12416</v>
      </c>
    </row>
    <row r="1647" spans="1:10" x14ac:dyDescent="0.25">
      <c r="A1647">
        <v>258146</v>
      </c>
      <c r="B1647" t="s">
        <v>1734</v>
      </c>
      <c r="C1647" t="str">
        <f>"9781845449162"</f>
        <v>9781845449162</v>
      </c>
      <c r="D1647" t="str">
        <f>"9781845449179"</f>
        <v>9781845449179</v>
      </c>
      <c r="E1647" t="s">
        <v>1116</v>
      </c>
      <c r="F1647" t="s">
        <v>1117</v>
      </c>
      <c r="G1647" s="1">
        <v>38765</v>
      </c>
      <c r="H1647" s="1">
        <v>38867</v>
      </c>
      <c r="I1647" t="s">
        <v>12</v>
      </c>
      <c r="J1647" t="s">
        <v>12417</v>
      </c>
    </row>
    <row r="1648" spans="1:10" x14ac:dyDescent="0.25">
      <c r="A1648">
        <v>258147</v>
      </c>
      <c r="B1648" t="s">
        <v>1735</v>
      </c>
      <c r="C1648" t="str">
        <f>"9781845448882"</f>
        <v>9781845448882</v>
      </c>
      <c r="D1648" t="str">
        <f>"9781845448899"</f>
        <v>9781845448899</v>
      </c>
      <c r="E1648" t="s">
        <v>1116</v>
      </c>
      <c r="F1648" t="s">
        <v>1117</v>
      </c>
      <c r="G1648" s="1">
        <v>38758</v>
      </c>
      <c r="H1648" s="1">
        <v>38849</v>
      </c>
      <c r="I1648" t="s">
        <v>12</v>
      </c>
      <c r="J1648" t="s">
        <v>12418</v>
      </c>
    </row>
    <row r="1649" spans="1:10" x14ac:dyDescent="0.25">
      <c r="A1649">
        <v>258153</v>
      </c>
      <c r="B1649" t="s">
        <v>1736</v>
      </c>
      <c r="C1649" t="str">
        <f>"9781845449001"</f>
        <v>9781845449001</v>
      </c>
      <c r="D1649" t="str">
        <f>"9781845449018"</f>
        <v>9781845449018</v>
      </c>
      <c r="E1649" t="s">
        <v>1116</v>
      </c>
      <c r="F1649" t="s">
        <v>1117</v>
      </c>
      <c r="G1649" s="1">
        <v>38765</v>
      </c>
      <c r="H1649" s="1">
        <v>38849</v>
      </c>
      <c r="I1649" t="s">
        <v>12</v>
      </c>
      <c r="J1649" t="s">
        <v>12419</v>
      </c>
    </row>
    <row r="1650" spans="1:10" x14ac:dyDescent="0.25">
      <c r="A1650">
        <v>258158</v>
      </c>
      <c r="B1650" t="s">
        <v>1737</v>
      </c>
      <c r="C1650" t="str">
        <f>"9781845440237"</f>
        <v>9781845440237</v>
      </c>
      <c r="D1650" t="str">
        <f>"9781845441876"</f>
        <v>9781845441876</v>
      </c>
      <c r="E1650" t="s">
        <v>1116</v>
      </c>
      <c r="F1650" t="s">
        <v>1117</v>
      </c>
      <c r="G1650" s="1">
        <v>38268</v>
      </c>
      <c r="H1650" s="1">
        <v>38867</v>
      </c>
      <c r="I1650" t="s">
        <v>12</v>
      </c>
      <c r="J1650" t="s">
        <v>12420</v>
      </c>
    </row>
    <row r="1651" spans="1:10" x14ac:dyDescent="0.25">
      <c r="A1651">
        <v>258163</v>
      </c>
      <c r="B1651" t="s">
        <v>1738</v>
      </c>
      <c r="C1651" t="str">
        <f>"9781845447311"</f>
        <v>9781845447311</v>
      </c>
      <c r="D1651" t="str">
        <f>"9781845447328"</f>
        <v>9781845447328</v>
      </c>
      <c r="E1651" t="s">
        <v>1116</v>
      </c>
      <c r="F1651" t="s">
        <v>1117</v>
      </c>
      <c r="G1651" s="1">
        <v>38597</v>
      </c>
      <c r="H1651" s="1">
        <v>38909</v>
      </c>
      <c r="I1651" t="s">
        <v>12</v>
      </c>
      <c r="J1651" t="s">
        <v>12421</v>
      </c>
    </row>
    <row r="1652" spans="1:10" x14ac:dyDescent="0.25">
      <c r="A1652">
        <v>258168</v>
      </c>
      <c r="B1652" t="s">
        <v>1739</v>
      </c>
      <c r="C1652" t="str">
        <f>"9781845448578"</f>
        <v>9781845448578</v>
      </c>
      <c r="D1652" t="str">
        <f>"9781845448585"</f>
        <v>9781845448585</v>
      </c>
      <c r="E1652" t="s">
        <v>1116</v>
      </c>
      <c r="F1652" t="s">
        <v>1117</v>
      </c>
      <c r="G1652" s="1">
        <v>38667</v>
      </c>
      <c r="H1652" s="1">
        <v>38849</v>
      </c>
      <c r="I1652" t="s">
        <v>12</v>
      </c>
      <c r="J1652" t="s">
        <v>12422</v>
      </c>
    </row>
    <row r="1653" spans="1:10" x14ac:dyDescent="0.25">
      <c r="A1653">
        <v>258169</v>
      </c>
      <c r="B1653" t="s">
        <v>1740</v>
      </c>
      <c r="C1653" t="str">
        <f>"9781845448592"</f>
        <v>9781845448592</v>
      </c>
      <c r="D1653" t="str">
        <f>"9781845448608"</f>
        <v>9781845448608</v>
      </c>
      <c r="E1653" t="s">
        <v>1116</v>
      </c>
      <c r="F1653" t="s">
        <v>1117</v>
      </c>
      <c r="G1653" s="1">
        <v>38639</v>
      </c>
      <c r="H1653" s="1">
        <v>38849</v>
      </c>
      <c r="I1653" t="s">
        <v>12</v>
      </c>
      <c r="J1653" t="s">
        <v>12423</v>
      </c>
    </row>
    <row r="1654" spans="1:10" x14ac:dyDescent="0.25">
      <c r="A1654">
        <v>258186</v>
      </c>
      <c r="B1654" t="s">
        <v>1741</v>
      </c>
      <c r="C1654" t="str">
        <f>"9781904602118"</f>
        <v>9781904602118</v>
      </c>
      <c r="D1654" t="str">
        <f>"9781904602460"</f>
        <v>9781904602460</v>
      </c>
      <c r="E1654" t="s">
        <v>1742</v>
      </c>
      <c r="F1654" t="s">
        <v>1742</v>
      </c>
      <c r="G1654" s="1">
        <v>38706</v>
      </c>
      <c r="H1654" s="1">
        <v>38866</v>
      </c>
      <c r="I1654" t="s">
        <v>12</v>
      </c>
      <c r="J1654" t="s">
        <v>12424</v>
      </c>
    </row>
    <row r="1655" spans="1:10" x14ac:dyDescent="0.25">
      <c r="A1655">
        <v>258188</v>
      </c>
      <c r="B1655" t="s">
        <v>1743</v>
      </c>
      <c r="C1655" t="str">
        <f>"9781898326175"</f>
        <v>9781898326175</v>
      </c>
      <c r="D1655" t="str">
        <f>"9781904602484"</f>
        <v>9781904602484</v>
      </c>
      <c r="E1655" t="s">
        <v>1742</v>
      </c>
      <c r="F1655" t="s">
        <v>1742</v>
      </c>
      <c r="G1655" s="1">
        <v>38640</v>
      </c>
      <c r="H1655" s="1">
        <v>38866</v>
      </c>
      <c r="I1655" t="s">
        <v>12</v>
      </c>
      <c r="J1655" t="s">
        <v>12425</v>
      </c>
    </row>
    <row r="1656" spans="1:10" x14ac:dyDescent="0.25">
      <c r="A1656">
        <v>258194</v>
      </c>
      <c r="B1656" t="s">
        <v>1744</v>
      </c>
      <c r="C1656" t="str">
        <f>"9780333987933"</f>
        <v>9780333987933</v>
      </c>
      <c r="D1656" t="str">
        <f>"9780230507906"</f>
        <v>9780230507906</v>
      </c>
      <c r="E1656" t="s">
        <v>875</v>
      </c>
      <c r="F1656" t="s">
        <v>876</v>
      </c>
      <c r="G1656" s="1">
        <v>37607</v>
      </c>
      <c r="H1656" s="1">
        <v>38897</v>
      </c>
      <c r="I1656" t="s">
        <v>12</v>
      </c>
      <c r="J1656" t="s">
        <v>12426</v>
      </c>
    </row>
    <row r="1657" spans="1:10" x14ac:dyDescent="0.25">
      <c r="A1657">
        <v>258196</v>
      </c>
      <c r="B1657" t="s">
        <v>1745</v>
      </c>
      <c r="C1657" t="str">
        <f>"9781403945259"</f>
        <v>9781403945259</v>
      </c>
      <c r="D1657" t="str">
        <f>"9780230507920"</f>
        <v>9780230507920</v>
      </c>
      <c r="E1657" t="s">
        <v>875</v>
      </c>
      <c r="F1657" t="s">
        <v>875</v>
      </c>
      <c r="G1657" s="1">
        <v>38530</v>
      </c>
      <c r="H1657" s="1">
        <v>38897</v>
      </c>
      <c r="I1657" t="s">
        <v>12</v>
      </c>
      <c r="J1657" t="s">
        <v>12427</v>
      </c>
    </row>
    <row r="1658" spans="1:10" x14ac:dyDescent="0.25">
      <c r="A1658">
        <v>258198</v>
      </c>
      <c r="B1658" t="s">
        <v>1746</v>
      </c>
      <c r="C1658" t="str">
        <f>"9781403938220"</f>
        <v>9781403938220</v>
      </c>
      <c r="D1658" t="str">
        <f>"9780230507951"</f>
        <v>9780230507951</v>
      </c>
      <c r="E1658" t="s">
        <v>875</v>
      </c>
      <c r="F1658" t="s">
        <v>875</v>
      </c>
      <c r="G1658" s="1">
        <v>38490</v>
      </c>
      <c r="H1658" s="1">
        <v>38897</v>
      </c>
      <c r="I1658" t="s">
        <v>12</v>
      </c>
      <c r="J1658" t="s">
        <v>12428</v>
      </c>
    </row>
    <row r="1659" spans="1:10" x14ac:dyDescent="0.25">
      <c r="A1659">
        <v>258209</v>
      </c>
      <c r="B1659" t="s">
        <v>1747</v>
      </c>
      <c r="C1659" t="str">
        <f>"9781403916686"</f>
        <v>9781403916686</v>
      </c>
      <c r="D1659" t="str">
        <f>"9780230508101"</f>
        <v>9780230508101</v>
      </c>
      <c r="E1659" t="s">
        <v>875</v>
      </c>
      <c r="F1659" t="s">
        <v>876</v>
      </c>
      <c r="G1659" s="1">
        <v>37950</v>
      </c>
      <c r="H1659" s="1">
        <v>38897</v>
      </c>
      <c r="I1659" t="s">
        <v>12</v>
      </c>
      <c r="J1659" t="s">
        <v>12429</v>
      </c>
    </row>
    <row r="1660" spans="1:10" x14ac:dyDescent="0.25">
      <c r="A1660">
        <v>258216</v>
      </c>
      <c r="B1660" t="s">
        <v>1748</v>
      </c>
      <c r="C1660" t="str">
        <f>"9781403948472"</f>
        <v>9781403948472</v>
      </c>
      <c r="D1660" t="str">
        <f>"9780230508200"</f>
        <v>9780230508200</v>
      </c>
      <c r="E1660" t="s">
        <v>875</v>
      </c>
      <c r="F1660" t="s">
        <v>875</v>
      </c>
      <c r="G1660" s="1">
        <v>38483</v>
      </c>
      <c r="H1660" s="1">
        <v>38897</v>
      </c>
      <c r="I1660" t="s">
        <v>12</v>
      </c>
      <c r="J1660" t="s">
        <v>12430</v>
      </c>
    </row>
    <row r="1661" spans="1:10" x14ac:dyDescent="0.25">
      <c r="A1661">
        <v>258245</v>
      </c>
      <c r="B1661" t="s">
        <v>1749</v>
      </c>
      <c r="C1661" t="str">
        <f>"9781403939067"</f>
        <v>9781403939067</v>
      </c>
      <c r="D1661" t="str">
        <f>"9780230508705"</f>
        <v>9780230508705</v>
      </c>
      <c r="E1661" t="s">
        <v>875</v>
      </c>
      <c r="F1661" t="s">
        <v>875</v>
      </c>
      <c r="G1661" s="1">
        <v>38511</v>
      </c>
      <c r="H1661" s="1">
        <v>38897</v>
      </c>
      <c r="I1661" t="s">
        <v>12</v>
      </c>
      <c r="J1661" t="s">
        <v>12431</v>
      </c>
    </row>
    <row r="1662" spans="1:10" x14ac:dyDescent="0.25">
      <c r="A1662">
        <v>258248</v>
      </c>
      <c r="B1662" t="s">
        <v>1750</v>
      </c>
      <c r="C1662" t="str">
        <f>"9781403990518"</f>
        <v>9781403990518</v>
      </c>
      <c r="D1662" t="str">
        <f>"9780230508743"</f>
        <v>9780230508743</v>
      </c>
      <c r="E1662" t="s">
        <v>875</v>
      </c>
      <c r="F1662" t="s">
        <v>875</v>
      </c>
      <c r="G1662" s="1">
        <v>38483</v>
      </c>
      <c r="H1662" s="1">
        <v>38897</v>
      </c>
      <c r="I1662" t="s">
        <v>12</v>
      </c>
      <c r="J1662" t="s">
        <v>12432</v>
      </c>
    </row>
    <row r="1663" spans="1:10" x14ac:dyDescent="0.25">
      <c r="A1663">
        <v>258263</v>
      </c>
      <c r="B1663" t="s">
        <v>1751</v>
      </c>
      <c r="C1663" t="str">
        <f>"9780333651742"</f>
        <v>9780333651742</v>
      </c>
      <c r="D1663" t="str">
        <f>"9780230509061"</f>
        <v>9780230509061</v>
      </c>
      <c r="E1663" t="s">
        <v>875</v>
      </c>
      <c r="F1663" t="s">
        <v>876</v>
      </c>
      <c r="G1663" s="1">
        <v>36760</v>
      </c>
      <c r="H1663" s="1">
        <v>38897</v>
      </c>
      <c r="I1663" t="s">
        <v>12</v>
      </c>
      <c r="J1663" t="s">
        <v>12433</v>
      </c>
    </row>
    <row r="1664" spans="1:10" x14ac:dyDescent="0.25">
      <c r="A1664">
        <v>258276</v>
      </c>
      <c r="B1664" t="s">
        <v>1752</v>
      </c>
      <c r="C1664" t="str">
        <f>"9781403944580"</f>
        <v>9781403944580</v>
      </c>
      <c r="D1664" t="str">
        <f>"9780230508866"</f>
        <v>9780230508866</v>
      </c>
      <c r="E1664" t="s">
        <v>875</v>
      </c>
      <c r="F1664" t="s">
        <v>876</v>
      </c>
      <c r="G1664" s="1">
        <v>38280</v>
      </c>
      <c r="H1664" s="1">
        <v>38897</v>
      </c>
      <c r="I1664" t="s">
        <v>12</v>
      </c>
      <c r="J1664" t="s">
        <v>12434</v>
      </c>
    </row>
    <row r="1665" spans="1:10" x14ac:dyDescent="0.25">
      <c r="A1665">
        <v>258487</v>
      </c>
      <c r="B1665" t="s">
        <v>1753</v>
      </c>
      <c r="C1665" t="str">
        <f>"9780521819725"</f>
        <v>9780521819725</v>
      </c>
      <c r="D1665" t="str">
        <f>"9780511160097"</f>
        <v>9780511160097</v>
      </c>
      <c r="E1665" t="s">
        <v>18</v>
      </c>
      <c r="F1665" t="s">
        <v>18</v>
      </c>
      <c r="G1665" s="1">
        <v>38537</v>
      </c>
      <c r="H1665" s="1">
        <v>38887</v>
      </c>
      <c r="I1665" t="s">
        <v>12</v>
      </c>
      <c r="J1665" t="s">
        <v>12435</v>
      </c>
    </row>
    <row r="1666" spans="1:10" x14ac:dyDescent="0.25">
      <c r="A1666">
        <v>258495</v>
      </c>
      <c r="B1666" t="s">
        <v>1754</v>
      </c>
      <c r="C1666" t="str">
        <f>"9780521838276"</f>
        <v>9780521838276</v>
      </c>
      <c r="D1666" t="str">
        <f>"9780511190582"</f>
        <v>9780511190582</v>
      </c>
      <c r="E1666" t="s">
        <v>18</v>
      </c>
      <c r="F1666" t="s">
        <v>18</v>
      </c>
      <c r="G1666" s="1">
        <v>38848</v>
      </c>
      <c r="H1666" s="1">
        <v>38887</v>
      </c>
      <c r="I1666" t="s">
        <v>12</v>
      </c>
      <c r="J1666" t="s">
        <v>12436</v>
      </c>
    </row>
    <row r="1667" spans="1:10" x14ac:dyDescent="0.25">
      <c r="A1667">
        <v>258502</v>
      </c>
      <c r="B1667" t="s">
        <v>1755</v>
      </c>
      <c r="C1667" t="str">
        <f>"9780521843850"</f>
        <v>9780521843850</v>
      </c>
      <c r="D1667" t="str">
        <f>"9780511190612"</f>
        <v>9780511190612</v>
      </c>
      <c r="E1667" t="s">
        <v>18</v>
      </c>
      <c r="F1667" t="s">
        <v>18</v>
      </c>
      <c r="G1667" s="1">
        <v>38866</v>
      </c>
      <c r="H1667" s="1">
        <v>38887</v>
      </c>
      <c r="I1667" t="s">
        <v>12</v>
      </c>
      <c r="J1667" t="s">
        <v>12437</v>
      </c>
    </row>
    <row r="1668" spans="1:10" x14ac:dyDescent="0.25">
      <c r="A1668">
        <v>258506</v>
      </c>
      <c r="B1668" t="s">
        <v>1756</v>
      </c>
      <c r="C1668" t="str">
        <f>"9780521847148"</f>
        <v>9780521847148</v>
      </c>
      <c r="D1668" t="str">
        <f>"9780511190643"</f>
        <v>9780511190643</v>
      </c>
      <c r="E1668" t="s">
        <v>18</v>
      </c>
      <c r="F1668" t="s">
        <v>18</v>
      </c>
      <c r="G1668" s="1">
        <v>38841</v>
      </c>
      <c r="H1668" s="1">
        <v>38887</v>
      </c>
      <c r="I1668" t="s">
        <v>12</v>
      </c>
      <c r="J1668" t="s">
        <v>12438</v>
      </c>
    </row>
    <row r="1669" spans="1:10" x14ac:dyDescent="0.25">
      <c r="A1669">
        <v>258510</v>
      </c>
      <c r="B1669" t="s">
        <v>1757</v>
      </c>
      <c r="C1669" t="str">
        <f>"9780521849289"</f>
        <v>9780521849289</v>
      </c>
      <c r="D1669" t="str">
        <f>"9780511160462"</f>
        <v>9780511160462</v>
      </c>
      <c r="E1669" t="s">
        <v>18</v>
      </c>
      <c r="F1669" t="s">
        <v>18</v>
      </c>
      <c r="G1669" s="1">
        <v>38777</v>
      </c>
      <c r="H1669" s="1">
        <v>38891</v>
      </c>
      <c r="I1669" t="s">
        <v>12</v>
      </c>
      <c r="J1669" t="s">
        <v>12439</v>
      </c>
    </row>
    <row r="1670" spans="1:10" x14ac:dyDescent="0.25">
      <c r="A1670">
        <v>258511</v>
      </c>
      <c r="B1670" t="s">
        <v>1758</v>
      </c>
      <c r="C1670" t="str">
        <f>"9780521849531"</f>
        <v>9780521849531</v>
      </c>
      <c r="D1670" t="str">
        <f>"9780511190674"</f>
        <v>9780511190674</v>
      </c>
      <c r="E1670" t="s">
        <v>18</v>
      </c>
      <c r="F1670" t="s">
        <v>18</v>
      </c>
      <c r="G1670" s="1">
        <v>38883</v>
      </c>
      <c r="H1670" s="1">
        <v>38911</v>
      </c>
      <c r="I1670" t="s">
        <v>12</v>
      </c>
      <c r="J1670" t="s">
        <v>12440</v>
      </c>
    </row>
    <row r="1671" spans="1:10" x14ac:dyDescent="0.25">
      <c r="A1671">
        <v>258515</v>
      </c>
      <c r="B1671" t="s">
        <v>1759</v>
      </c>
      <c r="C1671" t="str">
        <f>"9780521851886"</f>
        <v>9780521851886</v>
      </c>
      <c r="D1671" t="str">
        <f>"9780511190698"</f>
        <v>9780511190698</v>
      </c>
      <c r="E1671" t="s">
        <v>18</v>
      </c>
      <c r="F1671" t="s">
        <v>18</v>
      </c>
      <c r="G1671" s="1">
        <v>38845</v>
      </c>
      <c r="H1671" s="1">
        <v>38887</v>
      </c>
      <c r="I1671" t="s">
        <v>12</v>
      </c>
      <c r="J1671" t="s">
        <v>12441</v>
      </c>
    </row>
    <row r="1672" spans="1:10" x14ac:dyDescent="0.25">
      <c r="A1672">
        <v>258517</v>
      </c>
      <c r="B1672" t="s">
        <v>1760</v>
      </c>
      <c r="C1672" t="str">
        <f>"9780521854313"</f>
        <v>9780521854313</v>
      </c>
      <c r="D1672" t="str">
        <f>"9780511190704"</f>
        <v>9780511190704</v>
      </c>
      <c r="E1672" t="s">
        <v>18</v>
      </c>
      <c r="F1672" t="s">
        <v>18</v>
      </c>
      <c r="G1672" s="1">
        <v>38777</v>
      </c>
      <c r="H1672" s="1">
        <v>38897</v>
      </c>
      <c r="I1672" t="s">
        <v>12</v>
      </c>
      <c r="J1672" t="s">
        <v>12442</v>
      </c>
    </row>
    <row r="1673" spans="1:10" x14ac:dyDescent="0.25">
      <c r="A1673">
        <v>258523</v>
      </c>
      <c r="B1673" t="s">
        <v>1761</v>
      </c>
      <c r="C1673" t="str">
        <f>"9780521857543"</f>
        <v>9780521857543</v>
      </c>
      <c r="D1673" t="str">
        <f>"9780511190735"</f>
        <v>9780511190735</v>
      </c>
      <c r="E1673" t="s">
        <v>18</v>
      </c>
      <c r="F1673" t="s">
        <v>18</v>
      </c>
      <c r="G1673" s="1">
        <v>38803</v>
      </c>
      <c r="H1673" s="1">
        <v>38887</v>
      </c>
      <c r="I1673" t="s">
        <v>12</v>
      </c>
      <c r="J1673" t="s">
        <v>12443</v>
      </c>
    </row>
    <row r="1674" spans="1:10" x14ac:dyDescent="0.25">
      <c r="A1674">
        <v>258527</v>
      </c>
      <c r="B1674" t="s">
        <v>1762</v>
      </c>
      <c r="C1674" t="str">
        <f>"9780521859264"</f>
        <v>9780521859264</v>
      </c>
      <c r="D1674" t="str">
        <f>"9780511160578"</f>
        <v>9780511160578</v>
      </c>
      <c r="E1674" t="s">
        <v>18</v>
      </c>
      <c r="F1674" t="s">
        <v>18</v>
      </c>
      <c r="G1674" s="1">
        <v>38777</v>
      </c>
      <c r="H1674" s="1">
        <v>38887</v>
      </c>
      <c r="I1674" t="s">
        <v>12</v>
      </c>
      <c r="J1674" t="s">
        <v>12444</v>
      </c>
    </row>
    <row r="1675" spans="1:10" x14ac:dyDescent="0.25">
      <c r="A1675">
        <v>258528</v>
      </c>
      <c r="B1675" t="s">
        <v>1763</v>
      </c>
      <c r="C1675" t="str">
        <f>"9780521859530"</f>
        <v>9780521859530</v>
      </c>
      <c r="D1675" t="str">
        <f>"9780511190766"</f>
        <v>9780511190766</v>
      </c>
      <c r="E1675" t="s">
        <v>18</v>
      </c>
      <c r="F1675" t="s">
        <v>18</v>
      </c>
      <c r="G1675" s="1">
        <v>38777</v>
      </c>
      <c r="H1675" s="1">
        <v>38887</v>
      </c>
      <c r="I1675" t="s">
        <v>12</v>
      </c>
      <c r="J1675" t="s">
        <v>12445</v>
      </c>
    </row>
    <row r="1676" spans="1:10" x14ac:dyDescent="0.25">
      <c r="A1676">
        <v>258533</v>
      </c>
      <c r="B1676" t="s">
        <v>1764</v>
      </c>
      <c r="C1676" t="str">
        <f>"9780521861311"</f>
        <v>9780521861311</v>
      </c>
      <c r="D1676" t="str">
        <f>"9780511160318"</f>
        <v>9780511160318</v>
      </c>
      <c r="E1676" t="s">
        <v>18</v>
      </c>
      <c r="F1676" t="s">
        <v>18</v>
      </c>
      <c r="G1676" s="1">
        <v>38761</v>
      </c>
      <c r="H1676" s="1">
        <v>38887</v>
      </c>
      <c r="I1676" t="s">
        <v>12</v>
      </c>
      <c r="J1676" t="s">
        <v>12446</v>
      </c>
    </row>
    <row r="1677" spans="1:10" x14ac:dyDescent="0.25">
      <c r="A1677">
        <v>258535</v>
      </c>
      <c r="B1677" t="s">
        <v>1765</v>
      </c>
      <c r="C1677" t="str">
        <f>"9780521866941"</f>
        <v>9780521866941</v>
      </c>
      <c r="D1677" t="str">
        <f>"9780511190810"</f>
        <v>9780511190810</v>
      </c>
      <c r="E1677" t="s">
        <v>18</v>
      </c>
      <c r="F1677" t="s">
        <v>18</v>
      </c>
      <c r="G1677" s="1">
        <v>38808</v>
      </c>
      <c r="H1677" s="1">
        <v>38887</v>
      </c>
      <c r="I1677" t="s">
        <v>12</v>
      </c>
      <c r="J1677" t="s">
        <v>12447</v>
      </c>
    </row>
    <row r="1678" spans="1:10" x14ac:dyDescent="0.25">
      <c r="A1678">
        <v>258536</v>
      </c>
      <c r="B1678" t="s">
        <v>1766</v>
      </c>
      <c r="C1678" t="str">
        <f>"9781403991706"</f>
        <v>9781403991706</v>
      </c>
      <c r="D1678" t="str">
        <f>"9780230508927"</f>
        <v>9780230508927</v>
      </c>
      <c r="E1678" t="s">
        <v>875</v>
      </c>
      <c r="F1678" t="s">
        <v>875</v>
      </c>
      <c r="G1678" s="1">
        <v>38651</v>
      </c>
      <c r="H1678" s="1">
        <v>38897</v>
      </c>
      <c r="I1678" t="s">
        <v>12</v>
      </c>
      <c r="J1678" t="s">
        <v>12448</v>
      </c>
    </row>
    <row r="1679" spans="1:10" x14ac:dyDescent="0.25">
      <c r="A1679">
        <v>258539</v>
      </c>
      <c r="B1679" t="s">
        <v>1767</v>
      </c>
      <c r="C1679" t="str">
        <f>"9781403991232"</f>
        <v>9781403991232</v>
      </c>
      <c r="D1679" t="str">
        <f>"9780230509412"</f>
        <v>9780230509412</v>
      </c>
      <c r="E1679" t="s">
        <v>875</v>
      </c>
      <c r="F1679" t="s">
        <v>875</v>
      </c>
      <c r="G1679" s="1">
        <v>38615</v>
      </c>
      <c r="H1679" s="1">
        <v>38897</v>
      </c>
      <c r="I1679" t="s">
        <v>12</v>
      </c>
      <c r="J1679" t="s">
        <v>12449</v>
      </c>
    </row>
    <row r="1680" spans="1:10" x14ac:dyDescent="0.25">
      <c r="A1680">
        <v>258546</v>
      </c>
      <c r="B1680" t="s">
        <v>1768</v>
      </c>
      <c r="C1680" t="str">
        <f>"9781403911261"</f>
        <v>9781403911261</v>
      </c>
      <c r="D1680" t="str">
        <f>"9780230509566"</f>
        <v>9780230509566</v>
      </c>
      <c r="E1680" t="s">
        <v>875</v>
      </c>
      <c r="F1680" t="s">
        <v>876</v>
      </c>
      <c r="G1680" s="1">
        <v>37932</v>
      </c>
      <c r="H1680" s="1">
        <v>38897</v>
      </c>
      <c r="I1680" t="s">
        <v>12</v>
      </c>
      <c r="J1680" t="s">
        <v>12450</v>
      </c>
    </row>
    <row r="1681" spans="1:10" x14ac:dyDescent="0.25">
      <c r="A1681">
        <v>258572</v>
      </c>
      <c r="B1681" t="s">
        <v>1769</v>
      </c>
      <c r="C1681" t="str">
        <f>"9780749446635"</f>
        <v>9780749446635</v>
      </c>
      <c r="D1681" t="str">
        <f>"9780749448622"</f>
        <v>9780749448622</v>
      </c>
      <c r="E1681" t="s">
        <v>1770</v>
      </c>
      <c r="F1681" t="s">
        <v>1770</v>
      </c>
      <c r="G1681" s="1">
        <v>38838</v>
      </c>
      <c r="H1681" s="1">
        <v>38954</v>
      </c>
      <c r="I1681" t="s">
        <v>12</v>
      </c>
      <c r="J1681" t="s">
        <v>12451</v>
      </c>
    </row>
    <row r="1682" spans="1:10" x14ac:dyDescent="0.25">
      <c r="A1682">
        <v>258575</v>
      </c>
      <c r="B1682" t="s">
        <v>1771</v>
      </c>
      <c r="C1682" t="str">
        <f>"9780749446390"</f>
        <v>9780749446390</v>
      </c>
      <c r="D1682" t="str">
        <f>"9780749448417"</f>
        <v>9780749448417</v>
      </c>
      <c r="E1682" t="s">
        <v>1059</v>
      </c>
      <c r="F1682" t="s">
        <v>1059</v>
      </c>
      <c r="G1682" s="1">
        <v>38779</v>
      </c>
      <c r="H1682" s="1">
        <v>38953</v>
      </c>
      <c r="I1682" t="s">
        <v>12</v>
      </c>
      <c r="J1682" t="s">
        <v>12452</v>
      </c>
    </row>
    <row r="1683" spans="1:10" x14ac:dyDescent="0.25">
      <c r="A1683">
        <v>258580</v>
      </c>
      <c r="B1683" t="s">
        <v>1772</v>
      </c>
      <c r="C1683" t="str">
        <f>"9780749445775"</f>
        <v>9780749445775</v>
      </c>
      <c r="D1683" t="str">
        <f>"9780749448479"</f>
        <v>9780749448479</v>
      </c>
      <c r="E1683" t="s">
        <v>1059</v>
      </c>
      <c r="F1683" t="s">
        <v>1059</v>
      </c>
      <c r="G1683" s="1">
        <v>39052</v>
      </c>
      <c r="H1683" s="1">
        <v>38866</v>
      </c>
      <c r="I1683" t="s">
        <v>12</v>
      </c>
      <c r="J1683" t="s">
        <v>12453</v>
      </c>
    </row>
    <row r="1684" spans="1:10" x14ac:dyDescent="0.25">
      <c r="A1684">
        <v>258592</v>
      </c>
      <c r="B1684" t="s">
        <v>1773</v>
      </c>
      <c r="C1684" t="str">
        <f>"9781403914927"</f>
        <v>9781403914927</v>
      </c>
      <c r="D1684" t="str">
        <f>"9780230510029"</f>
        <v>9780230510029</v>
      </c>
      <c r="E1684" t="s">
        <v>875</v>
      </c>
      <c r="F1684" t="s">
        <v>875</v>
      </c>
      <c r="G1684" s="1">
        <v>38422</v>
      </c>
      <c r="H1684" s="1">
        <v>38897</v>
      </c>
      <c r="I1684" t="s">
        <v>12</v>
      </c>
      <c r="J1684" t="s">
        <v>12454</v>
      </c>
    </row>
    <row r="1685" spans="1:10" x14ac:dyDescent="0.25">
      <c r="A1685">
        <v>258602</v>
      </c>
      <c r="B1685" t="s">
        <v>1774</v>
      </c>
      <c r="C1685" t="str">
        <f>"9781403949035"</f>
        <v>9781403949035</v>
      </c>
      <c r="D1685" t="str">
        <f>"9780230510302"</f>
        <v>9780230510302</v>
      </c>
      <c r="E1685" t="s">
        <v>875</v>
      </c>
      <c r="F1685" t="s">
        <v>875</v>
      </c>
      <c r="G1685" s="1">
        <v>38666</v>
      </c>
      <c r="H1685" s="1">
        <v>38897</v>
      </c>
      <c r="I1685" t="s">
        <v>12</v>
      </c>
      <c r="J1685" t="s">
        <v>12455</v>
      </c>
    </row>
    <row r="1686" spans="1:10" x14ac:dyDescent="0.25">
      <c r="A1686">
        <v>258620</v>
      </c>
      <c r="B1686" t="s">
        <v>1775</v>
      </c>
      <c r="C1686" t="str">
        <f>"9781591407140"</f>
        <v>9781591407140</v>
      </c>
      <c r="D1686" t="str">
        <f>"9781591407164"</f>
        <v>9781591407164</v>
      </c>
      <c r="E1686" t="s">
        <v>623</v>
      </c>
      <c r="F1686" t="s">
        <v>624</v>
      </c>
      <c r="G1686" s="1">
        <v>38718</v>
      </c>
      <c r="H1686" s="1">
        <v>38866</v>
      </c>
      <c r="I1686" t="s">
        <v>12</v>
      </c>
      <c r="J1686" t="s">
        <v>12456</v>
      </c>
    </row>
    <row r="1687" spans="1:10" x14ac:dyDescent="0.25">
      <c r="A1687">
        <v>258621</v>
      </c>
      <c r="B1687" t="s">
        <v>1776</v>
      </c>
      <c r="C1687" t="str">
        <f>"9781591408604"</f>
        <v>9781591408604</v>
      </c>
      <c r="D1687" t="str">
        <f>"9781591408628"</f>
        <v>9781591408628</v>
      </c>
      <c r="E1687" t="s">
        <v>623</v>
      </c>
      <c r="F1687" t="s">
        <v>624</v>
      </c>
      <c r="G1687" s="1">
        <v>38991</v>
      </c>
      <c r="H1687" s="1">
        <v>38866</v>
      </c>
      <c r="I1687" t="s">
        <v>12</v>
      </c>
      <c r="J1687" t="s">
        <v>12457</v>
      </c>
    </row>
    <row r="1688" spans="1:10" x14ac:dyDescent="0.25">
      <c r="A1688">
        <v>258622</v>
      </c>
      <c r="B1688" t="s">
        <v>1777</v>
      </c>
      <c r="C1688" t="str">
        <f>"9781591408727"</f>
        <v>9781591408727</v>
      </c>
      <c r="D1688" t="str">
        <f>"9781591408741"</f>
        <v>9781591408741</v>
      </c>
      <c r="E1688" t="s">
        <v>623</v>
      </c>
      <c r="F1688" t="s">
        <v>624</v>
      </c>
      <c r="G1688" s="1">
        <v>39041</v>
      </c>
      <c r="H1688" s="1">
        <v>38866</v>
      </c>
      <c r="I1688" t="s">
        <v>12</v>
      </c>
      <c r="J1688" t="s">
        <v>12458</v>
      </c>
    </row>
    <row r="1689" spans="1:10" x14ac:dyDescent="0.25">
      <c r="A1689">
        <v>258623</v>
      </c>
      <c r="B1689" t="s">
        <v>1778</v>
      </c>
      <c r="C1689" t="str">
        <f>"9781599043968"</f>
        <v>9781599043968</v>
      </c>
      <c r="D1689" t="str">
        <f>"9781599043982"</f>
        <v>9781599043982</v>
      </c>
      <c r="E1689" t="s">
        <v>623</v>
      </c>
      <c r="F1689" t="s">
        <v>624</v>
      </c>
      <c r="G1689" s="1">
        <v>38837</v>
      </c>
      <c r="H1689" s="1">
        <v>40634</v>
      </c>
      <c r="I1689" t="s">
        <v>12</v>
      </c>
      <c r="J1689" t="s">
        <v>12459</v>
      </c>
    </row>
    <row r="1690" spans="1:10" x14ac:dyDescent="0.25">
      <c r="A1690">
        <v>258624</v>
      </c>
      <c r="B1690" t="s">
        <v>1779</v>
      </c>
      <c r="C1690" t="str">
        <f>"9781599044088"</f>
        <v>9781599044088</v>
      </c>
      <c r="D1690" t="str">
        <f>"9781599044101"</f>
        <v>9781599044101</v>
      </c>
      <c r="E1690" t="s">
        <v>623</v>
      </c>
      <c r="F1690" t="s">
        <v>624</v>
      </c>
      <c r="G1690" s="1">
        <v>38837</v>
      </c>
      <c r="H1690" s="1">
        <v>38866</v>
      </c>
      <c r="I1690" t="s">
        <v>12</v>
      </c>
      <c r="J1690" t="s">
        <v>12460</v>
      </c>
    </row>
    <row r="1691" spans="1:10" x14ac:dyDescent="0.25">
      <c r="A1691">
        <v>258625</v>
      </c>
      <c r="B1691" t="s">
        <v>1780</v>
      </c>
      <c r="C1691" t="str">
        <f>"9781599044118"</f>
        <v>9781599044118</v>
      </c>
      <c r="D1691" t="str">
        <f>"9781599044132"</f>
        <v>9781599044132</v>
      </c>
      <c r="E1691" t="s">
        <v>623</v>
      </c>
      <c r="F1691" t="s">
        <v>624</v>
      </c>
      <c r="G1691" s="1">
        <v>39023</v>
      </c>
      <c r="H1691" s="1">
        <v>38866</v>
      </c>
      <c r="I1691" t="s">
        <v>12</v>
      </c>
      <c r="J1691" t="s">
        <v>12461</v>
      </c>
    </row>
    <row r="1692" spans="1:10" x14ac:dyDescent="0.25">
      <c r="A1692">
        <v>258627</v>
      </c>
      <c r="B1692" t="s">
        <v>1781</v>
      </c>
      <c r="C1692" t="str">
        <f>"9781599040165"</f>
        <v>9781599040165</v>
      </c>
      <c r="D1692" t="str">
        <f>"9781599040189"</f>
        <v>9781599040189</v>
      </c>
      <c r="E1692" t="s">
        <v>623</v>
      </c>
      <c r="F1692" t="s">
        <v>624</v>
      </c>
      <c r="G1692" s="1">
        <v>38868</v>
      </c>
      <c r="H1692" s="1">
        <v>38866</v>
      </c>
      <c r="I1692" t="s">
        <v>12</v>
      </c>
      <c r="J1692" t="s">
        <v>12462</v>
      </c>
    </row>
    <row r="1693" spans="1:10" x14ac:dyDescent="0.25">
      <c r="A1693">
        <v>258628</v>
      </c>
      <c r="B1693" t="s">
        <v>1782</v>
      </c>
      <c r="C1693" t="str">
        <f>"9781591407539"</f>
        <v>9781591407539</v>
      </c>
      <c r="D1693" t="str">
        <f>"9781591407553"</f>
        <v>9781591407553</v>
      </c>
      <c r="E1693" t="s">
        <v>623</v>
      </c>
      <c r="F1693" t="s">
        <v>624</v>
      </c>
      <c r="G1693" s="1">
        <v>39031</v>
      </c>
      <c r="H1693" s="1">
        <v>38863</v>
      </c>
      <c r="I1693" t="s">
        <v>12</v>
      </c>
      <c r="J1693" t="s">
        <v>12463</v>
      </c>
    </row>
    <row r="1694" spans="1:10" x14ac:dyDescent="0.25">
      <c r="A1694">
        <v>258672</v>
      </c>
      <c r="B1694" t="s">
        <v>1783</v>
      </c>
      <c r="C1694" t="str">
        <f>"9781403918994"</f>
        <v>9781403918994</v>
      </c>
      <c r="D1694" t="str">
        <f>"9780230510531"</f>
        <v>9780230510531</v>
      </c>
      <c r="E1694" t="s">
        <v>875</v>
      </c>
      <c r="F1694" t="s">
        <v>875</v>
      </c>
      <c r="G1694" s="1">
        <v>38603</v>
      </c>
      <c r="H1694" s="1">
        <v>38897</v>
      </c>
      <c r="I1694" t="s">
        <v>12</v>
      </c>
      <c r="J1694" t="s">
        <v>12464</v>
      </c>
    </row>
    <row r="1695" spans="1:10" x14ac:dyDescent="0.25">
      <c r="A1695">
        <v>258673</v>
      </c>
      <c r="B1695" t="s">
        <v>1784</v>
      </c>
      <c r="C1695" t="str">
        <f>"9781403916549"</f>
        <v>9781403916549</v>
      </c>
      <c r="D1695" t="str">
        <f>"9780230510555"</f>
        <v>9780230510555</v>
      </c>
      <c r="E1695" t="s">
        <v>875</v>
      </c>
      <c r="F1695" t="s">
        <v>876</v>
      </c>
      <c r="G1695" s="1">
        <v>37942</v>
      </c>
      <c r="H1695" s="1">
        <v>38897</v>
      </c>
      <c r="I1695" t="s">
        <v>12</v>
      </c>
      <c r="J1695" t="s">
        <v>12465</v>
      </c>
    </row>
    <row r="1696" spans="1:10" x14ac:dyDescent="0.25">
      <c r="A1696">
        <v>258676</v>
      </c>
      <c r="B1696" t="s">
        <v>1785</v>
      </c>
      <c r="C1696" t="str">
        <f>"9781403933454"</f>
        <v>9781403933454</v>
      </c>
      <c r="D1696" t="str">
        <f>"9780230510708"</f>
        <v>9780230510708</v>
      </c>
      <c r="E1696" t="s">
        <v>875</v>
      </c>
      <c r="F1696" t="s">
        <v>875</v>
      </c>
      <c r="G1696" s="1">
        <v>38331</v>
      </c>
      <c r="H1696" s="1">
        <v>38897</v>
      </c>
      <c r="I1696" t="s">
        <v>12</v>
      </c>
      <c r="J1696" t="s">
        <v>12466</v>
      </c>
    </row>
    <row r="1697" spans="1:10" x14ac:dyDescent="0.25">
      <c r="A1697">
        <v>258680</v>
      </c>
      <c r="B1697" t="s">
        <v>1786</v>
      </c>
      <c r="C1697" t="str">
        <f>"9781403945952"</f>
        <v>9781403945952</v>
      </c>
      <c r="D1697" t="str">
        <f>"9780230510890"</f>
        <v>9780230510890</v>
      </c>
      <c r="E1697" t="s">
        <v>875</v>
      </c>
      <c r="F1697" t="s">
        <v>875</v>
      </c>
      <c r="G1697" s="1">
        <v>38321</v>
      </c>
      <c r="H1697" s="1">
        <v>38897</v>
      </c>
      <c r="I1697" t="s">
        <v>12</v>
      </c>
      <c r="J1697" t="s">
        <v>12467</v>
      </c>
    </row>
    <row r="1698" spans="1:10" x14ac:dyDescent="0.25">
      <c r="A1698">
        <v>258682</v>
      </c>
      <c r="B1698" t="s">
        <v>1787</v>
      </c>
      <c r="C1698" t="str">
        <f>"9780333626672"</f>
        <v>9780333626672</v>
      </c>
      <c r="D1698" t="str">
        <f>"9780230510913"</f>
        <v>9780230510913</v>
      </c>
      <c r="E1698" t="s">
        <v>875</v>
      </c>
      <c r="F1698" t="s">
        <v>876</v>
      </c>
      <c r="G1698" s="1">
        <v>36738</v>
      </c>
      <c r="H1698" s="1">
        <v>38897</v>
      </c>
      <c r="I1698" t="s">
        <v>12</v>
      </c>
      <c r="J1698" t="s">
        <v>12468</v>
      </c>
    </row>
    <row r="1699" spans="1:10" x14ac:dyDescent="0.25">
      <c r="A1699">
        <v>258785</v>
      </c>
      <c r="B1699" t="s">
        <v>1788</v>
      </c>
      <c r="C1699" t="str">
        <f>"9781403945716"</f>
        <v>9781403945716</v>
      </c>
      <c r="D1699" t="str">
        <f>"9780230511224"</f>
        <v>9780230511224</v>
      </c>
      <c r="E1699" t="s">
        <v>875</v>
      </c>
      <c r="F1699" t="s">
        <v>875</v>
      </c>
      <c r="G1699" s="1">
        <v>38559</v>
      </c>
      <c r="H1699" s="1">
        <v>38897</v>
      </c>
      <c r="I1699" t="s">
        <v>12</v>
      </c>
      <c r="J1699" t="s">
        <v>12469</v>
      </c>
    </row>
    <row r="1700" spans="1:10" x14ac:dyDescent="0.25">
      <c r="A1700">
        <v>258791</v>
      </c>
      <c r="B1700" t="s">
        <v>1789</v>
      </c>
      <c r="C1700" t="str">
        <f>"9781403997104"</f>
        <v>9781403997104</v>
      </c>
      <c r="D1700" t="str">
        <f>"9780230511347"</f>
        <v>9780230511347</v>
      </c>
      <c r="E1700" t="s">
        <v>875</v>
      </c>
      <c r="F1700" t="s">
        <v>875</v>
      </c>
      <c r="G1700" s="1">
        <v>38566</v>
      </c>
      <c r="H1700" s="1">
        <v>38897</v>
      </c>
      <c r="I1700" t="s">
        <v>12</v>
      </c>
      <c r="J1700" t="s">
        <v>12470</v>
      </c>
    </row>
    <row r="1701" spans="1:10" x14ac:dyDescent="0.25">
      <c r="A1701">
        <v>258794</v>
      </c>
      <c r="B1701" t="s">
        <v>1790</v>
      </c>
      <c r="C1701" t="str">
        <f>"9781403993458"</f>
        <v>9781403993458</v>
      </c>
      <c r="D1701" t="str">
        <f>"9780230511392"</f>
        <v>9780230511392</v>
      </c>
      <c r="E1701" t="s">
        <v>875</v>
      </c>
      <c r="F1701" t="s">
        <v>875</v>
      </c>
      <c r="G1701" s="1">
        <v>38630</v>
      </c>
      <c r="H1701" s="1">
        <v>38897</v>
      </c>
      <c r="I1701" t="s">
        <v>12</v>
      </c>
      <c r="J1701" t="s">
        <v>12471</v>
      </c>
    </row>
    <row r="1702" spans="1:10" x14ac:dyDescent="0.25">
      <c r="A1702">
        <v>258797</v>
      </c>
      <c r="B1702" t="s">
        <v>1791</v>
      </c>
      <c r="C1702" t="str">
        <f>"9781403933669"</f>
        <v>9781403933669</v>
      </c>
      <c r="D1702" t="str">
        <f>"9780230511460"</f>
        <v>9780230511460</v>
      </c>
      <c r="E1702" t="s">
        <v>875</v>
      </c>
      <c r="F1702" t="s">
        <v>876</v>
      </c>
      <c r="G1702" s="1">
        <v>38219</v>
      </c>
      <c r="H1702" s="1">
        <v>38897</v>
      </c>
      <c r="I1702" t="s">
        <v>12</v>
      </c>
      <c r="J1702" t="s">
        <v>12472</v>
      </c>
    </row>
    <row r="1703" spans="1:10" x14ac:dyDescent="0.25">
      <c r="A1703">
        <v>258971</v>
      </c>
      <c r="B1703" t="s">
        <v>1792</v>
      </c>
      <c r="C1703" t="str">
        <f>"9780415263856"</f>
        <v>9780415263856</v>
      </c>
      <c r="D1703" t="str">
        <f>"9780203099834"</f>
        <v>9780203099834</v>
      </c>
      <c r="E1703" t="s">
        <v>15</v>
      </c>
      <c r="F1703" t="s">
        <v>16</v>
      </c>
      <c r="G1703" s="1">
        <v>38702</v>
      </c>
      <c r="H1703" s="1">
        <v>38867</v>
      </c>
      <c r="I1703" t="s">
        <v>12</v>
      </c>
      <c r="J1703" t="s">
        <v>12473</v>
      </c>
    </row>
    <row r="1704" spans="1:10" x14ac:dyDescent="0.25">
      <c r="A1704">
        <v>258975</v>
      </c>
      <c r="B1704" t="s">
        <v>1793</v>
      </c>
      <c r="C1704" t="str">
        <f>"9780415306461"</f>
        <v>9780415306461</v>
      </c>
      <c r="D1704" t="str">
        <f>"9780203970003"</f>
        <v>9780203970003</v>
      </c>
      <c r="E1704" t="s">
        <v>15</v>
      </c>
      <c r="F1704" t="s">
        <v>16</v>
      </c>
      <c r="G1704" s="1">
        <v>38792</v>
      </c>
      <c r="H1704" s="1">
        <v>38867</v>
      </c>
      <c r="I1704" t="s">
        <v>12</v>
      </c>
      <c r="J1704" t="s">
        <v>12474</v>
      </c>
    </row>
    <row r="1705" spans="1:10" x14ac:dyDescent="0.25">
      <c r="A1705">
        <v>258978</v>
      </c>
      <c r="B1705" t="s">
        <v>1794</v>
      </c>
      <c r="C1705" t="str">
        <f>"9780415322935"</f>
        <v>9780415322935</v>
      </c>
      <c r="D1705" t="str">
        <f>"9780203300794"</f>
        <v>9780203300794</v>
      </c>
      <c r="E1705" t="s">
        <v>15</v>
      </c>
      <c r="F1705" t="s">
        <v>16</v>
      </c>
      <c r="G1705" s="1">
        <v>38730</v>
      </c>
      <c r="H1705" s="1">
        <v>38866</v>
      </c>
      <c r="I1705" t="s">
        <v>12</v>
      </c>
      <c r="J1705" t="s">
        <v>12475</v>
      </c>
    </row>
    <row r="1706" spans="1:10" x14ac:dyDescent="0.25">
      <c r="A1706">
        <v>258981</v>
      </c>
      <c r="B1706" t="s">
        <v>1795</v>
      </c>
      <c r="C1706" t="str">
        <f>"9780415326766"</f>
        <v>9780415326766</v>
      </c>
      <c r="D1706" t="str">
        <f>"9780203087565"</f>
        <v>9780203087565</v>
      </c>
      <c r="E1706" t="s">
        <v>15</v>
      </c>
      <c r="F1706" t="s">
        <v>16</v>
      </c>
      <c r="G1706" s="1">
        <v>38702</v>
      </c>
      <c r="H1706" s="1">
        <v>38866</v>
      </c>
      <c r="I1706" t="s">
        <v>12</v>
      </c>
      <c r="J1706" t="s">
        <v>12476</v>
      </c>
    </row>
    <row r="1707" spans="1:10" x14ac:dyDescent="0.25">
      <c r="A1707">
        <v>258982</v>
      </c>
      <c r="B1707" t="s">
        <v>1796</v>
      </c>
      <c r="C1707" t="str">
        <f>"9780415327893"</f>
        <v>9780415327893</v>
      </c>
      <c r="D1707" t="str">
        <f>"9780203390740"</f>
        <v>9780203390740</v>
      </c>
      <c r="E1707" t="s">
        <v>15</v>
      </c>
      <c r="F1707" t="s">
        <v>16</v>
      </c>
      <c r="G1707" s="1">
        <v>38701</v>
      </c>
      <c r="H1707" s="1">
        <v>38866</v>
      </c>
      <c r="I1707" t="s">
        <v>12</v>
      </c>
      <c r="J1707" t="s">
        <v>12477</v>
      </c>
    </row>
    <row r="1708" spans="1:10" x14ac:dyDescent="0.25">
      <c r="A1708">
        <v>258983</v>
      </c>
      <c r="B1708" t="s">
        <v>1797</v>
      </c>
      <c r="C1708" t="str">
        <f>"9780415328647"</f>
        <v>9780415328647</v>
      </c>
      <c r="D1708" t="str">
        <f>"9780203387962"</f>
        <v>9780203387962</v>
      </c>
      <c r="E1708" t="s">
        <v>15</v>
      </c>
      <c r="F1708" t="s">
        <v>16</v>
      </c>
      <c r="G1708" s="1">
        <v>38764</v>
      </c>
      <c r="H1708" s="1">
        <v>38866</v>
      </c>
      <c r="I1708" t="s">
        <v>12</v>
      </c>
      <c r="J1708" t="s">
        <v>12478</v>
      </c>
    </row>
    <row r="1709" spans="1:10" x14ac:dyDescent="0.25">
      <c r="A1709">
        <v>258984</v>
      </c>
      <c r="B1709" t="s">
        <v>1798</v>
      </c>
      <c r="C1709" t="str">
        <f>"9780415331197"</f>
        <v>9780415331197</v>
      </c>
      <c r="D1709" t="str">
        <f>"9780203392539"</f>
        <v>9780203392539</v>
      </c>
      <c r="E1709" t="s">
        <v>15</v>
      </c>
      <c r="F1709" t="s">
        <v>16</v>
      </c>
      <c r="G1709" s="1">
        <v>38663</v>
      </c>
      <c r="H1709" s="1">
        <v>38866</v>
      </c>
      <c r="I1709" t="s">
        <v>12</v>
      </c>
      <c r="J1709" t="s">
        <v>12479</v>
      </c>
    </row>
    <row r="1710" spans="1:10" x14ac:dyDescent="0.25">
      <c r="A1710">
        <v>258991</v>
      </c>
      <c r="B1710" t="s">
        <v>1799</v>
      </c>
      <c r="C1710" t="str">
        <f>"9780415345606"</f>
        <v>9780415345606</v>
      </c>
      <c r="D1710" t="str">
        <f>"9780203567128"</f>
        <v>9780203567128</v>
      </c>
      <c r="E1710" t="s">
        <v>15</v>
      </c>
      <c r="F1710" t="s">
        <v>16</v>
      </c>
      <c r="G1710" s="1">
        <v>38516</v>
      </c>
      <c r="H1710" s="1">
        <v>38866</v>
      </c>
      <c r="I1710" t="s">
        <v>12</v>
      </c>
      <c r="J1710" t="s">
        <v>12480</v>
      </c>
    </row>
    <row r="1711" spans="1:10" x14ac:dyDescent="0.25">
      <c r="A1711">
        <v>258992</v>
      </c>
      <c r="B1711" t="s">
        <v>1800</v>
      </c>
      <c r="C1711" t="str">
        <f>"9780415347150"</f>
        <v>9780415347150</v>
      </c>
      <c r="D1711" t="str">
        <f>"9780203640067"</f>
        <v>9780203640067</v>
      </c>
      <c r="E1711" t="s">
        <v>15</v>
      </c>
      <c r="F1711" t="s">
        <v>16</v>
      </c>
      <c r="G1711" s="1">
        <v>38734</v>
      </c>
      <c r="H1711" s="1">
        <v>38866</v>
      </c>
      <c r="I1711" t="s">
        <v>12</v>
      </c>
      <c r="J1711" t="s">
        <v>12481</v>
      </c>
    </row>
    <row r="1712" spans="1:10" x14ac:dyDescent="0.25">
      <c r="A1712">
        <v>258993</v>
      </c>
      <c r="B1712" t="s">
        <v>1801</v>
      </c>
      <c r="C1712" t="str">
        <f>"9780415347174"</f>
        <v>9780415347174</v>
      </c>
      <c r="D1712" t="str">
        <f>"9780203640074"</f>
        <v>9780203640074</v>
      </c>
      <c r="E1712" t="s">
        <v>15</v>
      </c>
      <c r="F1712" t="s">
        <v>16</v>
      </c>
      <c r="G1712" s="1">
        <v>38667</v>
      </c>
      <c r="H1712" s="1">
        <v>38866</v>
      </c>
      <c r="I1712" t="s">
        <v>12</v>
      </c>
      <c r="J1712" t="s">
        <v>12482</v>
      </c>
    </row>
    <row r="1713" spans="1:10" x14ac:dyDescent="0.25">
      <c r="A1713">
        <v>258994</v>
      </c>
      <c r="B1713" t="s">
        <v>1802</v>
      </c>
      <c r="C1713" t="str">
        <f>"9780415353793"</f>
        <v>9780415353793</v>
      </c>
      <c r="D1713" t="str">
        <f>"9780203347201"</f>
        <v>9780203347201</v>
      </c>
      <c r="E1713" t="s">
        <v>15</v>
      </c>
      <c r="F1713" t="s">
        <v>16</v>
      </c>
      <c r="G1713" s="1">
        <v>38783</v>
      </c>
      <c r="H1713" s="1">
        <v>38866</v>
      </c>
      <c r="I1713" t="s">
        <v>12</v>
      </c>
      <c r="J1713" t="s">
        <v>12483</v>
      </c>
    </row>
    <row r="1714" spans="1:10" x14ac:dyDescent="0.25">
      <c r="A1714">
        <v>258997</v>
      </c>
      <c r="B1714" t="s">
        <v>1803</v>
      </c>
      <c r="C1714" t="str">
        <f>"9780415356985"</f>
        <v>9780415356985</v>
      </c>
      <c r="D1714" t="str">
        <f>"9780203003039"</f>
        <v>9780203003039</v>
      </c>
      <c r="E1714" t="s">
        <v>15</v>
      </c>
      <c r="F1714" t="s">
        <v>16</v>
      </c>
      <c r="G1714" s="1">
        <v>38667</v>
      </c>
      <c r="H1714" s="1">
        <v>38866</v>
      </c>
      <c r="I1714" t="s">
        <v>12</v>
      </c>
      <c r="J1714" t="s">
        <v>12484</v>
      </c>
    </row>
    <row r="1715" spans="1:10" x14ac:dyDescent="0.25">
      <c r="A1715">
        <v>259003</v>
      </c>
      <c r="B1715" t="s">
        <v>1804</v>
      </c>
      <c r="C1715" t="str">
        <f>"9780415364621"</f>
        <v>9780415364621</v>
      </c>
      <c r="D1715" t="str">
        <f>"9780203015681"</f>
        <v>9780203015681</v>
      </c>
      <c r="E1715" t="s">
        <v>15</v>
      </c>
      <c r="F1715" t="s">
        <v>16</v>
      </c>
      <c r="G1715" s="1">
        <v>38701</v>
      </c>
      <c r="H1715" s="1">
        <v>38866</v>
      </c>
      <c r="I1715" t="s">
        <v>12</v>
      </c>
      <c r="J1715" t="s">
        <v>12485</v>
      </c>
    </row>
    <row r="1716" spans="1:10" x14ac:dyDescent="0.25">
      <c r="A1716">
        <v>259019</v>
      </c>
      <c r="B1716" t="s">
        <v>1805</v>
      </c>
      <c r="C1716" t="str">
        <f>"9781841695587"</f>
        <v>9781841695587</v>
      </c>
      <c r="D1716" t="str">
        <f>"9780203013380"</f>
        <v>9780203013380</v>
      </c>
      <c r="E1716" t="s">
        <v>15</v>
      </c>
      <c r="F1716" t="s">
        <v>55</v>
      </c>
      <c r="G1716" s="1">
        <v>38631</v>
      </c>
      <c r="H1716" s="1">
        <v>38866</v>
      </c>
      <c r="I1716" t="s">
        <v>12</v>
      </c>
      <c r="J1716" t="s">
        <v>12486</v>
      </c>
    </row>
    <row r="1717" spans="1:10" x14ac:dyDescent="0.25">
      <c r="A1717">
        <v>259025</v>
      </c>
      <c r="B1717" t="s">
        <v>1806</v>
      </c>
      <c r="C1717" t="str">
        <f>"9780415316064"</f>
        <v>9780415316064</v>
      </c>
      <c r="D1717" t="str">
        <f>"9780203569320"</f>
        <v>9780203569320</v>
      </c>
      <c r="E1717" t="s">
        <v>15</v>
      </c>
      <c r="F1717" t="s">
        <v>16</v>
      </c>
      <c r="G1717" s="1">
        <v>38666</v>
      </c>
      <c r="H1717" s="1">
        <v>38866</v>
      </c>
      <c r="I1717" t="s">
        <v>12</v>
      </c>
      <c r="J1717" t="s">
        <v>12487</v>
      </c>
    </row>
    <row r="1718" spans="1:10" x14ac:dyDescent="0.25">
      <c r="A1718">
        <v>259026</v>
      </c>
      <c r="B1718" t="s">
        <v>1807</v>
      </c>
      <c r="C1718" t="str">
        <f>"9780415317993"</f>
        <v>9780415317993</v>
      </c>
      <c r="D1718" t="str">
        <f>"9780203595831"</f>
        <v>9780203595831</v>
      </c>
      <c r="E1718" t="s">
        <v>16</v>
      </c>
      <c r="F1718" t="s">
        <v>16</v>
      </c>
      <c r="G1718" s="1">
        <v>38708</v>
      </c>
      <c r="H1718" s="1">
        <v>38866</v>
      </c>
      <c r="I1718" t="s">
        <v>12</v>
      </c>
      <c r="J1718" t="s">
        <v>12488</v>
      </c>
    </row>
    <row r="1719" spans="1:10" x14ac:dyDescent="0.25">
      <c r="A1719">
        <v>259028</v>
      </c>
      <c r="B1719" t="s">
        <v>1808</v>
      </c>
      <c r="C1719" t="str">
        <f>"9780415345415"</f>
        <v>9780415345415</v>
      </c>
      <c r="D1719" t="str">
        <f>"9780203968451"</f>
        <v>9780203968451</v>
      </c>
      <c r="E1719" t="s">
        <v>16</v>
      </c>
      <c r="F1719" t="s">
        <v>16</v>
      </c>
      <c r="G1719" s="1">
        <v>38353</v>
      </c>
      <c r="H1719" s="1">
        <v>39163</v>
      </c>
      <c r="I1719" t="s">
        <v>12</v>
      </c>
      <c r="J1719" t="s">
        <v>12489</v>
      </c>
    </row>
    <row r="1720" spans="1:10" x14ac:dyDescent="0.25">
      <c r="A1720">
        <v>259029</v>
      </c>
      <c r="B1720" t="s">
        <v>1809</v>
      </c>
      <c r="C1720" t="str">
        <f>"9780415347266"</f>
        <v>9780415347266</v>
      </c>
      <c r="D1720" t="str">
        <f>"9780203640166"</f>
        <v>9780203640166</v>
      </c>
      <c r="E1720" t="s">
        <v>144</v>
      </c>
      <c r="F1720" t="s">
        <v>16</v>
      </c>
      <c r="G1720" s="1">
        <v>38730</v>
      </c>
      <c r="H1720" s="1">
        <v>38866</v>
      </c>
      <c r="I1720" t="s">
        <v>12</v>
      </c>
      <c r="J1720" t="s">
        <v>12490</v>
      </c>
    </row>
    <row r="1721" spans="1:10" x14ac:dyDescent="0.25">
      <c r="A1721">
        <v>259037</v>
      </c>
      <c r="B1721" t="s">
        <v>1810</v>
      </c>
      <c r="C1721" t="str">
        <f>"9780415352321"</f>
        <v>9780415352321</v>
      </c>
      <c r="D1721" t="str">
        <f>"9780203698938"</f>
        <v>9780203698938</v>
      </c>
      <c r="E1721" t="s">
        <v>15</v>
      </c>
      <c r="F1721" t="s">
        <v>16</v>
      </c>
      <c r="G1721" s="1">
        <v>38741</v>
      </c>
      <c r="H1721" s="1">
        <v>38866</v>
      </c>
      <c r="I1721" t="s">
        <v>12</v>
      </c>
      <c r="J1721" t="s">
        <v>12491</v>
      </c>
    </row>
    <row r="1722" spans="1:10" x14ac:dyDescent="0.25">
      <c r="A1722">
        <v>259039</v>
      </c>
      <c r="B1722" t="s">
        <v>1811</v>
      </c>
      <c r="C1722" t="str">
        <f>"9780415353915"</f>
        <v>9780415353915</v>
      </c>
      <c r="D1722" t="str">
        <f>"9780203349021"</f>
        <v>9780203349021</v>
      </c>
      <c r="E1722" t="s">
        <v>144</v>
      </c>
      <c r="F1722" t="s">
        <v>16</v>
      </c>
      <c r="G1722" s="1">
        <v>38691</v>
      </c>
      <c r="H1722" s="1">
        <v>38866</v>
      </c>
      <c r="I1722" t="s">
        <v>12</v>
      </c>
      <c r="J1722" t="s">
        <v>12492</v>
      </c>
    </row>
    <row r="1723" spans="1:10" x14ac:dyDescent="0.25">
      <c r="A1723">
        <v>259047</v>
      </c>
      <c r="B1723" t="s">
        <v>1812</v>
      </c>
      <c r="C1723" t="str">
        <f>"9780415357647"</f>
        <v>9780415357647</v>
      </c>
      <c r="D1723" t="str">
        <f>"9780203003596"</f>
        <v>9780203003596</v>
      </c>
      <c r="E1723" t="s">
        <v>15</v>
      </c>
      <c r="F1723" t="s">
        <v>16</v>
      </c>
      <c r="G1723" s="1">
        <v>38761</v>
      </c>
      <c r="H1723" s="1">
        <v>38887</v>
      </c>
      <c r="I1723" t="s">
        <v>12</v>
      </c>
      <c r="J1723" t="s">
        <v>12493</v>
      </c>
    </row>
    <row r="1724" spans="1:10" x14ac:dyDescent="0.25">
      <c r="A1724">
        <v>259048</v>
      </c>
      <c r="B1724" t="s">
        <v>1813</v>
      </c>
      <c r="C1724" t="str">
        <f>"9780415375474"</f>
        <v>9780415375474</v>
      </c>
      <c r="D1724" t="str">
        <f>"9780203968963"</f>
        <v>9780203968963</v>
      </c>
      <c r="E1724" t="s">
        <v>15</v>
      </c>
      <c r="F1724" t="s">
        <v>16</v>
      </c>
      <c r="G1724" s="1">
        <v>38552</v>
      </c>
      <c r="H1724" s="1">
        <v>38887</v>
      </c>
      <c r="I1724" t="s">
        <v>12</v>
      </c>
      <c r="J1724" t="s">
        <v>12494</v>
      </c>
    </row>
    <row r="1725" spans="1:10" x14ac:dyDescent="0.25">
      <c r="A1725">
        <v>259060</v>
      </c>
      <c r="B1725" t="s">
        <v>1814</v>
      </c>
      <c r="C1725" t="str">
        <f>"9780415344456"</f>
        <v>9780415344456</v>
      </c>
      <c r="D1725" t="str">
        <f>"9780203495834"</f>
        <v>9780203495834</v>
      </c>
      <c r="E1725" t="s">
        <v>15</v>
      </c>
      <c r="F1725" t="s">
        <v>16</v>
      </c>
      <c r="G1725" s="1">
        <v>38826</v>
      </c>
      <c r="H1725" s="1">
        <v>38887</v>
      </c>
      <c r="I1725" t="s">
        <v>12</v>
      </c>
      <c r="J1725" t="s">
        <v>12495</v>
      </c>
    </row>
    <row r="1726" spans="1:10" x14ac:dyDescent="0.25">
      <c r="A1726">
        <v>259066</v>
      </c>
      <c r="B1726" t="s">
        <v>1815</v>
      </c>
      <c r="C1726" t="str">
        <f>"9780415360418"</f>
        <v>9780415360418</v>
      </c>
      <c r="D1726" t="str">
        <f>"9780203008072"</f>
        <v>9780203008072</v>
      </c>
      <c r="E1726" t="s">
        <v>15</v>
      </c>
      <c r="F1726" t="s">
        <v>16</v>
      </c>
      <c r="G1726" s="1">
        <v>38718</v>
      </c>
      <c r="H1726" s="1">
        <v>38887</v>
      </c>
      <c r="I1726" t="s">
        <v>12</v>
      </c>
      <c r="J1726" t="s">
        <v>12496</v>
      </c>
    </row>
    <row r="1727" spans="1:10" x14ac:dyDescent="0.25">
      <c r="A1727">
        <v>259068</v>
      </c>
      <c r="B1727" t="s">
        <v>1816</v>
      </c>
      <c r="C1727" t="str">
        <f>"9780415364683"</f>
        <v>9780415364683</v>
      </c>
      <c r="D1727" t="str">
        <f>"9780203015711"</f>
        <v>9780203015711</v>
      </c>
      <c r="E1727" t="s">
        <v>15</v>
      </c>
      <c r="F1727" t="s">
        <v>16</v>
      </c>
      <c r="G1727" s="1">
        <v>38826</v>
      </c>
      <c r="H1727" s="1">
        <v>38870</v>
      </c>
      <c r="I1727" t="s">
        <v>12</v>
      </c>
      <c r="J1727" t="s">
        <v>12497</v>
      </c>
    </row>
    <row r="1728" spans="1:10" x14ac:dyDescent="0.25">
      <c r="A1728">
        <v>259071</v>
      </c>
      <c r="B1728" t="s">
        <v>1817</v>
      </c>
      <c r="C1728" t="str">
        <f>"9780415371452"</f>
        <v>9780415371452</v>
      </c>
      <c r="D1728" t="str">
        <f>"9780203099018"</f>
        <v>9780203099018</v>
      </c>
      <c r="E1728" t="s">
        <v>15</v>
      </c>
      <c r="F1728" t="s">
        <v>16</v>
      </c>
      <c r="G1728" s="1">
        <v>38763</v>
      </c>
      <c r="H1728" s="1">
        <v>38869</v>
      </c>
      <c r="I1728" t="s">
        <v>12</v>
      </c>
      <c r="J1728" t="s">
        <v>12498</v>
      </c>
    </row>
    <row r="1729" spans="1:10" x14ac:dyDescent="0.25">
      <c r="A1729">
        <v>259283</v>
      </c>
      <c r="B1729" t="s">
        <v>1818</v>
      </c>
      <c r="C1729" t="str">
        <f>"9789812561923"</f>
        <v>9789812561923</v>
      </c>
      <c r="D1729" t="str">
        <f>"9789812569400"</f>
        <v>9789812569400</v>
      </c>
      <c r="E1729" t="s">
        <v>1056</v>
      </c>
      <c r="F1729" t="s">
        <v>1056</v>
      </c>
      <c r="G1729" s="1">
        <v>38504</v>
      </c>
      <c r="H1729" s="1">
        <v>38952</v>
      </c>
      <c r="I1729" t="s">
        <v>12</v>
      </c>
      <c r="J1729" t="s">
        <v>12499</v>
      </c>
    </row>
    <row r="1730" spans="1:10" x14ac:dyDescent="0.25">
      <c r="A1730">
        <v>259288</v>
      </c>
      <c r="B1730" t="s">
        <v>1819</v>
      </c>
      <c r="C1730" t="str">
        <f>"9789812563392"</f>
        <v>9789812563392</v>
      </c>
      <c r="D1730" t="str">
        <f>"9789812569455"</f>
        <v>9789812569455</v>
      </c>
      <c r="E1730" t="s">
        <v>1056</v>
      </c>
      <c r="F1730" t="s">
        <v>1056</v>
      </c>
      <c r="G1730" s="1">
        <v>38687</v>
      </c>
      <c r="H1730" s="1">
        <v>38869</v>
      </c>
      <c r="I1730" t="s">
        <v>12</v>
      </c>
      <c r="J1730" t="s">
        <v>12500</v>
      </c>
    </row>
    <row r="1731" spans="1:10" x14ac:dyDescent="0.25">
      <c r="A1731">
        <v>259290</v>
      </c>
      <c r="B1731" t="s">
        <v>1820</v>
      </c>
      <c r="C1731" t="str">
        <f>"9789812563484"</f>
        <v>9789812563484</v>
      </c>
      <c r="D1731" t="str">
        <f>"9789812569479"</f>
        <v>9789812569479</v>
      </c>
      <c r="E1731" t="s">
        <v>1042</v>
      </c>
      <c r="F1731" t="s">
        <v>1043</v>
      </c>
      <c r="G1731" s="1">
        <v>38530</v>
      </c>
      <c r="H1731" s="1">
        <v>38952</v>
      </c>
      <c r="I1731" t="s">
        <v>12</v>
      </c>
      <c r="J1731" t="s">
        <v>12501</v>
      </c>
    </row>
    <row r="1732" spans="1:10" x14ac:dyDescent="0.25">
      <c r="A1732">
        <v>259485</v>
      </c>
      <c r="B1732" t="s">
        <v>1821</v>
      </c>
      <c r="C1732" t="str">
        <f>"9781403949844"</f>
        <v>9781403949844</v>
      </c>
      <c r="D1732" t="str">
        <f>"9780230511903"</f>
        <v>9780230511903</v>
      </c>
      <c r="E1732" t="s">
        <v>875</v>
      </c>
      <c r="F1732" t="s">
        <v>875</v>
      </c>
      <c r="G1732" s="1">
        <v>38686</v>
      </c>
      <c r="H1732" s="1">
        <v>38897</v>
      </c>
      <c r="I1732" t="s">
        <v>12</v>
      </c>
      <c r="J1732" t="s">
        <v>12502</v>
      </c>
    </row>
    <row r="1733" spans="1:10" x14ac:dyDescent="0.25">
      <c r="A1733">
        <v>259489</v>
      </c>
      <c r="B1733" t="s">
        <v>1822</v>
      </c>
      <c r="C1733" t="str">
        <f>"9780333985793"</f>
        <v>9780333985793</v>
      </c>
      <c r="D1733" t="str">
        <f>"9780230514447"</f>
        <v>9780230514447</v>
      </c>
      <c r="E1733" t="s">
        <v>875</v>
      </c>
      <c r="F1733" t="s">
        <v>876</v>
      </c>
      <c r="G1733" s="1">
        <v>37950</v>
      </c>
      <c r="H1733" s="1">
        <v>38897</v>
      </c>
      <c r="I1733" t="s">
        <v>12</v>
      </c>
      <c r="J1733" t="s">
        <v>12503</v>
      </c>
    </row>
    <row r="1734" spans="1:10" x14ac:dyDescent="0.25">
      <c r="A1734">
        <v>259502</v>
      </c>
      <c r="B1734" t="s">
        <v>1823</v>
      </c>
      <c r="C1734" t="str">
        <f>"9781403946225"</f>
        <v>9781403946225</v>
      </c>
      <c r="D1734" t="str">
        <f>"9780230512535"</f>
        <v>9780230512535</v>
      </c>
      <c r="E1734" t="s">
        <v>875</v>
      </c>
      <c r="F1734" t="s">
        <v>875</v>
      </c>
      <c r="G1734" s="1">
        <v>38618</v>
      </c>
      <c r="H1734" s="1">
        <v>38897</v>
      </c>
      <c r="I1734" t="s">
        <v>12</v>
      </c>
      <c r="J1734" t="s">
        <v>12504</v>
      </c>
    </row>
    <row r="1735" spans="1:10" x14ac:dyDescent="0.25">
      <c r="A1735">
        <v>259517</v>
      </c>
      <c r="B1735" t="s">
        <v>1824</v>
      </c>
      <c r="C1735" t="str">
        <f>"9781403997630"</f>
        <v>9781403997630</v>
      </c>
      <c r="D1735" t="str">
        <f>"9780230513037"</f>
        <v>9780230513037</v>
      </c>
      <c r="E1735" t="s">
        <v>875</v>
      </c>
      <c r="F1735" t="s">
        <v>875</v>
      </c>
      <c r="G1735" s="1">
        <v>38663</v>
      </c>
      <c r="H1735" s="1">
        <v>38897</v>
      </c>
      <c r="I1735" t="s">
        <v>12</v>
      </c>
      <c r="J1735" t="s">
        <v>12505</v>
      </c>
    </row>
    <row r="1736" spans="1:10" x14ac:dyDescent="0.25">
      <c r="A1736">
        <v>259526</v>
      </c>
      <c r="B1736" t="s">
        <v>1825</v>
      </c>
      <c r="C1736" t="str">
        <f>"9780333970232"</f>
        <v>9780333970232</v>
      </c>
      <c r="D1736" t="str">
        <f>"9780230514560"</f>
        <v>9780230514560</v>
      </c>
      <c r="E1736" t="s">
        <v>875</v>
      </c>
      <c r="F1736" t="s">
        <v>876</v>
      </c>
      <c r="G1736" s="1">
        <v>37607</v>
      </c>
      <c r="H1736" s="1">
        <v>38897</v>
      </c>
      <c r="I1736" t="s">
        <v>12</v>
      </c>
      <c r="J1736" t="s">
        <v>12506</v>
      </c>
    </row>
    <row r="1737" spans="1:10" x14ac:dyDescent="0.25">
      <c r="A1737">
        <v>259544</v>
      </c>
      <c r="B1737" t="s">
        <v>1826</v>
      </c>
      <c r="C1737" t="str">
        <f>"9781403936080"</f>
        <v>9781403936080</v>
      </c>
      <c r="D1737" t="str">
        <f>"9780230512702"</f>
        <v>9780230512702</v>
      </c>
      <c r="E1737" t="s">
        <v>875</v>
      </c>
      <c r="F1737" t="s">
        <v>875</v>
      </c>
      <c r="G1737" s="1">
        <v>38705</v>
      </c>
      <c r="H1737" s="1">
        <v>38897</v>
      </c>
      <c r="I1737" t="s">
        <v>12</v>
      </c>
      <c r="J1737" t="s">
        <v>12507</v>
      </c>
    </row>
    <row r="1738" spans="1:10" x14ac:dyDescent="0.25">
      <c r="A1738">
        <v>259557</v>
      </c>
      <c r="B1738" t="s">
        <v>1827</v>
      </c>
      <c r="C1738" t="str">
        <f>"9781403992796"</f>
        <v>9781403992796</v>
      </c>
      <c r="D1738" t="str">
        <f>"9780230513068"</f>
        <v>9780230513068</v>
      </c>
      <c r="E1738" t="s">
        <v>876</v>
      </c>
      <c r="F1738" t="s">
        <v>876</v>
      </c>
      <c r="G1738" s="1">
        <v>38642</v>
      </c>
      <c r="H1738" s="1">
        <v>38897</v>
      </c>
      <c r="I1738" t="s">
        <v>12</v>
      </c>
      <c r="J1738" t="s">
        <v>12508</v>
      </c>
    </row>
    <row r="1739" spans="1:10" x14ac:dyDescent="0.25">
      <c r="A1739">
        <v>259558</v>
      </c>
      <c r="B1739" t="s">
        <v>1828</v>
      </c>
      <c r="C1739" t="str">
        <f>"9781403941329"</f>
        <v>9781403941329</v>
      </c>
      <c r="D1739" t="str">
        <f>"9780230512375"</f>
        <v>9780230512375</v>
      </c>
      <c r="E1739" t="s">
        <v>875</v>
      </c>
      <c r="F1739" t="s">
        <v>875</v>
      </c>
      <c r="G1739" s="1">
        <v>38657</v>
      </c>
      <c r="H1739" s="1">
        <v>38897</v>
      </c>
      <c r="I1739" t="s">
        <v>12</v>
      </c>
      <c r="J1739" t="s">
        <v>12509</v>
      </c>
    </row>
    <row r="1740" spans="1:10" x14ac:dyDescent="0.25">
      <c r="A1740">
        <v>259562</v>
      </c>
      <c r="B1740" t="s">
        <v>1829</v>
      </c>
      <c r="C1740" t="str">
        <f>"9781403913210"</f>
        <v>9781403913210</v>
      </c>
      <c r="D1740" t="str">
        <f>"9780230514690"</f>
        <v>9780230514690</v>
      </c>
      <c r="E1740" t="s">
        <v>875</v>
      </c>
      <c r="F1740" t="s">
        <v>875</v>
      </c>
      <c r="G1740" s="1">
        <v>38678</v>
      </c>
      <c r="H1740" s="1">
        <v>38897</v>
      </c>
      <c r="I1740" t="s">
        <v>12</v>
      </c>
      <c r="J1740" t="s">
        <v>12510</v>
      </c>
    </row>
    <row r="1741" spans="1:10" x14ac:dyDescent="0.25">
      <c r="A1741">
        <v>259565</v>
      </c>
      <c r="B1741" t="s">
        <v>1830</v>
      </c>
      <c r="C1741" t="str">
        <f>"9781403932877"</f>
        <v>9781403932877</v>
      </c>
      <c r="D1741" t="str">
        <f>"9780230513372"</f>
        <v>9780230513372</v>
      </c>
      <c r="E1741" t="s">
        <v>875</v>
      </c>
      <c r="F1741" t="s">
        <v>875</v>
      </c>
      <c r="G1741" s="1">
        <v>38705</v>
      </c>
      <c r="H1741" s="1">
        <v>38897</v>
      </c>
      <c r="I1741" t="s">
        <v>12</v>
      </c>
      <c r="J1741" t="s">
        <v>12511</v>
      </c>
    </row>
    <row r="1742" spans="1:10" x14ac:dyDescent="0.25">
      <c r="A1742">
        <v>259569</v>
      </c>
      <c r="B1742" t="s">
        <v>1831</v>
      </c>
      <c r="C1742" t="str">
        <f>"9781403942791"</f>
        <v>9781403942791</v>
      </c>
      <c r="D1742" t="str">
        <f>"9780230514799"</f>
        <v>9780230514799</v>
      </c>
      <c r="E1742" t="s">
        <v>875</v>
      </c>
      <c r="F1742" t="s">
        <v>875</v>
      </c>
      <c r="G1742" s="1">
        <v>38695</v>
      </c>
      <c r="H1742" s="1">
        <v>38897</v>
      </c>
      <c r="I1742" t="s">
        <v>12</v>
      </c>
      <c r="J1742" t="s">
        <v>12512</v>
      </c>
    </row>
    <row r="1743" spans="1:10" x14ac:dyDescent="0.25">
      <c r="A1743">
        <v>259575</v>
      </c>
      <c r="B1743" t="s">
        <v>1832</v>
      </c>
      <c r="C1743" t="str">
        <f>"9781403911889"</f>
        <v>9781403911889</v>
      </c>
      <c r="D1743" t="str">
        <f>"9780230514577"</f>
        <v>9780230514577</v>
      </c>
      <c r="E1743" t="s">
        <v>875</v>
      </c>
      <c r="F1743" t="s">
        <v>875</v>
      </c>
      <c r="G1743" s="1">
        <v>38314</v>
      </c>
      <c r="H1743" s="1">
        <v>38897</v>
      </c>
      <c r="I1743" t="s">
        <v>12</v>
      </c>
      <c r="J1743" t="s">
        <v>12513</v>
      </c>
    </row>
    <row r="1744" spans="1:10" x14ac:dyDescent="0.25">
      <c r="A1744">
        <v>259577</v>
      </c>
      <c r="B1744" t="s">
        <v>1833</v>
      </c>
      <c r="C1744" t="str">
        <f>"9781403945495"</f>
        <v>9781403945495</v>
      </c>
      <c r="D1744" t="str">
        <f>"9780230514782"</f>
        <v>9780230514782</v>
      </c>
      <c r="E1744" t="s">
        <v>875</v>
      </c>
      <c r="F1744" t="s">
        <v>875</v>
      </c>
      <c r="G1744" s="1">
        <v>38412</v>
      </c>
      <c r="H1744" s="1">
        <v>38897</v>
      </c>
      <c r="I1744" t="s">
        <v>12</v>
      </c>
      <c r="J1744" t="s">
        <v>12514</v>
      </c>
    </row>
    <row r="1745" spans="1:10" x14ac:dyDescent="0.25">
      <c r="A1745">
        <v>259583</v>
      </c>
      <c r="B1745" t="s">
        <v>1834</v>
      </c>
      <c r="C1745" t="str">
        <f>"9781403915153"</f>
        <v>9781403915153</v>
      </c>
      <c r="D1745" t="str">
        <f>"9780230512207"</f>
        <v>9780230512207</v>
      </c>
      <c r="E1745" t="s">
        <v>875</v>
      </c>
      <c r="F1745" t="s">
        <v>876</v>
      </c>
      <c r="G1745" s="1">
        <v>38020</v>
      </c>
      <c r="H1745" s="1">
        <v>38897</v>
      </c>
      <c r="I1745" t="s">
        <v>12</v>
      </c>
      <c r="J1745" t="s">
        <v>12515</v>
      </c>
    </row>
    <row r="1746" spans="1:10" x14ac:dyDescent="0.25">
      <c r="A1746">
        <v>259587</v>
      </c>
      <c r="B1746" t="s">
        <v>1835</v>
      </c>
      <c r="C1746" t="str">
        <f>"9781403936264"</f>
        <v>9781403936264</v>
      </c>
      <c r="D1746" t="str">
        <f>"9780230514515"</f>
        <v>9780230514515</v>
      </c>
      <c r="E1746" t="s">
        <v>875</v>
      </c>
      <c r="F1746" t="s">
        <v>876</v>
      </c>
      <c r="G1746" s="1">
        <v>38203</v>
      </c>
      <c r="H1746" s="1">
        <v>38897</v>
      </c>
      <c r="I1746" t="s">
        <v>12</v>
      </c>
      <c r="J1746" t="s">
        <v>12516</v>
      </c>
    </row>
    <row r="1747" spans="1:10" x14ac:dyDescent="0.25">
      <c r="A1747">
        <v>259598</v>
      </c>
      <c r="B1747" t="s">
        <v>1836</v>
      </c>
      <c r="C1747" t="str">
        <f>"9781403933140"</f>
        <v>9781403933140</v>
      </c>
      <c r="D1747" t="str">
        <f>"9780230512023"</f>
        <v>9780230512023</v>
      </c>
      <c r="E1747" t="s">
        <v>875</v>
      </c>
      <c r="F1747" t="s">
        <v>876</v>
      </c>
      <c r="G1747" s="1">
        <v>38077</v>
      </c>
      <c r="H1747" s="1">
        <v>38897</v>
      </c>
      <c r="I1747" t="s">
        <v>12</v>
      </c>
      <c r="J1747" t="s">
        <v>12517</v>
      </c>
    </row>
    <row r="1748" spans="1:10" x14ac:dyDescent="0.25">
      <c r="A1748">
        <v>259599</v>
      </c>
      <c r="B1748" t="s">
        <v>1837</v>
      </c>
      <c r="C1748" t="str">
        <f>"9781403947741"</f>
        <v>9781403947741</v>
      </c>
      <c r="D1748" t="str">
        <f>"9780230512566"</f>
        <v>9780230512566</v>
      </c>
      <c r="E1748" t="s">
        <v>875</v>
      </c>
      <c r="F1748" t="s">
        <v>875</v>
      </c>
      <c r="G1748" s="1">
        <v>38495</v>
      </c>
      <c r="H1748" s="1">
        <v>38897</v>
      </c>
      <c r="I1748" t="s">
        <v>12</v>
      </c>
      <c r="J1748" t="s">
        <v>12518</v>
      </c>
    </row>
    <row r="1749" spans="1:10" x14ac:dyDescent="0.25">
      <c r="A1749">
        <v>259605</v>
      </c>
      <c r="B1749" t="s">
        <v>1838</v>
      </c>
      <c r="C1749" t="str">
        <f>"9780333995532"</f>
        <v>9780333995532</v>
      </c>
      <c r="D1749" t="str">
        <f>"9780230512351"</f>
        <v>9780230512351</v>
      </c>
      <c r="E1749" t="s">
        <v>875</v>
      </c>
      <c r="F1749" t="s">
        <v>876</v>
      </c>
      <c r="G1749" s="1">
        <v>37386</v>
      </c>
      <c r="H1749" s="1">
        <v>38897</v>
      </c>
      <c r="I1749" t="s">
        <v>12</v>
      </c>
      <c r="J1749" t="s">
        <v>12519</v>
      </c>
    </row>
    <row r="1750" spans="1:10" x14ac:dyDescent="0.25">
      <c r="A1750">
        <v>259612</v>
      </c>
      <c r="B1750" t="s">
        <v>1839</v>
      </c>
      <c r="C1750" t="str">
        <f>"9781403902337"</f>
        <v>9781403902337</v>
      </c>
      <c r="D1750" t="str">
        <f>"9780230512801"</f>
        <v>9780230512801</v>
      </c>
      <c r="E1750" t="s">
        <v>875</v>
      </c>
      <c r="F1750" t="s">
        <v>876</v>
      </c>
      <c r="G1750" s="1">
        <v>37796</v>
      </c>
      <c r="H1750" s="1">
        <v>38897</v>
      </c>
      <c r="I1750" t="s">
        <v>12</v>
      </c>
      <c r="J1750" t="s">
        <v>12520</v>
      </c>
    </row>
    <row r="1751" spans="1:10" x14ac:dyDescent="0.25">
      <c r="A1751">
        <v>259615</v>
      </c>
      <c r="B1751" t="s">
        <v>1840</v>
      </c>
      <c r="C1751" t="str">
        <f>"9780230217096"</f>
        <v>9780230217096</v>
      </c>
      <c r="D1751" t="str">
        <f>"9780230513907"</f>
        <v>9780230513907</v>
      </c>
      <c r="E1751" t="s">
        <v>875</v>
      </c>
      <c r="F1751" t="s">
        <v>875</v>
      </c>
      <c r="G1751" s="1">
        <v>38303</v>
      </c>
      <c r="H1751" s="1">
        <v>38897</v>
      </c>
      <c r="I1751" t="s">
        <v>12</v>
      </c>
      <c r="J1751" t="s">
        <v>12521</v>
      </c>
    </row>
    <row r="1752" spans="1:10" x14ac:dyDescent="0.25">
      <c r="A1752">
        <v>259622</v>
      </c>
      <c r="B1752" t="s">
        <v>1841</v>
      </c>
      <c r="C1752" t="str">
        <f>"9781403920652"</f>
        <v>9781403920652</v>
      </c>
      <c r="D1752" t="str">
        <f>"9780230514652"</f>
        <v>9780230514652</v>
      </c>
      <c r="E1752" t="s">
        <v>875</v>
      </c>
      <c r="F1752" t="s">
        <v>875</v>
      </c>
      <c r="G1752" s="1">
        <v>38702</v>
      </c>
      <c r="H1752" s="1">
        <v>38897</v>
      </c>
      <c r="I1752" t="s">
        <v>12</v>
      </c>
      <c r="J1752" t="s">
        <v>12522</v>
      </c>
    </row>
    <row r="1753" spans="1:10" x14ac:dyDescent="0.25">
      <c r="A1753">
        <v>259623</v>
      </c>
      <c r="B1753" t="s">
        <v>1842</v>
      </c>
      <c r="C1753" t="str">
        <f>"9781403997425"</f>
        <v>9781403997425</v>
      </c>
      <c r="D1753" t="str">
        <f>"9780230511477"</f>
        <v>9780230511477</v>
      </c>
      <c r="E1753" t="s">
        <v>875</v>
      </c>
      <c r="F1753" t="s">
        <v>875</v>
      </c>
      <c r="G1753" s="1">
        <v>38615</v>
      </c>
      <c r="H1753" s="1">
        <v>38897</v>
      </c>
      <c r="I1753" t="s">
        <v>12</v>
      </c>
      <c r="J1753" t="s">
        <v>12523</v>
      </c>
    </row>
    <row r="1754" spans="1:10" x14ac:dyDescent="0.25">
      <c r="A1754">
        <v>259633</v>
      </c>
      <c r="B1754" t="s">
        <v>1843</v>
      </c>
      <c r="C1754" t="str">
        <f>"9781403933317"</f>
        <v>9781403933317</v>
      </c>
      <c r="D1754" t="str">
        <f>"9780230511958"</f>
        <v>9780230511958</v>
      </c>
      <c r="E1754" t="s">
        <v>875</v>
      </c>
      <c r="F1754" t="s">
        <v>875</v>
      </c>
      <c r="G1754" s="1">
        <v>38657</v>
      </c>
      <c r="H1754" s="1">
        <v>38897</v>
      </c>
      <c r="I1754" t="s">
        <v>12</v>
      </c>
      <c r="J1754" t="s">
        <v>12524</v>
      </c>
    </row>
    <row r="1755" spans="1:10" x14ac:dyDescent="0.25">
      <c r="A1755">
        <v>259640</v>
      </c>
      <c r="B1755" t="s">
        <v>1844</v>
      </c>
      <c r="C1755" t="str">
        <f>"9781403903051"</f>
        <v>9781403903051</v>
      </c>
      <c r="D1755" t="str">
        <f>"9780230514928"</f>
        <v>9780230514928</v>
      </c>
      <c r="E1755" t="s">
        <v>875</v>
      </c>
      <c r="F1755" t="s">
        <v>876</v>
      </c>
      <c r="G1755" s="1">
        <v>38163</v>
      </c>
      <c r="H1755" s="1">
        <v>38897</v>
      </c>
      <c r="I1755" t="s">
        <v>12</v>
      </c>
      <c r="J1755" t="s">
        <v>12525</v>
      </c>
    </row>
    <row r="1756" spans="1:10" x14ac:dyDescent="0.25">
      <c r="A1756">
        <v>259650</v>
      </c>
      <c r="B1756" t="s">
        <v>1845</v>
      </c>
      <c r="C1756" t="str">
        <f>"9781403912671"</f>
        <v>9781403912671</v>
      </c>
      <c r="D1756" t="str">
        <f>"9780230513693"</f>
        <v>9780230513693</v>
      </c>
      <c r="E1756" t="s">
        <v>875</v>
      </c>
      <c r="F1756" t="s">
        <v>876</v>
      </c>
      <c r="G1756" s="1">
        <v>38149</v>
      </c>
      <c r="H1756" s="1">
        <v>38897</v>
      </c>
      <c r="I1756" t="s">
        <v>12</v>
      </c>
      <c r="J1756" t="s">
        <v>12526</v>
      </c>
    </row>
    <row r="1757" spans="1:10" x14ac:dyDescent="0.25">
      <c r="A1757">
        <v>259652</v>
      </c>
      <c r="B1757" t="s">
        <v>1846</v>
      </c>
      <c r="C1757" t="str">
        <f>"9781403901200"</f>
        <v>9781403901200</v>
      </c>
      <c r="D1757" t="str">
        <f>"9780230514867"</f>
        <v>9780230514867</v>
      </c>
      <c r="E1757" t="s">
        <v>875</v>
      </c>
      <c r="F1757" t="s">
        <v>875</v>
      </c>
      <c r="G1757" s="1">
        <v>38314</v>
      </c>
      <c r="H1757" s="1">
        <v>38897</v>
      </c>
      <c r="I1757" t="s">
        <v>12</v>
      </c>
      <c r="J1757" t="s">
        <v>12527</v>
      </c>
    </row>
    <row r="1758" spans="1:10" x14ac:dyDescent="0.25">
      <c r="A1758">
        <v>259698</v>
      </c>
      <c r="B1758" t="s">
        <v>1847</v>
      </c>
      <c r="C1758" t="str">
        <f>"9780873552721"</f>
        <v>9780873552721</v>
      </c>
      <c r="D1758" t="str">
        <f>"9781933531991"</f>
        <v>9781933531991</v>
      </c>
      <c r="E1758" t="s">
        <v>1848</v>
      </c>
      <c r="F1758" t="s">
        <v>1848</v>
      </c>
      <c r="G1758" s="1">
        <v>38718</v>
      </c>
      <c r="H1758" s="1">
        <v>38880</v>
      </c>
      <c r="I1758" t="s">
        <v>12</v>
      </c>
      <c r="J1758" t="s">
        <v>12528</v>
      </c>
    </row>
    <row r="1759" spans="1:10" x14ac:dyDescent="0.25">
      <c r="A1759">
        <v>259700</v>
      </c>
      <c r="B1759" t="s">
        <v>1849</v>
      </c>
      <c r="C1759" t="str">
        <f>"9781933531014"</f>
        <v>9781933531014</v>
      </c>
      <c r="D1759" t="str">
        <f>"9781933531953"</f>
        <v>9781933531953</v>
      </c>
      <c r="E1759" t="s">
        <v>1848</v>
      </c>
      <c r="F1759" t="s">
        <v>1848</v>
      </c>
      <c r="G1759" s="1">
        <v>38718</v>
      </c>
      <c r="H1759" s="1">
        <v>38887</v>
      </c>
      <c r="I1759" t="s">
        <v>12</v>
      </c>
      <c r="J1759" t="s">
        <v>12529</v>
      </c>
    </row>
    <row r="1760" spans="1:10" x14ac:dyDescent="0.25">
      <c r="A1760">
        <v>259701</v>
      </c>
      <c r="B1760" t="s">
        <v>1850</v>
      </c>
      <c r="C1760" t="str">
        <f>"9780873552660"</f>
        <v>9780873552660</v>
      </c>
      <c r="D1760" t="str">
        <f>"9781933531946"</f>
        <v>9781933531946</v>
      </c>
      <c r="E1760" t="s">
        <v>1848</v>
      </c>
      <c r="F1760" t="s">
        <v>1848</v>
      </c>
      <c r="G1760" s="1">
        <v>38985</v>
      </c>
      <c r="H1760" s="1">
        <v>38887</v>
      </c>
      <c r="I1760" t="s">
        <v>12</v>
      </c>
      <c r="J1760" t="s">
        <v>12530</v>
      </c>
    </row>
    <row r="1761" spans="1:10" x14ac:dyDescent="0.25">
      <c r="A1761">
        <v>259702</v>
      </c>
      <c r="B1761" t="s">
        <v>1851</v>
      </c>
      <c r="C1761" t="str">
        <f>"9781933531007"</f>
        <v>9781933531007</v>
      </c>
      <c r="D1761" t="str">
        <f>"9781933531939"</f>
        <v>9781933531939</v>
      </c>
      <c r="E1761" t="s">
        <v>1848</v>
      </c>
      <c r="F1761" t="s">
        <v>1848</v>
      </c>
      <c r="G1761" s="1">
        <v>38718</v>
      </c>
      <c r="H1761" s="1">
        <v>38880</v>
      </c>
      <c r="I1761" t="s">
        <v>12</v>
      </c>
      <c r="J1761" t="s">
        <v>12531</v>
      </c>
    </row>
    <row r="1762" spans="1:10" x14ac:dyDescent="0.25">
      <c r="A1762">
        <v>259709</v>
      </c>
      <c r="B1762" t="s">
        <v>1852</v>
      </c>
      <c r="C1762" t="str">
        <f>"9780415332804"</f>
        <v>9780415332804</v>
      </c>
      <c r="D1762" t="str">
        <f>"9780203401385"</f>
        <v>9780203401385</v>
      </c>
      <c r="E1762" t="s">
        <v>16</v>
      </c>
      <c r="F1762" t="s">
        <v>16</v>
      </c>
      <c r="G1762" s="1">
        <v>38819</v>
      </c>
      <c r="H1762" s="1">
        <v>38887</v>
      </c>
      <c r="I1762" t="s">
        <v>12</v>
      </c>
      <c r="J1762" t="s">
        <v>12532</v>
      </c>
    </row>
    <row r="1763" spans="1:10" x14ac:dyDescent="0.25">
      <c r="A1763">
        <v>259712</v>
      </c>
      <c r="B1763" t="s">
        <v>1853</v>
      </c>
      <c r="C1763" t="str">
        <f>"9780415348645"</f>
        <v>9780415348645</v>
      </c>
      <c r="D1763" t="str">
        <f>"9780203640968"</f>
        <v>9780203640968</v>
      </c>
      <c r="E1763" t="s">
        <v>15</v>
      </c>
      <c r="F1763" t="s">
        <v>16</v>
      </c>
      <c r="G1763" s="1">
        <v>38730</v>
      </c>
      <c r="H1763" s="1">
        <v>38887</v>
      </c>
      <c r="I1763" t="s">
        <v>12</v>
      </c>
      <c r="J1763" t="s">
        <v>12533</v>
      </c>
    </row>
    <row r="1764" spans="1:10" x14ac:dyDescent="0.25">
      <c r="A1764">
        <v>259718</v>
      </c>
      <c r="B1764" t="s">
        <v>1854</v>
      </c>
      <c r="C1764" t="str">
        <f>"9780415369015"</f>
        <v>9780415369015</v>
      </c>
      <c r="D1764" t="str">
        <f>"9780203099421"</f>
        <v>9780203099421</v>
      </c>
      <c r="E1764" t="s">
        <v>15</v>
      </c>
      <c r="F1764" t="s">
        <v>16</v>
      </c>
      <c r="G1764" s="1">
        <v>38730</v>
      </c>
      <c r="H1764" s="1">
        <v>38887</v>
      </c>
      <c r="I1764" t="s">
        <v>12</v>
      </c>
      <c r="J1764" t="s">
        <v>12534</v>
      </c>
    </row>
    <row r="1765" spans="1:10" x14ac:dyDescent="0.25">
      <c r="A1765">
        <v>259854</v>
      </c>
      <c r="B1765" t="s">
        <v>1855</v>
      </c>
      <c r="C1765" t="str">
        <f>"9780521621816"</f>
        <v>9780521621816</v>
      </c>
      <c r="D1765" t="str">
        <f>"9780511193545"</f>
        <v>9780511193545</v>
      </c>
      <c r="E1765" t="s">
        <v>18</v>
      </c>
      <c r="F1765" t="s">
        <v>18</v>
      </c>
      <c r="G1765" s="1">
        <v>38106</v>
      </c>
      <c r="H1765" s="1">
        <v>38887</v>
      </c>
      <c r="I1765" t="s">
        <v>12</v>
      </c>
      <c r="J1765" t="s">
        <v>12535</v>
      </c>
    </row>
    <row r="1766" spans="1:10" x14ac:dyDescent="0.25">
      <c r="A1766">
        <v>259898</v>
      </c>
      <c r="B1766" t="s">
        <v>1856</v>
      </c>
      <c r="C1766" t="str">
        <f>"9780521834063"</f>
        <v>9780521834063</v>
      </c>
      <c r="D1766" t="str">
        <f>"9780511193941"</f>
        <v>9780511193941</v>
      </c>
      <c r="E1766" t="s">
        <v>18</v>
      </c>
      <c r="F1766" t="s">
        <v>18</v>
      </c>
      <c r="G1766" s="1">
        <v>38103</v>
      </c>
      <c r="H1766" s="1">
        <v>38887</v>
      </c>
      <c r="I1766" t="s">
        <v>12</v>
      </c>
      <c r="J1766" t="s">
        <v>12536</v>
      </c>
    </row>
    <row r="1767" spans="1:10" x14ac:dyDescent="0.25">
      <c r="A1767">
        <v>259899</v>
      </c>
      <c r="B1767" t="s">
        <v>1857</v>
      </c>
      <c r="C1767" t="str">
        <f>"9780521834100"</f>
        <v>9780521834100</v>
      </c>
      <c r="D1767" t="str">
        <f>"9780511193958"</f>
        <v>9780511193958</v>
      </c>
      <c r="E1767" t="s">
        <v>18</v>
      </c>
      <c r="F1767" t="s">
        <v>18</v>
      </c>
      <c r="G1767" s="1">
        <v>38103</v>
      </c>
      <c r="H1767" s="1">
        <v>38887</v>
      </c>
      <c r="I1767" t="s">
        <v>12</v>
      </c>
      <c r="J1767" t="s">
        <v>12537</v>
      </c>
    </row>
    <row r="1768" spans="1:10" x14ac:dyDescent="0.25">
      <c r="A1768">
        <v>259907</v>
      </c>
      <c r="B1768" t="s">
        <v>1858</v>
      </c>
      <c r="C1768" t="str">
        <f>"9780521835664"</f>
        <v>9780521835664</v>
      </c>
      <c r="D1768" t="str">
        <f>"9780511194023"</f>
        <v>9780511194023</v>
      </c>
      <c r="E1768" t="s">
        <v>18</v>
      </c>
      <c r="F1768" t="s">
        <v>18</v>
      </c>
      <c r="G1768" s="1">
        <v>38110</v>
      </c>
      <c r="H1768" s="1">
        <v>38887</v>
      </c>
      <c r="I1768" t="s">
        <v>12</v>
      </c>
      <c r="J1768" t="s">
        <v>12538</v>
      </c>
    </row>
    <row r="1769" spans="1:10" x14ac:dyDescent="0.25">
      <c r="A1769">
        <v>260990</v>
      </c>
      <c r="B1769" t="s">
        <v>1859</v>
      </c>
      <c r="C1769" t="str">
        <f>"9781571104090"</f>
        <v>9781571104090</v>
      </c>
      <c r="D1769" t="str">
        <f>"9781571104809"</f>
        <v>9781571104809</v>
      </c>
      <c r="E1769" t="s">
        <v>1329</v>
      </c>
      <c r="F1769" t="s">
        <v>1330</v>
      </c>
      <c r="G1769" s="1">
        <v>37622</v>
      </c>
      <c r="H1769" s="1">
        <v>38887</v>
      </c>
      <c r="I1769" t="s">
        <v>12</v>
      </c>
      <c r="J1769" t="s">
        <v>12539</v>
      </c>
    </row>
    <row r="1770" spans="1:10" x14ac:dyDescent="0.25">
      <c r="A1770">
        <v>261102</v>
      </c>
      <c r="B1770" t="s">
        <v>1860</v>
      </c>
      <c r="C1770" t="str">
        <f>"9780521836418"</f>
        <v>9780521836418</v>
      </c>
      <c r="D1770" t="str">
        <f>"9780511219009"</f>
        <v>9780511219009</v>
      </c>
      <c r="E1770" t="s">
        <v>18</v>
      </c>
      <c r="F1770" t="s">
        <v>18</v>
      </c>
      <c r="G1770" s="1">
        <v>38838</v>
      </c>
      <c r="H1770" s="1">
        <v>38909</v>
      </c>
      <c r="I1770" t="s">
        <v>12</v>
      </c>
      <c r="J1770" t="s">
        <v>12540</v>
      </c>
    </row>
    <row r="1771" spans="1:10" x14ac:dyDescent="0.25">
      <c r="A1771">
        <v>261124</v>
      </c>
      <c r="B1771" t="s">
        <v>1861</v>
      </c>
      <c r="C1771" t="str">
        <f>"9780521852791"</f>
        <v>9780521852791</v>
      </c>
      <c r="D1771" t="str">
        <f>"9780511219214"</f>
        <v>9780511219214</v>
      </c>
      <c r="E1771" t="s">
        <v>18</v>
      </c>
      <c r="F1771" t="s">
        <v>18</v>
      </c>
      <c r="G1771" s="1">
        <v>38808</v>
      </c>
      <c r="H1771" s="1">
        <v>38909</v>
      </c>
      <c r="I1771" t="s">
        <v>12</v>
      </c>
      <c r="J1771" t="s">
        <v>12541</v>
      </c>
    </row>
    <row r="1772" spans="1:10" x14ac:dyDescent="0.25">
      <c r="A1772">
        <v>261135</v>
      </c>
      <c r="B1772" t="s">
        <v>1862</v>
      </c>
      <c r="C1772" t="str">
        <f>"9780521857611"</f>
        <v>9780521857611</v>
      </c>
      <c r="D1772" t="str">
        <f>"9780511219320"</f>
        <v>9780511219320</v>
      </c>
      <c r="E1772" t="s">
        <v>18</v>
      </c>
      <c r="F1772" t="s">
        <v>18</v>
      </c>
      <c r="G1772" s="1">
        <v>38838</v>
      </c>
      <c r="H1772" s="1">
        <v>38896</v>
      </c>
      <c r="I1772" t="s">
        <v>12</v>
      </c>
      <c r="J1772" t="s">
        <v>12542</v>
      </c>
    </row>
    <row r="1773" spans="1:10" x14ac:dyDescent="0.25">
      <c r="A1773">
        <v>261139</v>
      </c>
      <c r="B1773" t="s">
        <v>1863</v>
      </c>
      <c r="C1773" t="str">
        <f>"9780521858809"</f>
        <v>9780521858809</v>
      </c>
      <c r="D1773" t="str">
        <f>"9780511219368"</f>
        <v>9780511219368</v>
      </c>
      <c r="E1773" t="s">
        <v>18</v>
      </c>
      <c r="F1773" t="s">
        <v>18</v>
      </c>
      <c r="G1773" s="1">
        <v>38862</v>
      </c>
      <c r="H1773" s="1">
        <v>38893</v>
      </c>
      <c r="I1773" t="s">
        <v>12</v>
      </c>
      <c r="J1773" t="s">
        <v>12543</v>
      </c>
    </row>
    <row r="1774" spans="1:10" x14ac:dyDescent="0.25">
      <c r="A1774">
        <v>261149</v>
      </c>
      <c r="B1774" t="s">
        <v>1864</v>
      </c>
      <c r="C1774" t="str">
        <f>"9780521862011"</f>
        <v>9780521862011</v>
      </c>
      <c r="D1774" t="str">
        <f>"9780511219467"</f>
        <v>9780511219467</v>
      </c>
      <c r="E1774" t="s">
        <v>18</v>
      </c>
      <c r="F1774" t="s">
        <v>18</v>
      </c>
      <c r="G1774" s="1">
        <v>38838</v>
      </c>
      <c r="H1774" s="1">
        <v>38899</v>
      </c>
      <c r="I1774" t="s">
        <v>12</v>
      </c>
      <c r="J1774" t="s">
        <v>12544</v>
      </c>
    </row>
    <row r="1775" spans="1:10" x14ac:dyDescent="0.25">
      <c r="A1775">
        <v>261151</v>
      </c>
      <c r="B1775" t="s">
        <v>1865</v>
      </c>
      <c r="C1775" t="str">
        <f>"9780521862240"</f>
        <v>9780521862240</v>
      </c>
      <c r="D1775" t="str">
        <f>"9780511219481"</f>
        <v>9780511219481</v>
      </c>
      <c r="E1775" t="s">
        <v>18</v>
      </c>
      <c r="F1775" t="s">
        <v>18</v>
      </c>
      <c r="G1775" s="1">
        <v>38808</v>
      </c>
      <c r="H1775" s="1">
        <v>38903</v>
      </c>
      <c r="I1775" t="s">
        <v>12</v>
      </c>
      <c r="J1775" t="s">
        <v>12545</v>
      </c>
    </row>
    <row r="1776" spans="1:10" x14ac:dyDescent="0.25">
      <c r="A1776">
        <v>261155</v>
      </c>
      <c r="B1776" t="s">
        <v>1866</v>
      </c>
      <c r="C1776" t="str">
        <f>"9780521863339"</f>
        <v>9780521863339</v>
      </c>
      <c r="D1776" t="str">
        <f>"9780511219528"</f>
        <v>9780511219528</v>
      </c>
      <c r="E1776" t="s">
        <v>18</v>
      </c>
      <c r="F1776" t="s">
        <v>18</v>
      </c>
      <c r="G1776" s="1">
        <v>38838</v>
      </c>
      <c r="H1776" s="1">
        <v>39260</v>
      </c>
      <c r="I1776" t="s">
        <v>12</v>
      </c>
      <c r="J1776" t="s">
        <v>12546</v>
      </c>
    </row>
    <row r="1777" spans="1:10" x14ac:dyDescent="0.25">
      <c r="A1777">
        <v>261292</v>
      </c>
      <c r="B1777" t="s">
        <v>1867</v>
      </c>
      <c r="C1777" t="str">
        <f>"9780415325011"</f>
        <v>9780415325011</v>
      </c>
      <c r="D1777" t="str">
        <f>"9780203358115"</f>
        <v>9780203358115</v>
      </c>
      <c r="E1777" t="s">
        <v>15</v>
      </c>
      <c r="F1777" t="s">
        <v>16</v>
      </c>
      <c r="G1777" s="1">
        <v>38835</v>
      </c>
      <c r="H1777" s="1">
        <v>38887</v>
      </c>
      <c r="I1777" t="s">
        <v>12</v>
      </c>
      <c r="J1777" t="s">
        <v>12547</v>
      </c>
    </row>
    <row r="1778" spans="1:10" x14ac:dyDescent="0.25">
      <c r="A1778">
        <v>261298</v>
      </c>
      <c r="B1778" t="s">
        <v>1868</v>
      </c>
      <c r="C1778" t="str">
        <f>"9780415361316"</f>
        <v>9780415361316</v>
      </c>
      <c r="D1778" t="str">
        <f>"9780203011911"</f>
        <v>9780203011911</v>
      </c>
      <c r="E1778" t="s">
        <v>16</v>
      </c>
      <c r="F1778" t="s">
        <v>16</v>
      </c>
      <c r="G1778" s="1">
        <v>38741</v>
      </c>
      <c r="H1778" s="1">
        <v>38887</v>
      </c>
      <c r="I1778" t="s">
        <v>12</v>
      </c>
      <c r="J1778" t="s">
        <v>12548</v>
      </c>
    </row>
    <row r="1779" spans="1:10" x14ac:dyDescent="0.25">
      <c r="A1779">
        <v>261299</v>
      </c>
      <c r="B1779" t="s">
        <v>1869</v>
      </c>
      <c r="C1779" t="str">
        <f>"9780415361873"</f>
        <v>9780415361873</v>
      </c>
      <c r="D1779" t="str">
        <f>"9780203008423"</f>
        <v>9780203008423</v>
      </c>
      <c r="E1779" t="s">
        <v>15</v>
      </c>
      <c r="F1779" t="s">
        <v>16</v>
      </c>
      <c r="G1779" s="1">
        <v>38852</v>
      </c>
      <c r="H1779" s="1">
        <v>38887</v>
      </c>
      <c r="I1779" t="s">
        <v>12</v>
      </c>
      <c r="J1779" t="s">
        <v>12549</v>
      </c>
    </row>
    <row r="1780" spans="1:10" x14ac:dyDescent="0.25">
      <c r="A1780">
        <v>261304</v>
      </c>
      <c r="B1780" t="s">
        <v>1870</v>
      </c>
      <c r="C1780" t="str">
        <f>"9780415363334"</f>
        <v>9780415363334</v>
      </c>
      <c r="D1780" t="str">
        <f>"9780203013663"</f>
        <v>9780203013663</v>
      </c>
      <c r="E1780" t="s">
        <v>144</v>
      </c>
      <c r="F1780" t="s">
        <v>153</v>
      </c>
      <c r="G1780" s="1">
        <v>38730</v>
      </c>
      <c r="H1780" s="1">
        <v>38887</v>
      </c>
      <c r="I1780" t="s">
        <v>12</v>
      </c>
      <c r="J1780" t="s">
        <v>12550</v>
      </c>
    </row>
    <row r="1781" spans="1:10" x14ac:dyDescent="0.25">
      <c r="A1781">
        <v>261308</v>
      </c>
      <c r="B1781" t="s">
        <v>1871</v>
      </c>
      <c r="C1781" t="str">
        <f>"9780415364478"</f>
        <v>9780415364478</v>
      </c>
      <c r="D1781" t="str">
        <f>"9780203015629"</f>
        <v>9780203015629</v>
      </c>
      <c r="E1781" t="s">
        <v>15</v>
      </c>
      <c r="F1781" t="s">
        <v>16</v>
      </c>
      <c r="G1781" s="1">
        <v>38663</v>
      </c>
      <c r="H1781" s="1">
        <v>38887</v>
      </c>
      <c r="I1781" t="s">
        <v>12</v>
      </c>
      <c r="J1781" t="s">
        <v>12551</v>
      </c>
    </row>
    <row r="1782" spans="1:10" x14ac:dyDescent="0.25">
      <c r="A1782">
        <v>261313</v>
      </c>
      <c r="B1782" t="s">
        <v>1872</v>
      </c>
      <c r="C1782" t="str">
        <f>"9780415365628"</f>
        <v>9780415365628</v>
      </c>
      <c r="D1782" t="str">
        <f>"9780203018187"</f>
        <v>9780203018187</v>
      </c>
      <c r="E1782" t="s">
        <v>15</v>
      </c>
      <c r="F1782" t="s">
        <v>16</v>
      </c>
      <c r="G1782" s="1">
        <v>38730</v>
      </c>
      <c r="H1782" s="1">
        <v>38887</v>
      </c>
      <c r="I1782" t="s">
        <v>12</v>
      </c>
      <c r="J1782" t="s">
        <v>12552</v>
      </c>
    </row>
    <row r="1783" spans="1:10" x14ac:dyDescent="0.25">
      <c r="A1783">
        <v>261314</v>
      </c>
      <c r="B1783" t="s">
        <v>1873</v>
      </c>
      <c r="C1783" t="str">
        <f>"9780415365819"</f>
        <v>9780415365819</v>
      </c>
      <c r="D1783" t="str">
        <f>"9780203018330"</f>
        <v>9780203018330</v>
      </c>
      <c r="E1783" t="s">
        <v>15</v>
      </c>
      <c r="F1783" t="s">
        <v>16</v>
      </c>
      <c r="G1783" s="1">
        <v>38761</v>
      </c>
      <c r="H1783" s="1">
        <v>38887</v>
      </c>
      <c r="I1783" t="s">
        <v>12</v>
      </c>
      <c r="J1783" t="s">
        <v>12553</v>
      </c>
    </row>
    <row r="1784" spans="1:10" x14ac:dyDescent="0.25">
      <c r="A1784">
        <v>261316</v>
      </c>
      <c r="B1784" t="s">
        <v>1874</v>
      </c>
      <c r="C1784" t="str">
        <f>"9780415366007"</f>
        <v>9780415366007</v>
      </c>
      <c r="D1784" t="str">
        <f>"9780203018521"</f>
        <v>9780203018521</v>
      </c>
      <c r="E1784" t="s">
        <v>15</v>
      </c>
      <c r="F1784" t="s">
        <v>16</v>
      </c>
      <c r="G1784" s="1">
        <v>38740</v>
      </c>
      <c r="H1784" s="1">
        <v>38887</v>
      </c>
      <c r="I1784" t="s">
        <v>12</v>
      </c>
      <c r="J1784" t="s">
        <v>12554</v>
      </c>
    </row>
    <row r="1785" spans="1:10" x14ac:dyDescent="0.25">
      <c r="A1785">
        <v>261324</v>
      </c>
      <c r="B1785" t="s">
        <v>1875</v>
      </c>
      <c r="C1785" t="str">
        <f>"9780415368148"</f>
        <v>9780415368148</v>
      </c>
      <c r="D1785" t="str">
        <f>"9780203027912"</f>
        <v>9780203027912</v>
      </c>
      <c r="E1785" t="s">
        <v>15</v>
      </c>
      <c r="F1785" t="s">
        <v>16</v>
      </c>
      <c r="G1785" s="1">
        <v>38782</v>
      </c>
      <c r="H1785" s="1">
        <v>38887</v>
      </c>
      <c r="I1785" t="s">
        <v>12</v>
      </c>
      <c r="J1785" t="s">
        <v>12555</v>
      </c>
    </row>
    <row r="1786" spans="1:10" x14ac:dyDescent="0.25">
      <c r="A1786">
        <v>261396</v>
      </c>
      <c r="B1786" t="s">
        <v>1876</v>
      </c>
      <c r="C1786" t="str">
        <f>"9781905209033"</f>
        <v>9781905209033</v>
      </c>
      <c r="D1786" t="str">
        <f>"9781847045539"</f>
        <v>9781847045539</v>
      </c>
      <c r="E1786" t="s">
        <v>1877</v>
      </c>
      <c r="F1786" t="s">
        <v>1877</v>
      </c>
      <c r="G1786" s="1">
        <v>38754</v>
      </c>
      <c r="H1786" s="1">
        <v>39089</v>
      </c>
      <c r="I1786" t="s">
        <v>12</v>
      </c>
      <c r="J1786" t="s">
        <v>12556</v>
      </c>
    </row>
    <row r="1787" spans="1:10" x14ac:dyDescent="0.25">
      <c r="A1787">
        <v>261977</v>
      </c>
      <c r="B1787" t="s">
        <v>1878</v>
      </c>
      <c r="C1787" t="str">
        <f>"9781905209286"</f>
        <v>9781905209286</v>
      </c>
      <c r="D1787" t="str">
        <f>"9781847045782"</f>
        <v>9781847045782</v>
      </c>
      <c r="E1787" t="s">
        <v>1877</v>
      </c>
      <c r="F1787" t="s">
        <v>1877</v>
      </c>
      <c r="G1787" s="1">
        <v>38891</v>
      </c>
      <c r="H1787" s="1">
        <v>39089</v>
      </c>
      <c r="I1787" t="s">
        <v>12</v>
      </c>
      <c r="J1787" t="s">
        <v>12557</v>
      </c>
    </row>
    <row r="1788" spans="1:10" x14ac:dyDescent="0.25">
      <c r="A1788">
        <v>262278</v>
      </c>
      <c r="B1788" t="s">
        <v>1879</v>
      </c>
      <c r="C1788" t="str">
        <f>"9780849327483"</f>
        <v>9780849327483</v>
      </c>
      <c r="D1788" t="str">
        <f>"9781420004212"</f>
        <v>9781420004212</v>
      </c>
      <c r="E1788" t="s">
        <v>15</v>
      </c>
      <c r="F1788" t="s">
        <v>139</v>
      </c>
      <c r="G1788" s="1">
        <v>38840</v>
      </c>
      <c r="H1788" s="1">
        <v>40408</v>
      </c>
      <c r="I1788" t="s">
        <v>12</v>
      </c>
      <c r="J1788" t="s">
        <v>12558</v>
      </c>
    </row>
    <row r="1789" spans="1:10" x14ac:dyDescent="0.25">
      <c r="A1789">
        <v>262294</v>
      </c>
      <c r="B1789" t="s">
        <v>1880</v>
      </c>
      <c r="C1789" t="str">
        <f>"9780824726539"</f>
        <v>9780824726539</v>
      </c>
      <c r="D1789" t="str">
        <f>"9781420027853"</f>
        <v>9781420027853</v>
      </c>
      <c r="E1789" t="s">
        <v>15</v>
      </c>
      <c r="F1789" t="s">
        <v>139</v>
      </c>
      <c r="G1789" s="1">
        <v>38639</v>
      </c>
      <c r="H1789" s="1">
        <v>38906</v>
      </c>
      <c r="I1789" t="s">
        <v>12</v>
      </c>
      <c r="J1789" t="s">
        <v>12559</v>
      </c>
    </row>
    <row r="1790" spans="1:10" x14ac:dyDescent="0.25">
      <c r="A1790">
        <v>262352</v>
      </c>
      <c r="B1790" t="s">
        <v>1881</v>
      </c>
      <c r="C1790" t="str">
        <f>"9781574446494"</f>
        <v>9781574446494</v>
      </c>
      <c r="D1790" t="str">
        <f>"9781420027327"</f>
        <v>9781420027327</v>
      </c>
      <c r="E1790" t="s">
        <v>144</v>
      </c>
      <c r="F1790" t="s">
        <v>144</v>
      </c>
      <c r="G1790" s="1">
        <v>38561</v>
      </c>
      <c r="H1790" s="1">
        <v>38908</v>
      </c>
      <c r="I1790" t="s">
        <v>12</v>
      </c>
      <c r="J1790" t="s">
        <v>12560</v>
      </c>
    </row>
    <row r="1791" spans="1:10" x14ac:dyDescent="0.25">
      <c r="A1791">
        <v>262993</v>
      </c>
      <c r="B1791" t="s">
        <v>1882</v>
      </c>
      <c r="C1791" t="str">
        <f>"9780849313677"</f>
        <v>9780849313677</v>
      </c>
      <c r="D1791" t="str">
        <f>"9781420040272"</f>
        <v>9781420040272</v>
      </c>
      <c r="E1791" t="s">
        <v>15</v>
      </c>
      <c r="F1791" t="s">
        <v>139</v>
      </c>
      <c r="G1791" s="1">
        <v>37617</v>
      </c>
      <c r="H1791" s="1">
        <v>38893</v>
      </c>
      <c r="I1791" t="s">
        <v>12</v>
      </c>
      <c r="J1791" t="s">
        <v>12561</v>
      </c>
    </row>
    <row r="1792" spans="1:10" x14ac:dyDescent="0.25">
      <c r="A1792">
        <v>263111</v>
      </c>
      <c r="B1792" t="s">
        <v>1883</v>
      </c>
      <c r="C1792" t="str">
        <f>"9781574445428"</f>
        <v>9781574445428</v>
      </c>
      <c r="D1792" t="str">
        <f>"9781420027525"</f>
        <v>9781420027525</v>
      </c>
      <c r="E1792" t="s">
        <v>15</v>
      </c>
      <c r="F1792" t="s">
        <v>139</v>
      </c>
      <c r="G1792" s="1">
        <v>38658</v>
      </c>
      <c r="H1792" s="1">
        <v>38906</v>
      </c>
      <c r="I1792" t="s">
        <v>12</v>
      </c>
      <c r="J1792" t="s">
        <v>12562</v>
      </c>
    </row>
    <row r="1793" spans="1:10" x14ac:dyDescent="0.25">
      <c r="A1793">
        <v>263130</v>
      </c>
      <c r="B1793" t="s">
        <v>1884</v>
      </c>
      <c r="C1793" t="str">
        <f>"9780824727772"</f>
        <v>9780824727772</v>
      </c>
      <c r="D1793" t="str">
        <f>"9781420027822"</f>
        <v>9781420027822</v>
      </c>
      <c r="E1793" t="s">
        <v>15</v>
      </c>
      <c r="F1793" t="s">
        <v>139</v>
      </c>
      <c r="G1793" s="1">
        <v>38674</v>
      </c>
      <c r="H1793" s="1">
        <v>39584</v>
      </c>
      <c r="I1793" t="s">
        <v>12</v>
      </c>
      <c r="J1793" t="s">
        <v>12563</v>
      </c>
    </row>
    <row r="1794" spans="1:10" x14ac:dyDescent="0.25">
      <c r="A1794">
        <v>263182</v>
      </c>
      <c r="B1794" t="s">
        <v>1885</v>
      </c>
      <c r="C1794" t="str">
        <f>"9780849379246"</f>
        <v>9780849379246</v>
      </c>
      <c r="D1794" t="str">
        <f>"9781420007954"</f>
        <v>9781420007954</v>
      </c>
      <c r="E1794" t="s">
        <v>15</v>
      </c>
      <c r="F1794" t="s">
        <v>139</v>
      </c>
      <c r="G1794" s="1">
        <v>38799</v>
      </c>
      <c r="H1794" s="1">
        <v>38916</v>
      </c>
      <c r="I1794" t="s">
        <v>12</v>
      </c>
      <c r="J1794" t="s">
        <v>12564</v>
      </c>
    </row>
    <row r="1795" spans="1:10" x14ac:dyDescent="0.25">
      <c r="A1795">
        <v>263189</v>
      </c>
      <c r="B1795" t="s">
        <v>1886</v>
      </c>
      <c r="C1795" t="str">
        <f>"9781574443455"</f>
        <v>9781574443455</v>
      </c>
      <c r="D1795" t="str">
        <f>"9781420025330"</f>
        <v>9781420025330</v>
      </c>
      <c r="E1795" t="s">
        <v>15</v>
      </c>
      <c r="F1795" t="s">
        <v>139</v>
      </c>
      <c r="G1795" s="1">
        <v>37585</v>
      </c>
      <c r="H1795" s="1">
        <v>38893</v>
      </c>
      <c r="I1795" t="s">
        <v>12</v>
      </c>
      <c r="J1795" t="s">
        <v>12565</v>
      </c>
    </row>
    <row r="1796" spans="1:10" x14ac:dyDescent="0.25">
      <c r="A1796">
        <v>263192</v>
      </c>
      <c r="B1796" t="s">
        <v>1887</v>
      </c>
      <c r="C1796" t="str">
        <f>"9780849341885"</f>
        <v>9780849341885</v>
      </c>
      <c r="D1796" t="str">
        <f>"9781420026412"</f>
        <v>9781420026412</v>
      </c>
      <c r="E1796" t="s">
        <v>15</v>
      </c>
      <c r="F1796" t="s">
        <v>139</v>
      </c>
      <c r="G1796" s="1">
        <v>38701</v>
      </c>
      <c r="H1796" s="1">
        <v>38906</v>
      </c>
      <c r="I1796" t="s">
        <v>12</v>
      </c>
      <c r="J1796" t="s">
        <v>12566</v>
      </c>
    </row>
    <row r="1797" spans="1:10" x14ac:dyDescent="0.25">
      <c r="A1797">
        <v>263197</v>
      </c>
      <c r="B1797" t="s">
        <v>1888</v>
      </c>
      <c r="C1797" t="str">
        <f>"9780849336775"</f>
        <v>9780849336775</v>
      </c>
      <c r="D1797" t="str">
        <f>"9781420026627"</f>
        <v>9781420026627</v>
      </c>
      <c r="E1797" t="s">
        <v>15</v>
      </c>
      <c r="F1797" t="s">
        <v>139</v>
      </c>
      <c r="G1797" s="1">
        <v>38639</v>
      </c>
      <c r="H1797" s="1">
        <v>38906</v>
      </c>
      <c r="I1797" t="s">
        <v>12</v>
      </c>
      <c r="J1797" t="s">
        <v>12567</v>
      </c>
    </row>
    <row r="1798" spans="1:10" x14ac:dyDescent="0.25">
      <c r="A1798">
        <v>263217</v>
      </c>
      <c r="B1798" t="s">
        <v>1889</v>
      </c>
      <c r="C1798" t="str">
        <f>"9780849328244"</f>
        <v>9780849328244</v>
      </c>
      <c r="D1798" t="str">
        <f>"9781420038163"</f>
        <v>9781420038163</v>
      </c>
      <c r="E1798" t="s">
        <v>144</v>
      </c>
      <c r="F1798" t="s">
        <v>144</v>
      </c>
      <c r="G1798" s="1">
        <v>38580</v>
      </c>
      <c r="H1798" s="1">
        <v>42103</v>
      </c>
      <c r="I1798" t="s">
        <v>12</v>
      </c>
      <c r="J1798" t="s">
        <v>12568</v>
      </c>
    </row>
    <row r="1799" spans="1:10" x14ac:dyDescent="0.25">
      <c r="A1799">
        <v>263241</v>
      </c>
      <c r="B1799" t="s">
        <v>1890</v>
      </c>
      <c r="C1799" t="str">
        <f>"9780824757359"</f>
        <v>9780824757359</v>
      </c>
      <c r="D1799" t="str">
        <f>"9781420030815"</f>
        <v>9781420030815</v>
      </c>
      <c r="E1799" t="s">
        <v>15</v>
      </c>
      <c r="F1799" t="s">
        <v>139</v>
      </c>
      <c r="G1799" s="1">
        <v>38229</v>
      </c>
      <c r="H1799" s="1">
        <v>38906</v>
      </c>
      <c r="I1799" t="s">
        <v>12</v>
      </c>
      <c r="J1799" t="s">
        <v>12569</v>
      </c>
    </row>
    <row r="1800" spans="1:10" x14ac:dyDescent="0.25">
      <c r="A1800">
        <v>263249</v>
      </c>
      <c r="B1800" t="s">
        <v>1891</v>
      </c>
      <c r="C1800" t="str">
        <f>"9780824724474"</f>
        <v>9780824724474</v>
      </c>
      <c r="D1800" t="str">
        <f>"9781420028294"</f>
        <v>9781420028294</v>
      </c>
      <c r="E1800" t="s">
        <v>15</v>
      </c>
      <c r="F1800" t="s">
        <v>139</v>
      </c>
      <c r="G1800" s="1">
        <v>38448</v>
      </c>
      <c r="H1800" s="1">
        <v>38906</v>
      </c>
      <c r="I1800" t="s">
        <v>12</v>
      </c>
      <c r="J1800" t="s">
        <v>12570</v>
      </c>
    </row>
    <row r="1801" spans="1:10" x14ac:dyDescent="0.25">
      <c r="A1801">
        <v>263259</v>
      </c>
      <c r="B1801" t="s">
        <v>1892</v>
      </c>
      <c r="C1801" t="str">
        <f>"9780849364952"</f>
        <v>9780849364952</v>
      </c>
      <c r="D1801" t="str">
        <f>"9781420006216"</f>
        <v>9781420006216</v>
      </c>
      <c r="E1801" t="s">
        <v>144</v>
      </c>
      <c r="F1801" t="s">
        <v>144</v>
      </c>
      <c r="G1801" s="1">
        <v>38870</v>
      </c>
      <c r="H1801" s="1">
        <v>40408</v>
      </c>
      <c r="I1801" t="s">
        <v>12</v>
      </c>
      <c r="J1801" t="s">
        <v>12571</v>
      </c>
    </row>
    <row r="1802" spans="1:10" x14ac:dyDescent="0.25">
      <c r="A1802">
        <v>263267</v>
      </c>
      <c r="B1802" t="s">
        <v>1893</v>
      </c>
      <c r="C1802" t="str">
        <f>"9781566705660"</f>
        <v>9781566705660</v>
      </c>
      <c r="D1802" t="str">
        <f>"9781420032390"</f>
        <v>9781420032390</v>
      </c>
      <c r="E1802" t="s">
        <v>144</v>
      </c>
      <c r="F1802" t="s">
        <v>144</v>
      </c>
      <c r="G1802" s="1">
        <v>37526</v>
      </c>
      <c r="H1802" s="1">
        <v>38893</v>
      </c>
      <c r="I1802" t="s">
        <v>12</v>
      </c>
      <c r="J1802" t="s">
        <v>12572</v>
      </c>
    </row>
    <row r="1803" spans="1:10" x14ac:dyDescent="0.25">
      <c r="A1803">
        <v>263277</v>
      </c>
      <c r="B1803" t="s">
        <v>1894</v>
      </c>
      <c r="C1803" t="str">
        <f>"9780849372384"</f>
        <v>9780849372384</v>
      </c>
      <c r="D1803" t="str">
        <f>"9781420037104"</f>
        <v>9781420037104</v>
      </c>
      <c r="E1803" t="s">
        <v>15</v>
      </c>
      <c r="F1803" t="s">
        <v>139</v>
      </c>
      <c r="G1803" s="1">
        <v>38656</v>
      </c>
      <c r="H1803" s="1">
        <v>38906</v>
      </c>
      <c r="I1803" t="s">
        <v>12</v>
      </c>
      <c r="J1803" t="s">
        <v>12573</v>
      </c>
    </row>
    <row r="1804" spans="1:10" x14ac:dyDescent="0.25">
      <c r="A1804">
        <v>263280</v>
      </c>
      <c r="B1804" t="s">
        <v>1895</v>
      </c>
      <c r="C1804" t="str">
        <f>"9781566769181"</f>
        <v>9781566769181</v>
      </c>
      <c r="D1804" t="str">
        <f>"9781420012767"</f>
        <v>9781420012767</v>
      </c>
      <c r="E1804" t="s">
        <v>15</v>
      </c>
      <c r="F1804" t="s">
        <v>16</v>
      </c>
      <c r="G1804" s="1">
        <v>37466</v>
      </c>
      <c r="H1804" s="1">
        <v>38932</v>
      </c>
      <c r="I1804" t="s">
        <v>12</v>
      </c>
      <c r="J1804" t="s">
        <v>12574</v>
      </c>
    </row>
    <row r="1805" spans="1:10" x14ac:dyDescent="0.25">
      <c r="A1805">
        <v>263332</v>
      </c>
      <c r="B1805" t="s">
        <v>1896</v>
      </c>
      <c r="C1805" t="str">
        <f>"9781574446029"</f>
        <v>9781574446029</v>
      </c>
      <c r="D1805" t="str">
        <f>"9781420027419"</f>
        <v>9781420027419</v>
      </c>
      <c r="E1805" t="s">
        <v>144</v>
      </c>
      <c r="F1805" t="s">
        <v>144</v>
      </c>
      <c r="G1805" s="1">
        <v>38478</v>
      </c>
      <c r="H1805" s="1">
        <v>38906</v>
      </c>
      <c r="I1805" t="s">
        <v>12</v>
      </c>
      <c r="J1805" t="s">
        <v>12575</v>
      </c>
    </row>
    <row r="1806" spans="1:10" x14ac:dyDescent="0.25">
      <c r="A1806">
        <v>263334</v>
      </c>
      <c r="B1806" t="s">
        <v>1897</v>
      </c>
      <c r="C1806" t="str">
        <f>"9780824759223"</f>
        <v>9780824759223</v>
      </c>
      <c r="D1806" t="str">
        <f>"9781420015164"</f>
        <v>9781420015164</v>
      </c>
      <c r="E1806" t="s">
        <v>144</v>
      </c>
      <c r="F1806" t="s">
        <v>144</v>
      </c>
      <c r="G1806" s="1">
        <v>38863</v>
      </c>
      <c r="H1806" s="1">
        <v>38893</v>
      </c>
      <c r="I1806" t="s">
        <v>12</v>
      </c>
      <c r="J1806" t="s">
        <v>12576</v>
      </c>
    </row>
    <row r="1807" spans="1:10" x14ac:dyDescent="0.25">
      <c r="A1807">
        <v>263382</v>
      </c>
      <c r="B1807" t="s">
        <v>1898</v>
      </c>
      <c r="C1807" t="str">
        <f>"9780849337475"</f>
        <v>9780849337475</v>
      </c>
      <c r="D1807" t="str">
        <f>"9781420026504"</f>
        <v>9781420026504</v>
      </c>
      <c r="E1807" t="s">
        <v>15</v>
      </c>
      <c r="F1807" t="s">
        <v>139</v>
      </c>
      <c r="G1807" s="1">
        <v>38698</v>
      </c>
      <c r="H1807" s="1">
        <v>38906</v>
      </c>
      <c r="I1807" t="s">
        <v>12</v>
      </c>
      <c r="J1807" t="s">
        <v>12577</v>
      </c>
    </row>
    <row r="1808" spans="1:10" x14ac:dyDescent="0.25">
      <c r="A1808">
        <v>263443</v>
      </c>
      <c r="B1808" t="s">
        <v>1899</v>
      </c>
      <c r="C1808" t="str">
        <f>"9780849338137"</f>
        <v>9780849338137</v>
      </c>
      <c r="D1808" t="str">
        <f>"9781420031140"</f>
        <v>9781420031140</v>
      </c>
      <c r="E1808" t="s">
        <v>1900</v>
      </c>
      <c r="F1808" t="s">
        <v>1900</v>
      </c>
      <c r="G1808" s="1">
        <v>38657</v>
      </c>
      <c r="H1808" s="1">
        <v>38912</v>
      </c>
      <c r="I1808" t="s">
        <v>12</v>
      </c>
      <c r="J1808" t="s">
        <v>12578</v>
      </c>
    </row>
    <row r="1809" spans="1:10" x14ac:dyDescent="0.25">
      <c r="A1809">
        <v>263502</v>
      </c>
      <c r="B1809" t="s">
        <v>1901</v>
      </c>
      <c r="C1809" t="str">
        <f>"9780849327193"</f>
        <v>9780849327193</v>
      </c>
      <c r="D1809" t="str">
        <f>"9781420038347"</f>
        <v>9781420038347</v>
      </c>
      <c r="E1809" t="s">
        <v>144</v>
      </c>
      <c r="F1809" t="s">
        <v>144</v>
      </c>
      <c r="G1809" s="1">
        <v>38701</v>
      </c>
      <c r="H1809" s="1">
        <v>42102</v>
      </c>
      <c r="I1809" t="s">
        <v>12</v>
      </c>
      <c r="J1809" t="s">
        <v>12579</v>
      </c>
    </row>
    <row r="1810" spans="1:10" x14ac:dyDescent="0.25">
      <c r="A1810">
        <v>263529</v>
      </c>
      <c r="B1810" t="s">
        <v>1902</v>
      </c>
      <c r="C1810" t="str">
        <f>"9780824724412"</f>
        <v>9780824724412</v>
      </c>
      <c r="D1810" t="str">
        <f>"9781420027778"</f>
        <v>9781420027778</v>
      </c>
      <c r="E1810" t="s">
        <v>15</v>
      </c>
      <c r="F1810" t="s">
        <v>139</v>
      </c>
      <c r="G1810" s="1">
        <v>38488</v>
      </c>
      <c r="H1810" s="1">
        <v>38912</v>
      </c>
      <c r="I1810" t="s">
        <v>12</v>
      </c>
      <c r="J1810" t="s">
        <v>12580</v>
      </c>
    </row>
    <row r="1811" spans="1:10" x14ac:dyDescent="0.25">
      <c r="A1811">
        <v>263539</v>
      </c>
      <c r="B1811" t="s">
        <v>1903</v>
      </c>
      <c r="C1811" t="str">
        <f>"9780824753740"</f>
        <v>9780824753740</v>
      </c>
      <c r="D1811" t="str">
        <f>"9781420028782"</f>
        <v>9781420028782</v>
      </c>
      <c r="E1811" t="s">
        <v>15</v>
      </c>
      <c r="F1811" t="s">
        <v>139</v>
      </c>
      <c r="G1811" s="1">
        <v>38449</v>
      </c>
      <c r="H1811" s="1">
        <v>38906</v>
      </c>
      <c r="I1811" t="s">
        <v>12</v>
      </c>
      <c r="J1811" t="s">
        <v>12581</v>
      </c>
    </row>
    <row r="1812" spans="1:10" x14ac:dyDescent="0.25">
      <c r="A1812">
        <v>263547</v>
      </c>
      <c r="B1812" t="s">
        <v>1904</v>
      </c>
      <c r="C1812" t="str">
        <f>"9780849333217"</f>
        <v>9780849333217</v>
      </c>
      <c r="D1812" t="str">
        <f>"9781420004892"</f>
        <v>9781420004892</v>
      </c>
      <c r="E1812" t="s">
        <v>144</v>
      </c>
      <c r="F1812" t="s">
        <v>144</v>
      </c>
      <c r="G1812" s="1">
        <v>38859</v>
      </c>
      <c r="H1812" s="1">
        <v>40408</v>
      </c>
      <c r="I1812" t="s">
        <v>12</v>
      </c>
      <c r="J1812" t="s">
        <v>12582</v>
      </c>
    </row>
    <row r="1813" spans="1:10" x14ac:dyDescent="0.25">
      <c r="A1813">
        <v>263572</v>
      </c>
      <c r="B1813" t="s">
        <v>1905</v>
      </c>
      <c r="C1813" t="str">
        <f>"9780849330162"</f>
        <v>9780849330162</v>
      </c>
      <c r="D1813" t="str">
        <f>"9781420004519"</f>
        <v>9781420004519</v>
      </c>
      <c r="E1813" t="s">
        <v>144</v>
      </c>
      <c r="F1813" t="s">
        <v>144</v>
      </c>
      <c r="G1813" s="1">
        <v>38859</v>
      </c>
      <c r="H1813" s="1">
        <v>40408</v>
      </c>
      <c r="I1813" t="s">
        <v>12</v>
      </c>
      <c r="J1813" t="s">
        <v>12583</v>
      </c>
    </row>
    <row r="1814" spans="1:10" x14ac:dyDescent="0.25">
      <c r="A1814">
        <v>263592</v>
      </c>
      <c r="B1814" t="s">
        <v>1906</v>
      </c>
      <c r="C1814" t="str">
        <f>"9780849310362"</f>
        <v>9780849310362</v>
      </c>
      <c r="D1814" t="str">
        <f>"9781420041033"</f>
        <v>9781420041033</v>
      </c>
      <c r="E1814" t="s">
        <v>15</v>
      </c>
      <c r="F1814" t="s">
        <v>139</v>
      </c>
      <c r="G1814" s="1">
        <v>37593</v>
      </c>
      <c r="H1814" s="1">
        <v>38893</v>
      </c>
      <c r="I1814" t="s">
        <v>12</v>
      </c>
      <c r="J1814" t="s">
        <v>12584</v>
      </c>
    </row>
    <row r="1815" spans="1:10" x14ac:dyDescent="0.25">
      <c r="A1815">
        <v>263609</v>
      </c>
      <c r="B1815" t="s">
        <v>1907</v>
      </c>
      <c r="C1815" t="str">
        <f>"9780849377839"</f>
        <v>9780849377839</v>
      </c>
      <c r="D1815" t="str">
        <f>"9781420036978"</f>
        <v>9781420036978</v>
      </c>
      <c r="E1815" t="s">
        <v>15</v>
      </c>
      <c r="F1815" t="s">
        <v>139</v>
      </c>
      <c r="G1815" s="1">
        <v>38601</v>
      </c>
      <c r="H1815" s="1">
        <v>39584</v>
      </c>
      <c r="I1815" t="s">
        <v>12</v>
      </c>
      <c r="J1815" t="s">
        <v>12585</v>
      </c>
    </row>
    <row r="1816" spans="1:10" x14ac:dyDescent="0.25">
      <c r="A1816">
        <v>263684</v>
      </c>
      <c r="B1816" t="s">
        <v>1908</v>
      </c>
      <c r="C1816" t="str">
        <f>"9780849319143"</f>
        <v>9780849319143</v>
      </c>
      <c r="D1816" t="str">
        <f>"9781420039597"</f>
        <v>9781420039597</v>
      </c>
      <c r="E1816" t="s">
        <v>15</v>
      </c>
      <c r="F1816" t="s">
        <v>139</v>
      </c>
      <c r="G1816" s="1">
        <v>38617</v>
      </c>
      <c r="H1816" s="1">
        <v>38893</v>
      </c>
      <c r="I1816" t="s">
        <v>12</v>
      </c>
      <c r="J1816" t="s">
        <v>12586</v>
      </c>
    </row>
    <row r="1817" spans="1:10" x14ac:dyDescent="0.25">
      <c r="A1817">
        <v>263755</v>
      </c>
      <c r="B1817" t="s">
        <v>1909</v>
      </c>
      <c r="C1817" t="str">
        <f>"9781574447682"</f>
        <v>9781574447682</v>
      </c>
      <c r="D1817" t="str">
        <f>"9781420027143"</f>
        <v>9781420027143</v>
      </c>
      <c r="E1817" t="s">
        <v>15</v>
      </c>
      <c r="F1817" t="s">
        <v>139</v>
      </c>
      <c r="G1817" s="1">
        <v>38462</v>
      </c>
      <c r="H1817" s="1">
        <v>38893</v>
      </c>
      <c r="I1817" t="s">
        <v>12</v>
      </c>
      <c r="J1817" t="s">
        <v>12587</v>
      </c>
    </row>
    <row r="1818" spans="1:10" x14ac:dyDescent="0.25">
      <c r="A1818">
        <v>263756</v>
      </c>
      <c r="B1818" t="s">
        <v>1910</v>
      </c>
      <c r="C1818" t="str">
        <f>"9780849393853"</f>
        <v>9780849393853</v>
      </c>
      <c r="D1818" t="str">
        <f>"9781420013863"</f>
        <v>9781420013863</v>
      </c>
      <c r="E1818" t="s">
        <v>1900</v>
      </c>
      <c r="F1818" t="s">
        <v>1900</v>
      </c>
      <c r="G1818" s="1">
        <v>38859</v>
      </c>
      <c r="H1818" s="1">
        <v>41999</v>
      </c>
      <c r="I1818" t="s">
        <v>12</v>
      </c>
      <c r="J1818" t="s">
        <v>12588</v>
      </c>
    </row>
    <row r="1819" spans="1:10" x14ac:dyDescent="0.25">
      <c r="A1819">
        <v>263800</v>
      </c>
      <c r="B1819" t="s">
        <v>1911</v>
      </c>
      <c r="C1819" t="str">
        <f>"9780849327667"</f>
        <v>9780849327667</v>
      </c>
      <c r="D1819" t="str">
        <f>"9781420038293"</f>
        <v>9781420038293</v>
      </c>
      <c r="E1819" t="s">
        <v>15</v>
      </c>
      <c r="F1819" t="s">
        <v>139</v>
      </c>
      <c r="G1819" s="1">
        <v>38288</v>
      </c>
      <c r="H1819" s="1">
        <v>38893</v>
      </c>
      <c r="I1819" t="s">
        <v>12</v>
      </c>
      <c r="J1819" t="s">
        <v>12589</v>
      </c>
    </row>
    <row r="1820" spans="1:10" x14ac:dyDescent="0.25">
      <c r="A1820">
        <v>263803</v>
      </c>
      <c r="B1820" t="s">
        <v>1912</v>
      </c>
      <c r="C1820" t="str">
        <f>"9780849395376"</f>
        <v>9780849395376</v>
      </c>
      <c r="D1820" t="str">
        <f>"9781420036503"</f>
        <v>9781420036503</v>
      </c>
      <c r="E1820" t="s">
        <v>15</v>
      </c>
      <c r="F1820" t="s">
        <v>139</v>
      </c>
      <c r="G1820" s="1">
        <v>38657</v>
      </c>
      <c r="H1820" s="1">
        <v>38915</v>
      </c>
      <c r="I1820" t="s">
        <v>12</v>
      </c>
      <c r="J1820" t="s">
        <v>12590</v>
      </c>
    </row>
    <row r="1821" spans="1:10" x14ac:dyDescent="0.25">
      <c r="A1821">
        <v>263880</v>
      </c>
      <c r="B1821" t="s">
        <v>1913</v>
      </c>
      <c r="C1821" t="str">
        <f>"9780849391392"</f>
        <v>9780849391392</v>
      </c>
      <c r="D1821" t="str">
        <f>"9781420036558"</f>
        <v>9781420036558</v>
      </c>
      <c r="E1821" t="s">
        <v>15</v>
      </c>
      <c r="F1821" t="s">
        <v>139</v>
      </c>
      <c r="G1821" s="1">
        <v>38685</v>
      </c>
      <c r="H1821" s="1">
        <v>38908</v>
      </c>
      <c r="I1821" t="s">
        <v>12</v>
      </c>
      <c r="J1821" t="s">
        <v>12591</v>
      </c>
    </row>
    <row r="1822" spans="1:10" x14ac:dyDescent="0.25">
      <c r="A1822">
        <v>263881</v>
      </c>
      <c r="B1822" t="s">
        <v>1914</v>
      </c>
      <c r="C1822" t="str">
        <f>"9780849391385"</f>
        <v>9780849391385</v>
      </c>
      <c r="D1822" t="str">
        <f>"9781420036565"</f>
        <v>9781420036565</v>
      </c>
      <c r="E1822" t="s">
        <v>15</v>
      </c>
      <c r="F1822" t="s">
        <v>139</v>
      </c>
      <c r="G1822" s="1">
        <v>38685</v>
      </c>
      <c r="H1822" s="1">
        <v>38908</v>
      </c>
      <c r="I1822" t="s">
        <v>12</v>
      </c>
      <c r="J1822" t="s">
        <v>12592</v>
      </c>
    </row>
    <row r="1823" spans="1:10" x14ac:dyDescent="0.25">
      <c r="A1823">
        <v>263882</v>
      </c>
      <c r="B1823" t="s">
        <v>1915</v>
      </c>
      <c r="C1823" t="str">
        <f>"9780849391378"</f>
        <v>9780849391378</v>
      </c>
      <c r="D1823" t="str">
        <f>"9781420036572"</f>
        <v>9781420036572</v>
      </c>
      <c r="E1823" t="s">
        <v>144</v>
      </c>
      <c r="F1823" t="s">
        <v>144</v>
      </c>
      <c r="G1823" s="1">
        <v>38685</v>
      </c>
      <c r="H1823" s="1">
        <v>38908</v>
      </c>
      <c r="I1823" t="s">
        <v>12</v>
      </c>
      <c r="J1823" t="s">
        <v>12593</v>
      </c>
    </row>
    <row r="1824" spans="1:10" x14ac:dyDescent="0.25">
      <c r="A1824">
        <v>263916</v>
      </c>
      <c r="B1824" t="s">
        <v>1916</v>
      </c>
      <c r="C1824" t="str">
        <f>"9780849333910"</f>
        <v>9780849333910</v>
      </c>
      <c r="D1824" t="str">
        <f>"9781420037593"</f>
        <v>9781420037593</v>
      </c>
      <c r="E1824" t="s">
        <v>15</v>
      </c>
      <c r="F1824" t="s">
        <v>139</v>
      </c>
      <c r="G1824" s="1">
        <v>38665</v>
      </c>
      <c r="H1824" s="1">
        <v>38905</v>
      </c>
      <c r="I1824" t="s">
        <v>12</v>
      </c>
      <c r="J1824" t="s">
        <v>12594</v>
      </c>
    </row>
    <row r="1825" spans="1:10" x14ac:dyDescent="0.25">
      <c r="A1825">
        <v>263919</v>
      </c>
      <c r="B1825" t="s">
        <v>1917</v>
      </c>
      <c r="C1825" t="str">
        <f>"9780824724313"</f>
        <v>9780824724313</v>
      </c>
      <c r="D1825" t="str">
        <f>"9781420028270"</f>
        <v>9781420028270</v>
      </c>
      <c r="E1825" t="s">
        <v>144</v>
      </c>
      <c r="F1825" t="s">
        <v>139</v>
      </c>
      <c r="G1825" s="1">
        <v>38666</v>
      </c>
      <c r="H1825" s="1">
        <v>42000</v>
      </c>
      <c r="I1825" t="s">
        <v>12</v>
      </c>
      <c r="J1825" t="s">
        <v>12595</v>
      </c>
    </row>
    <row r="1826" spans="1:10" x14ac:dyDescent="0.25">
      <c r="A1826">
        <v>263939</v>
      </c>
      <c r="B1826" t="s">
        <v>1918</v>
      </c>
      <c r="C1826" t="str">
        <f>"9780849333651"</f>
        <v>9780849333651</v>
      </c>
      <c r="D1826" t="str">
        <f>"9781420005035"</f>
        <v>9781420005035</v>
      </c>
      <c r="E1826" t="s">
        <v>144</v>
      </c>
      <c r="F1826" t="s">
        <v>144</v>
      </c>
      <c r="G1826" s="1">
        <v>38800</v>
      </c>
      <c r="H1826" s="1">
        <v>38921</v>
      </c>
      <c r="I1826" t="s">
        <v>12</v>
      </c>
      <c r="J1826" t="s">
        <v>12596</v>
      </c>
    </row>
    <row r="1827" spans="1:10" x14ac:dyDescent="0.25">
      <c r="A1827">
        <v>263975</v>
      </c>
      <c r="B1827" t="s">
        <v>1919</v>
      </c>
      <c r="C1827" t="str">
        <f>"9780849312809"</f>
        <v>9780849312809</v>
      </c>
      <c r="D1827" t="str">
        <f>"9781420040470"</f>
        <v>9781420040470</v>
      </c>
      <c r="E1827" t="s">
        <v>144</v>
      </c>
      <c r="F1827" t="s">
        <v>144</v>
      </c>
      <c r="G1827" s="1">
        <v>38614</v>
      </c>
      <c r="H1827" s="1">
        <v>40408</v>
      </c>
      <c r="I1827" t="s">
        <v>12</v>
      </c>
      <c r="J1827" t="s">
        <v>12597</v>
      </c>
    </row>
    <row r="1828" spans="1:10" x14ac:dyDescent="0.25">
      <c r="A1828">
        <v>263976</v>
      </c>
      <c r="B1828" t="s">
        <v>1920</v>
      </c>
      <c r="C1828" t="str">
        <f>"9780849334177"</f>
        <v>9780849334177</v>
      </c>
      <c r="D1828" t="str">
        <f>"9781420026986"</f>
        <v>9781420026986</v>
      </c>
      <c r="E1828" t="s">
        <v>15</v>
      </c>
      <c r="F1828" t="s">
        <v>139</v>
      </c>
      <c r="G1828" s="1">
        <v>38561</v>
      </c>
      <c r="H1828" s="1">
        <v>42000</v>
      </c>
      <c r="I1828" t="s">
        <v>12</v>
      </c>
      <c r="J1828" t="s">
        <v>12598</v>
      </c>
    </row>
    <row r="1829" spans="1:10" x14ac:dyDescent="0.25">
      <c r="A1829">
        <v>263981</v>
      </c>
      <c r="B1829" t="s">
        <v>1921</v>
      </c>
      <c r="C1829" t="str">
        <f>"9780849323089"</f>
        <v>9780849323089</v>
      </c>
      <c r="D1829" t="str">
        <f>"9781420004014"</f>
        <v>9781420004014</v>
      </c>
      <c r="E1829" t="s">
        <v>144</v>
      </c>
      <c r="F1829" t="s">
        <v>144</v>
      </c>
      <c r="G1829" s="1">
        <v>38743</v>
      </c>
      <c r="H1829" s="1">
        <v>38897</v>
      </c>
      <c r="I1829" t="s">
        <v>12</v>
      </c>
      <c r="J1829" t="s">
        <v>12599</v>
      </c>
    </row>
    <row r="1830" spans="1:10" x14ac:dyDescent="0.25">
      <c r="A1830">
        <v>264008</v>
      </c>
      <c r="B1830" t="s">
        <v>1922</v>
      </c>
      <c r="C1830" t="str">
        <f>"9780849320538"</f>
        <v>9780849320538</v>
      </c>
      <c r="D1830" t="str">
        <f>"9781420039344"</f>
        <v>9781420039344</v>
      </c>
      <c r="E1830" t="s">
        <v>15</v>
      </c>
      <c r="F1830" t="s">
        <v>139</v>
      </c>
      <c r="G1830" s="1">
        <v>38660</v>
      </c>
      <c r="H1830" s="1">
        <v>40408</v>
      </c>
      <c r="I1830" t="s">
        <v>12</v>
      </c>
      <c r="J1830" t="s">
        <v>12600</v>
      </c>
    </row>
    <row r="1831" spans="1:10" x14ac:dyDescent="0.25">
      <c r="A1831">
        <v>264072</v>
      </c>
      <c r="B1831" t="s">
        <v>1923</v>
      </c>
      <c r="C1831" t="str">
        <f>"9781566706094"</f>
        <v>9781566706094</v>
      </c>
      <c r="D1831" t="str">
        <f>"9781420032154"</f>
        <v>9781420032154</v>
      </c>
      <c r="E1831" t="s">
        <v>144</v>
      </c>
      <c r="F1831" t="s">
        <v>144</v>
      </c>
      <c r="G1831" s="1">
        <v>38435</v>
      </c>
      <c r="H1831" s="1">
        <v>42000</v>
      </c>
      <c r="I1831" t="s">
        <v>12</v>
      </c>
      <c r="J1831" t="s">
        <v>12601</v>
      </c>
    </row>
    <row r="1832" spans="1:10" x14ac:dyDescent="0.25">
      <c r="A1832">
        <v>264131</v>
      </c>
      <c r="B1832" t="s">
        <v>1924</v>
      </c>
      <c r="C1832" t="str">
        <f>"9780849372773"</f>
        <v>9780849372773</v>
      </c>
      <c r="D1832" t="str">
        <f>"9781420037074"</f>
        <v>9781420037074</v>
      </c>
      <c r="E1832" t="s">
        <v>15</v>
      </c>
      <c r="F1832" t="s">
        <v>139</v>
      </c>
      <c r="G1832" s="1">
        <v>38588</v>
      </c>
      <c r="H1832" s="1">
        <v>40408</v>
      </c>
      <c r="I1832" t="s">
        <v>12</v>
      </c>
      <c r="J1832" t="s">
        <v>12602</v>
      </c>
    </row>
    <row r="1833" spans="1:10" x14ac:dyDescent="0.25">
      <c r="A1833">
        <v>264133</v>
      </c>
      <c r="B1833" t="s">
        <v>1925</v>
      </c>
      <c r="C1833" t="str">
        <f>"9780824723835"</f>
        <v>9780824723835</v>
      </c>
      <c r="D1833" t="str">
        <f>"9781420028577"</f>
        <v>9781420028577</v>
      </c>
      <c r="E1833" t="s">
        <v>15</v>
      </c>
      <c r="F1833" t="s">
        <v>139</v>
      </c>
      <c r="G1833" s="1">
        <v>38432</v>
      </c>
      <c r="H1833" s="1">
        <v>38906</v>
      </c>
      <c r="I1833" t="s">
        <v>12</v>
      </c>
      <c r="J1833" t="s">
        <v>12603</v>
      </c>
    </row>
    <row r="1834" spans="1:10" x14ac:dyDescent="0.25">
      <c r="A1834">
        <v>264185</v>
      </c>
      <c r="B1834" t="s">
        <v>1926</v>
      </c>
      <c r="C1834" t="str">
        <f>"9780824753856"</f>
        <v>9780824753856</v>
      </c>
      <c r="D1834" t="str">
        <f>"9781420027716"</f>
        <v>9781420027716</v>
      </c>
      <c r="E1834" t="s">
        <v>15</v>
      </c>
      <c r="F1834" t="s">
        <v>139</v>
      </c>
      <c r="G1834" s="1">
        <v>38495</v>
      </c>
      <c r="H1834" s="1">
        <v>38893</v>
      </c>
      <c r="I1834" t="s">
        <v>12</v>
      </c>
      <c r="J1834" t="s">
        <v>12604</v>
      </c>
    </row>
    <row r="1835" spans="1:10" x14ac:dyDescent="0.25">
      <c r="A1835">
        <v>264226</v>
      </c>
      <c r="B1835" t="s">
        <v>1927</v>
      </c>
      <c r="C1835" t="str">
        <f>"9780849373367"</f>
        <v>9780849373367</v>
      </c>
      <c r="D1835" t="str">
        <f>"9781420037067"</f>
        <v>9781420037067</v>
      </c>
      <c r="E1835" t="s">
        <v>15</v>
      </c>
      <c r="F1835" t="s">
        <v>139</v>
      </c>
      <c r="G1835" s="1">
        <v>37215</v>
      </c>
      <c r="H1835" s="1">
        <v>38908</v>
      </c>
      <c r="I1835" t="s">
        <v>12</v>
      </c>
      <c r="J1835" t="s">
        <v>12605</v>
      </c>
    </row>
    <row r="1836" spans="1:10" x14ac:dyDescent="0.25">
      <c r="A1836">
        <v>264292</v>
      </c>
      <c r="B1836" t="s">
        <v>1928</v>
      </c>
      <c r="C1836" t="str">
        <f>"9780849327223"</f>
        <v>9780849327223</v>
      </c>
      <c r="D1836" t="str">
        <f>"9781420001044"</f>
        <v>9781420001044</v>
      </c>
      <c r="E1836" t="s">
        <v>144</v>
      </c>
      <c r="F1836" t="s">
        <v>144</v>
      </c>
      <c r="G1836" s="1">
        <v>38730</v>
      </c>
      <c r="H1836" s="1">
        <v>38893</v>
      </c>
      <c r="I1836" t="s">
        <v>12</v>
      </c>
      <c r="J1836" t="s">
        <v>12606</v>
      </c>
    </row>
    <row r="1837" spans="1:10" x14ac:dyDescent="0.25">
      <c r="A1837">
        <v>264299</v>
      </c>
      <c r="B1837" t="s">
        <v>1929</v>
      </c>
      <c r="C1837" t="str">
        <f>"9780824707002"</f>
        <v>9780824707002</v>
      </c>
      <c r="D1837" t="str">
        <f>"9781420030488"</f>
        <v>9781420030488</v>
      </c>
      <c r="E1837" t="s">
        <v>15</v>
      </c>
      <c r="F1837" t="s">
        <v>139</v>
      </c>
      <c r="G1837" s="1">
        <v>38695</v>
      </c>
      <c r="H1837" s="1">
        <v>38906</v>
      </c>
      <c r="I1837" t="s">
        <v>12</v>
      </c>
      <c r="J1837" t="s">
        <v>12607</v>
      </c>
    </row>
    <row r="1838" spans="1:10" x14ac:dyDescent="0.25">
      <c r="A1838">
        <v>264358</v>
      </c>
      <c r="B1838" t="s">
        <v>1930</v>
      </c>
      <c r="C1838" t="str">
        <f>"9781584884774"</f>
        <v>9781584884774</v>
      </c>
      <c r="D1838" t="str">
        <f>"9781420035056"</f>
        <v>9781420035056</v>
      </c>
      <c r="E1838" t="s">
        <v>144</v>
      </c>
      <c r="F1838" t="s">
        <v>679</v>
      </c>
      <c r="G1838" s="1">
        <v>38441</v>
      </c>
      <c r="H1838" s="1">
        <v>38906</v>
      </c>
      <c r="I1838" t="s">
        <v>12</v>
      </c>
      <c r="J1838" t="s">
        <v>12608</v>
      </c>
    </row>
    <row r="1839" spans="1:10" x14ac:dyDescent="0.25">
      <c r="A1839">
        <v>264383</v>
      </c>
      <c r="B1839" t="s">
        <v>1931</v>
      </c>
      <c r="C1839" t="str">
        <f>"9780849333569"</f>
        <v>9780849333569</v>
      </c>
      <c r="D1839" t="str">
        <f>"9781420037616"</f>
        <v>9781420037616</v>
      </c>
      <c r="E1839" t="s">
        <v>15</v>
      </c>
      <c r="F1839" t="s">
        <v>139</v>
      </c>
      <c r="G1839" s="1">
        <v>38498</v>
      </c>
      <c r="H1839" s="1">
        <v>38906</v>
      </c>
      <c r="I1839" t="s">
        <v>12</v>
      </c>
      <c r="J1839" t="s">
        <v>12609</v>
      </c>
    </row>
    <row r="1840" spans="1:10" x14ac:dyDescent="0.25">
      <c r="A1840">
        <v>264430</v>
      </c>
      <c r="B1840" t="s">
        <v>1932</v>
      </c>
      <c r="C1840" t="str">
        <f>"9780824726331"</f>
        <v>9780824726331</v>
      </c>
      <c r="D1840" t="str">
        <f>"9781420028645"</f>
        <v>9781420028645</v>
      </c>
      <c r="E1840" t="s">
        <v>15</v>
      </c>
      <c r="F1840" t="s">
        <v>139</v>
      </c>
      <c r="G1840" s="1">
        <v>38530</v>
      </c>
      <c r="H1840" s="1">
        <v>38906</v>
      </c>
      <c r="I1840" t="s">
        <v>12</v>
      </c>
      <c r="J1840" t="s">
        <v>12610</v>
      </c>
    </row>
    <row r="1841" spans="1:10" x14ac:dyDescent="0.25">
      <c r="A1841">
        <v>264436</v>
      </c>
      <c r="B1841" t="s">
        <v>1933</v>
      </c>
      <c r="C1841" t="str">
        <f>"9780849370373"</f>
        <v>9780849370373</v>
      </c>
      <c r="D1841" t="str">
        <f>"9781420003062"</f>
        <v>9781420003062</v>
      </c>
      <c r="E1841" t="s">
        <v>15</v>
      </c>
      <c r="F1841" t="s">
        <v>139</v>
      </c>
      <c r="G1841" s="1">
        <v>38730</v>
      </c>
      <c r="H1841" s="1">
        <v>38908</v>
      </c>
      <c r="I1841" t="s">
        <v>12</v>
      </c>
      <c r="J1841" t="s">
        <v>12611</v>
      </c>
    </row>
    <row r="1842" spans="1:10" x14ac:dyDescent="0.25">
      <c r="A1842">
        <v>264531</v>
      </c>
      <c r="B1842" t="s">
        <v>1934</v>
      </c>
      <c r="C1842" t="str">
        <f>"9780824723439"</f>
        <v>9780824723439</v>
      </c>
      <c r="D1842" t="str">
        <f>"9781420028003"</f>
        <v>9781420028003</v>
      </c>
      <c r="E1842" t="s">
        <v>144</v>
      </c>
      <c r="F1842" t="s">
        <v>144</v>
      </c>
      <c r="G1842" s="1">
        <v>38658</v>
      </c>
      <c r="H1842" s="1">
        <v>38952</v>
      </c>
      <c r="I1842" t="s">
        <v>12</v>
      </c>
      <c r="J1842" t="s">
        <v>12612</v>
      </c>
    </row>
    <row r="1843" spans="1:10" x14ac:dyDescent="0.25">
      <c r="A1843">
        <v>264633</v>
      </c>
      <c r="B1843" t="s">
        <v>1935</v>
      </c>
      <c r="C1843" t="str">
        <f>"9780824758530"</f>
        <v>9780824758530</v>
      </c>
      <c r="D1843" t="str">
        <f>"9781420030563"</f>
        <v>9781420030563</v>
      </c>
      <c r="E1843" t="s">
        <v>144</v>
      </c>
      <c r="F1843" t="s">
        <v>144</v>
      </c>
      <c r="G1843" s="1">
        <v>38593</v>
      </c>
      <c r="H1843" s="1">
        <v>38912</v>
      </c>
      <c r="I1843" t="s">
        <v>12</v>
      </c>
      <c r="J1843" t="s">
        <v>12613</v>
      </c>
    </row>
    <row r="1844" spans="1:10" x14ac:dyDescent="0.25">
      <c r="A1844">
        <v>264664</v>
      </c>
      <c r="B1844" t="s">
        <v>1936</v>
      </c>
      <c r="C1844" t="str">
        <f>"9781584886440"</f>
        <v>9781584886440</v>
      </c>
      <c r="D1844" t="str">
        <f>"9781420011456"</f>
        <v>9781420011456</v>
      </c>
      <c r="E1844" t="s">
        <v>144</v>
      </c>
      <c r="F1844" t="s">
        <v>679</v>
      </c>
      <c r="G1844" s="1">
        <v>38862</v>
      </c>
      <c r="H1844" s="1">
        <v>42000</v>
      </c>
      <c r="I1844" t="s">
        <v>12</v>
      </c>
      <c r="J1844" t="s">
        <v>12614</v>
      </c>
    </row>
    <row r="1845" spans="1:10" x14ac:dyDescent="0.25">
      <c r="A1845">
        <v>264743</v>
      </c>
      <c r="B1845" t="s">
        <v>1937</v>
      </c>
      <c r="C1845" t="str">
        <f>"9780849371868"</f>
        <v>9780849371868</v>
      </c>
      <c r="D1845" t="str">
        <f>"9781420013436"</f>
        <v>9781420013436</v>
      </c>
      <c r="E1845" t="s">
        <v>667</v>
      </c>
      <c r="F1845" t="s">
        <v>667</v>
      </c>
      <c r="G1845" s="1">
        <v>38867</v>
      </c>
      <c r="H1845" s="1">
        <v>41999</v>
      </c>
      <c r="I1845" t="s">
        <v>12</v>
      </c>
      <c r="J1845" t="s">
        <v>12615</v>
      </c>
    </row>
    <row r="1846" spans="1:10" x14ac:dyDescent="0.25">
      <c r="A1846">
        <v>264745</v>
      </c>
      <c r="B1846" t="s">
        <v>1938</v>
      </c>
      <c r="C1846" t="str">
        <f>"9780849315701"</f>
        <v>9780849315701</v>
      </c>
      <c r="D1846" t="str">
        <f>"9781420039924"</f>
        <v>9781420039924</v>
      </c>
      <c r="E1846" t="s">
        <v>144</v>
      </c>
      <c r="F1846" t="s">
        <v>144</v>
      </c>
      <c r="G1846" s="1">
        <v>38548</v>
      </c>
      <c r="H1846" s="1">
        <v>38932</v>
      </c>
      <c r="I1846" t="s">
        <v>12</v>
      </c>
      <c r="J1846" t="s">
        <v>12616</v>
      </c>
    </row>
    <row r="1847" spans="1:10" x14ac:dyDescent="0.25">
      <c r="A1847">
        <v>264766</v>
      </c>
      <c r="B1847" t="s">
        <v>1939</v>
      </c>
      <c r="C1847" t="str">
        <f>"9781599040103"</f>
        <v>9781599040103</v>
      </c>
      <c r="D1847" t="str">
        <f>"9781599040127"</f>
        <v>9781599040127</v>
      </c>
      <c r="E1847" t="s">
        <v>623</v>
      </c>
      <c r="F1847" t="s">
        <v>624</v>
      </c>
      <c r="G1847" s="1">
        <v>38718</v>
      </c>
      <c r="H1847" s="1">
        <v>40634</v>
      </c>
      <c r="I1847" t="s">
        <v>12</v>
      </c>
      <c r="J1847" t="s">
        <v>12617</v>
      </c>
    </row>
    <row r="1848" spans="1:10" x14ac:dyDescent="0.25">
      <c r="A1848">
        <v>264942</v>
      </c>
      <c r="B1848" t="s">
        <v>1940</v>
      </c>
      <c r="C1848" t="str">
        <f>"9781571103079"</f>
        <v>9781571103079</v>
      </c>
      <c r="D1848" t="str">
        <f>"9781571104823"</f>
        <v>9781571104823</v>
      </c>
      <c r="E1848" t="s">
        <v>1329</v>
      </c>
      <c r="F1848" t="s">
        <v>1330</v>
      </c>
      <c r="G1848" s="1">
        <v>35431</v>
      </c>
      <c r="H1848" s="1">
        <v>38899</v>
      </c>
      <c r="I1848" t="s">
        <v>12</v>
      </c>
      <c r="J1848" t="s">
        <v>12618</v>
      </c>
    </row>
    <row r="1849" spans="1:10" x14ac:dyDescent="0.25">
      <c r="A1849">
        <v>264948</v>
      </c>
      <c r="B1849" t="s">
        <v>1941</v>
      </c>
      <c r="C1849" t="str">
        <f>"9780748618958"</f>
        <v>9780748618958</v>
      </c>
      <c r="D1849" t="str">
        <f>"9780748626243"</f>
        <v>9780748626243</v>
      </c>
      <c r="E1849" t="s">
        <v>1942</v>
      </c>
      <c r="F1849" t="s">
        <v>1942</v>
      </c>
      <c r="G1849" s="1">
        <v>38700</v>
      </c>
      <c r="H1849" s="1">
        <v>38952</v>
      </c>
      <c r="I1849" t="s">
        <v>12</v>
      </c>
      <c r="J1849" t="s">
        <v>12619</v>
      </c>
    </row>
    <row r="1850" spans="1:10" x14ac:dyDescent="0.25">
      <c r="A1850">
        <v>264950</v>
      </c>
      <c r="B1850" t="s">
        <v>1943</v>
      </c>
      <c r="C1850" t="str">
        <f>"9780748620692"</f>
        <v>9780748620692</v>
      </c>
      <c r="D1850" t="str">
        <f>"9780748626304"</f>
        <v>9780748626304</v>
      </c>
      <c r="E1850" t="s">
        <v>1942</v>
      </c>
      <c r="F1850" t="s">
        <v>1942</v>
      </c>
      <c r="G1850" s="1">
        <v>38695</v>
      </c>
      <c r="H1850" s="1">
        <v>38921</v>
      </c>
      <c r="I1850" t="s">
        <v>12</v>
      </c>
      <c r="J1850" t="s">
        <v>12620</v>
      </c>
    </row>
    <row r="1851" spans="1:10" x14ac:dyDescent="0.25">
      <c r="A1851">
        <v>264952</v>
      </c>
      <c r="B1851" t="s">
        <v>1944</v>
      </c>
      <c r="C1851" t="str">
        <f>"9780748618262"</f>
        <v>9780748618262</v>
      </c>
      <c r="D1851" t="str">
        <f>"9780748626311"</f>
        <v>9780748626311</v>
      </c>
      <c r="E1851" t="s">
        <v>1942</v>
      </c>
      <c r="F1851" t="s">
        <v>1942</v>
      </c>
      <c r="G1851" s="1">
        <v>38695</v>
      </c>
      <c r="H1851" s="1">
        <v>38921</v>
      </c>
      <c r="I1851" t="s">
        <v>12</v>
      </c>
      <c r="J1851" t="s">
        <v>12621</v>
      </c>
    </row>
    <row r="1852" spans="1:10" x14ac:dyDescent="0.25">
      <c r="A1852">
        <v>264956</v>
      </c>
      <c r="B1852" t="s">
        <v>1945</v>
      </c>
      <c r="C1852" t="str">
        <f>"9780748618323"</f>
        <v>9780748618323</v>
      </c>
      <c r="D1852" t="str">
        <f>"9780748626502"</f>
        <v>9780748626502</v>
      </c>
      <c r="E1852" t="s">
        <v>1942</v>
      </c>
      <c r="F1852" t="s">
        <v>1942</v>
      </c>
      <c r="G1852" s="1">
        <v>38756</v>
      </c>
      <c r="H1852" s="1">
        <v>38897</v>
      </c>
      <c r="I1852" t="s">
        <v>12</v>
      </c>
      <c r="J1852" t="s">
        <v>12622</v>
      </c>
    </row>
    <row r="1853" spans="1:10" x14ac:dyDescent="0.25">
      <c r="A1853">
        <v>264957</v>
      </c>
      <c r="B1853" t="s">
        <v>1946</v>
      </c>
      <c r="C1853" t="str">
        <f>"9780748619146"</f>
        <v>9780748619146</v>
      </c>
      <c r="D1853" t="str">
        <f>"9780748626540"</f>
        <v>9780748626540</v>
      </c>
      <c r="E1853" t="s">
        <v>1942</v>
      </c>
      <c r="F1853" t="s">
        <v>1942</v>
      </c>
      <c r="G1853" s="1">
        <v>38791</v>
      </c>
      <c r="H1853" s="1">
        <v>38921</v>
      </c>
      <c r="I1853" t="s">
        <v>12</v>
      </c>
      <c r="J1853" t="s">
        <v>12623</v>
      </c>
    </row>
    <row r="1854" spans="1:10" x14ac:dyDescent="0.25">
      <c r="A1854">
        <v>264968</v>
      </c>
      <c r="B1854" t="s">
        <v>1947</v>
      </c>
      <c r="C1854" t="str">
        <f>"9780748622269"</f>
        <v>9780748622269</v>
      </c>
      <c r="D1854" t="str">
        <f>"9780748626724"</f>
        <v>9780748626724</v>
      </c>
      <c r="E1854" t="s">
        <v>1942</v>
      </c>
      <c r="F1854" t="s">
        <v>1942</v>
      </c>
      <c r="G1854" s="1">
        <v>38831</v>
      </c>
      <c r="H1854" s="1">
        <v>38897</v>
      </c>
      <c r="I1854" t="s">
        <v>12</v>
      </c>
      <c r="J1854" t="s">
        <v>12624</v>
      </c>
    </row>
    <row r="1855" spans="1:10" x14ac:dyDescent="0.25">
      <c r="A1855">
        <v>264969</v>
      </c>
      <c r="B1855" t="s">
        <v>1948</v>
      </c>
      <c r="C1855" t="str">
        <f>"9780748624515"</f>
        <v>9780748624515</v>
      </c>
      <c r="D1855" t="str">
        <f>"9780748626786"</f>
        <v>9780748626786</v>
      </c>
      <c r="E1855" t="s">
        <v>1942</v>
      </c>
      <c r="F1855" t="s">
        <v>1942</v>
      </c>
      <c r="G1855" s="1">
        <v>38828</v>
      </c>
      <c r="H1855" s="1">
        <v>38922</v>
      </c>
      <c r="I1855" t="s">
        <v>12</v>
      </c>
      <c r="J1855" t="s">
        <v>12625</v>
      </c>
    </row>
    <row r="1856" spans="1:10" x14ac:dyDescent="0.25">
      <c r="A1856">
        <v>264975</v>
      </c>
      <c r="B1856" t="s">
        <v>1949</v>
      </c>
      <c r="C1856" t="str">
        <f>"9780748624539"</f>
        <v>9780748624539</v>
      </c>
      <c r="D1856" t="str">
        <f>"9780748626977"</f>
        <v>9780748626977</v>
      </c>
      <c r="E1856" t="s">
        <v>1942</v>
      </c>
      <c r="F1856" t="s">
        <v>1942</v>
      </c>
      <c r="G1856" s="1">
        <v>38889</v>
      </c>
      <c r="H1856" s="1">
        <v>38921</v>
      </c>
      <c r="I1856" t="s">
        <v>12</v>
      </c>
      <c r="J1856" t="s">
        <v>12626</v>
      </c>
    </row>
    <row r="1857" spans="1:10" x14ac:dyDescent="0.25">
      <c r="A1857">
        <v>265403</v>
      </c>
      <c r="B1857" t="s">
        <v>1950</v>
      </c>
      <c r="C1857" t="str">
        <f>"9781576076002"</f>
        <v>9781576076002</v>
      </c>
      <c r="D1857" t="str">
        <f>"9781576076071"</f>
        <v>9781576076071</v>
      </c>
      <c r="E1857" t="s">
        <v>1951</v>
      </c>
      <c r="F1857" t="s">
        <v>1951</v>
      </c>
      <c r="G1857" s="1">
        <v>37706</v>
      </c>
      <c r="H1857" s="1">
        <v>38905</v>
      </c>
      <c r="I1857" t="s">
        <v>12</v>
      </c>
      <c r="J1857" t="s">
        <v>12627</v>
      </c>
    </row>
    <row r="1858" spans="1:10" x14ac:dyDescent="0.25">
      <c r="A1858">
        <v>265412</v>
      </c>
      <c r="B1858" t="s">
        <v>1952</v>
      </c>
      <c r="C1858" t="str">
        <f>"9781576076880"</f>
        <v>9781576076880</v>
      </c>
      <c r="D1858" t="str">
        <f>"9781576076897"</f>
        <v>9781576076897</v>
      </c>
      <c r="E1858" t="s">
        <v>1951</v>
      </c>
      <c r="F1858" t="s">
        <v>1951</v>
      </c>
      <c r="G1858" s="1">
        <v>37811</v>
      </c>
      <c r="H1858" s="1">
        <v>38899</v>
      </c>
      <c r="I1858" t="s">
        <v>12</v>
      </c>
      <c r="J1858" t="s">
        <v>12628</v>
      </c>
    </row>
    <row r="1859" spans="1:10" x14ac:dyDescent="0.25">
      <c r="A1859">
        <v>265423</v>
      </c>
      <c r="B1859" t="s">
        <v>1953</v>
      </c>
      <c r="C1859" t="str">
        <f>"9781576072844"</f>
        <v>9781576072844</v>
      </c>
      <c r="D1859" t="str">
        <f>"9781576077368"</f>
        <v>9781576077368</v>
      </c>
      <c r="E1859" t="s">
        <v>1951</v>
      </c>
      <c r="F1859" t="s">
        <v>1951</v>
      </c>
      <c r="G1859" s="1">
        <v>37824</v>
      </c>
      <c r="H1859" s="1">
        <v>38899</v>
      </c>
      <c r="I1859" t="s">
        <v>12</v>
      </c>
      <c r="J1859" t="s">
        <v>12629</v>
      </c>
    </row>
    <row r="1860" spans="1:10" x14ac:dyDescent="0.25">
      <c r="A1860">
        <v>265439</v>
      </c>
      <c r="B1860" t="s">
        <v>1954</v>
      </c>
      <c r="C1860" t="str">
        <f>"9781576078068"</f>
        <v>9781576078068</v>
      </c>
      <c r="D1860" t="str">
        <f>"9781576078075"</f>
        <v>9781576078075</v>
      </c>
      <c r="E1860" t="s">
        <v>1951</v>
      </c>
      <c r="F1860" t="s">
        <v>1951</v>
      </c>
      <c r="G1860" s="1">
        <v>38572</v>
      </c>
      <c r="H1860" s="1">
        <v>38911</v>
      </c>
      <c r="I1860" t="s">
        <v>12</v>
      </c>
      <c r="J1860" t="s">
        <v>12630</v>
      </c>
    </row>
    <row r="1861" spans="1:10" x14ac:dyDescent="0.25">
      <c r="A1861">
        <v>265462</v>
      </c>
      <c r="B1861" t="s">
        <v>1955</v>
      </c>
      <c r="C1861" t="str">
        <f>"9781576079270"</f>
        <v>9781576079270</v>
      </c>
      <c r="D1861" t="str">
        <f>"9781576079287"</f>
        <v>9781576079287</v>
      </c>
      <c r="E1861" t="s">
        <v>1951</v>
      </c>
      <c r="F1861" t="s">
        <v>1951</v>
      </c>
      <c r="G1861" s="1">
        <v>38065</v>
      </c>
      <c r="H1861" s="1">
        <v>38899</v>
      </c>
      <c r="I1861" t="s">
        <v>12</v>
      </c>
      <c r="J1861" t="s">
        <v>12631</v>
      </c>
    </row>
    <row r="1862" spans="1:10" x14ac:dyDescent="0.25">
      <c r="A1862">
        <v>265491</v>
      </c>
      <c r="B1862" t="s">
        <v>1956</v>
      </c>
      <c r="C1862" t="str">
        <f>"9781851094318"</f>
        <v>9781851094318</v>
      </c>
      <c r="D1862" t="str">
        <f>"9781851094363"</f>
        <v>9781851094363</v>
      </c>
      <c r="E1862" t="s">
        <v>1951</v>
      </c>
      <c r="F1862" t="s">
        <v>1951</v>
      </c>
      <c r="G1862" s="1">
        <v>38407</v>
      </c>
      <c r="H1862" s="1">
        <v>38899</v>
      </c>
      <c r="I1862" t="s">
        <v>12</v>
      </c>
      <c r="J1862" t="s">
        <v>12632</v>
      </c>
    </row>
    <row r="1863" spans="1:10" x14ac:dyDescent="0.25">
      <c r="A1863">
        <v>265528</v>
      </c>
      <c r="B1863" t="s">
        <v>1957</v>
      </c>
      <c r="C1863" t="str">
        <f>"9781851096268"</f>
        <v>9781851096268</v>
      </c>
      <c r="D1863" t="str">
        <f>"9781851096312"</f>
        <v>9781851096312</v>
      </c>
      <c r="E1863" t="s">
        <v>1951</v>
      </c>
      <c r="F1863" t="s">
        <v>1951</v>
      </c>
      <c r="G1863" s="1">
        <v>38848</v>
      </c>
      <c r="H1863" s="1">
        <v>38915</v>
      </c>
      <c r="I1863" t="s">
        <v>12</v>
      </c>
      <c r="J1863" t="s">
        <v>12633</v>
      </c>
    </row>
    <row r="1864" spans="1:10" x14ac:dyDescent="0.25">
      <c r="A1864">
        <v>265531</v>
      </c>
      <c r="B1864" t="s">
        <v>1958</v>
      </c>
      <c r="C1864" t="str">
        <f>"9781576072042"</f>
        <v>9781576072042</v>
      </c>
      <c r="D1864" t="str">
        <f>"9781851096404"</f>
        <v>9781851096404</v>
      </c>
      <c r="E1864" t="s">
        <v>1951</v>
      </c>
      <c r="F1864" t="s">
        <v>1951</v>
      </c>
      <c r="G1864" s="1">
        <v>38201</v>
      </c>
      <c r="H1864" s="1">
        <v>38899</v>
      </c>
      <c r="I1864" t="s">
        <v>12</v>
      </c>
      <c r="J1864" t="s">
        <v>12634</v>
      </c>
    </row>
    <row r="1865" spans="1:10" x14ac:dyDescent="0.25">
      <c r="A1865">
        <v>265913</v>
      </c>
      <c r="B1865" t="s">
        <v>1959</v>
      </c>
      <c r="C1865" t="str">
        <f>"9781853598890"</f>
        <v>9781853598890</v>
      </c>
      <c r="D1865" t="str">
        <f>"9781853598906"</f>
        <v>9781853598906</v>
      </c>
      <c r="E1865" t="s">
        <v>886</v>
      </c>
      <c r="F1865" t="s">
        <v>887</v>
      </c>
      <c r="G1865" s="1">
        <v>38840</v>
      </c>
      <c r="H1865" s="1">
        <v>38911</v>
      </c>
      <c r="I1865" t="s">
        <v>12</v>
      </c>
      <c r="J1865" t="s">
        <v>12635</v>
      </c>
    </row>
    <row r="1866" spans="1:10" x14ac:dyDescent="0.25">
      <c r="A1866">
        <v>265915</v>
      </c>
      <c r="B1866" t="s">
        <v>1960</v>
      </c>
      <c r="C1866" t="str">
        <f>"9781853598982"</f>
        <v>9781853598982</v>
      </c>
      <c r="D1866" t="str">
        <f>"9781853598999"</f>
        <v>9781853598999</v>
      </c>
      <c r="E1866" t="s">
        <v>886</v>
      </c>
      <c r="F1866" t="s">
        <v>887</v>
      </c>
      <c r="G1866" s="1">
        <v>38902</v>
      </c>
      <c r="H1866" s="1">
        <v>38911</v>
      </c>
      <c r="I1866" t="s">
        <v>12</v>
      </c>
      <c r="J1866" t="s">
        <v>12636</v>
      </c>
    </row>
    <row r="1867" spans="1:10" x14ac:dyDescent="0.25">
      <c r="A1867">
        <v>265916</v>
      </c>
      <c r="B1867" t="s">
        <v>1961</v>
      </c>
      <c r="C1867" t="str">
        <f>"9781853598913"</f>
        <v>9781853598913</v>
      </c>
      <c r="D1867" t="str">
        <f>"9781853598937"</f>
        <v>9781853598937</v>
      </c>
      <c r="E1867" t="s">
        <v>886</v>
      </c>
      <c r="F1867" t="s">
        <v>887</v>
      </c>
      <c r="G1867" s="1">
        <v>38905</v>
      </c>
      <c r="H1867" s="1">
        <v>38911</v>
      </c>
      <c r="I1867" t="s">
        <v>12</v>
      </c>
      <c r="J1867" t="s">
        <v>12637</v>
      </c>
    </row>
    <row r="1868" spans="1:10" x14ac:dyDescent="0.25">
      <c r="A1868">
        <v>265917</v>
      </c>
      <c r="B1868" t="s">
        <v>1962</v>
      </c>
      <c r="C1868" t="str">
        <f>"9781853599163"</f>
        <v>9781853599163</v>
      </c>
      <c r="D1868" t="str">
        <f>"9781853599170"</f>
        <v>9781853599170</v>
      </c>
      <c r="E1868" t="s">
        <v>886</v>
      </c>
      <c r="F1868" t="s">
        <v>887</v>
      </c>
      <c r="G1868" s="1">
        <v>38924</v>
      </c>
      <c r="H1868" s="1">
        <v>38911</v>
      </c>
      <c r="I1868" t="s">
        <v>12</v>
      </c>
      <c r="J1868" t="s">
        <v>12638</v>
      </c>
    </row>
    <row r="1869" spans="1:10" x14ac:dyDescent="0.25">
      <c r="A1869">
        <v>265918</v>
      </c>
      <c r="B1869" t="s">
        <v>1963</v>
      </c>
      <c r="C1869" t="str">
        <f>"9781853599033"</f>
        <v>9781853599033</v>
      </c>
      <c r="D1869" t="str">
        <f>"9781853599040"</f>
        <v>9781853599040</v>
      </c>
      <c r="E1869" t="s">
        <v>886</v>
      </c>
      <c r="F1869" t="s">
        <v>887</v>
      </c>
      <c r="G1869" s="1">
        <v>38908</v>
      </c>
      <c r="H1869" s="1">
        <v>39085</v>
      </c>
      <c r="I1869" t="s">
        <v>12</v>
      </c>
      <c r="J1869" t="s">
        <v>12639</v>
      </c>
    </row>
    <row r="1870" spans="1:10" x14ac:dyDescent="0.25">
      <c r="A1870">
        <v>265919</v>
      </c>
      <c r="B1870" t="s">
        <v>1964</v>
      </c>
      <c r="C1870" t="str">
        <f>"9781853598951"</f>
        <v>9781853598951</v>
      </c>
      <c r="D1870" t="str">
        <f>"9781853598968"</f>
        <v>9781853598968</v>
      </c>
      <c r="E1870" t="s">
        <v>886</v>
      </c>
      <c r="F1870" t="s">
        <v>887</v>
      </c>
      <c r="G1870" s="1">
        <v>38929</v>
      </c>
      <c r="H1870" s="1">
        <v>38915</v>
      </c>
      <c r="I1870" t="s">
        <v>12</v>
      </c>
      <c r="J1870" t="s">
        <v>12640</v>
      </c>
    </row>
    <row r="1871" spans="1:10" x14ac:dyDescent="0.25">
      <c r="A1871">
        <v>266153</v>
      </c>
      <c r="B1871" t="s">
        <v>1965</v>
      </c>
      <c r="C1871" t="str">
        <f>"9781931448048"</f>
        <v>9781931448048</v>
      </c>
      <c r="D1871" t="str">
        <f>"9781931448055"</f>
        <v>9781931448055</v>
      </c>
      <c r="E1871" t="s">
        <v>280</v>
      </c>
      <c r="F1871" t="s">
        <v>280</v>
      </c>
      <c r="G1871" s="1">
        <v>38913</v>
      </c>
      <c r="H1871" s="1">
        <v>38913</v>
      </c>
      <c r="I1871" t="s">
        <v>12</v>
      </c>
      <c r="J1871" t="s">
        <v>12641</v>
      </c>
    </row>
    <row r="1872" spans="1:10" x14ac:dyDescent="0.25">
      <c r="A1872">
        <v>266251</v>
      </c>
      <c r="B1872" t="s">
        <v>1966</v>
      </c>
      <c r="C1872" t="str">
        <f>"9781588435187"</f>
        <v>9781588435187</v>
      </c>
      <c r="D1872" t="str">
        <f>"9781588436092"</f>
        <v>9781588436092</v>
      </c>
      <c r="E1872" t="s">
        <v>11</v>
      </c>
      <c r="F1872" t="s">
        <v>11</v>
      </c>
      <c r="G1872" s="1">
        <v>38596</v>
      </c>
      <c r="H1872" s="1">
        <v>39546</v>
      </c>
      <c r="I1872" t="s">
        <v>12</v>
      </c>
      <c r="J1872" t="s">
        <v>12642</v>
      </c>
    </row>
    <row r="1873" spans="1:10" x14ac:dyDescent="0.25">
      <c r="A1873">
        <v>266310</v>
      </c>
      <c r="B1873" t="s">
        <v>1967</v>
      </c>
      <c r="C1873" t="str">
        <f>"9780889368705"</f>
        <v>9780889368705</v>
      </c>
      <c r="D1873" t="str">
        <f>"9781552500439"</f>
        <v>9781552500439</v>
      </c>
      <c r="E1873" t="s">
        <v>1968</v>
      </c>
      <c r="F1873" t="s">
        <v>1969</v>
      </c>
      <c r="G1873" s="1">
        <v>36161</v>
      </c>
      <c r="H1873" s="1">
        <v>38917</v>
      </c>
      <c r="I1873" t="s">
        <v>12</v>
      </c>
      <c r="J1873" t="s">
        <v>12643</v>
      </c>
    </row>
    <row r="1874" spans="1:10" x14ac:dyDescent="0.25">
      <c r="A1874">
        <v>266324</v>
      </c>
      <c r="B1874" t="s">
        <v>1970</v>
      </c>
      <c r="C1874" t="str">
        <f>"9789812303028"</f>
        <v>9789812303028</v>
      </c>
      <c r="D1874" t="str">
        <f>"9781552501795"</f>
        <v>9781552501795</v>
      </c>
      <c r="E1874" t="s">
        <v>1968</v>
      </c>
      <c r="F1874" t="s">
        <v>1969</v>
      </c>
      <c r="G1874" s="1">
        <v>38533</v>
      </c>
      <c r="H1874" s="1">
        <v>38917</v>
      </c>
      <c r="I1874" t="s">
        <v>12</v>
      </c>
      <c r="J1874" t="s">
        <v>12644</v>
      </c>
    </row>
    <row r="1875" spans="1:10" x14ac:dyDescent="0.25">
      <c r="A1875">
        <v>266519</v>
      </c>
      <c r="B1875" t="s">
        <v>1971</v>
      </c>
      <c r="C1875" t="str">
        <f>"9780521793353"</f>
        <v>9780521793353</v>
      </c>
      <c r="D1875" t="str">
        <f>"9780511210921"</f>
        <v>9780511210921</v>
      </c>
      <c r="E1875" t="s">
        <v>18</v>
      </c>
      <c r="F1875" t="s">
        <v>18</v>
      </c>
      <c r="G1875" s="1">
        <v>38148</v>
      </c>
      <c r="H1875" s="1">
        <v>38918</v>
      </c>
      <c r="I1875" t="s">
        <v>12</v>
      </c>
      <c r="J1875" t="s">
        <v>12645</v>
      </c>
    </row>
    <row r="1876" spans="1:10" x14ac:dyDescent="0.25">
      <c r="A1876">
        <v>266525</v>
      </c>
      <c r="B1876" t="s">
        <v>1972</v>
      </c>
      <c r="C1876" t="str">
        <f>"9780521802567"</f>
        <v>9780521802567</v>
      </c>
      <c r="D1876" t="str">
        <f>"9780511210952"</f>
        <v>9780511210952</v>
      </c>
      <c r="E1876" t="s">
        <v>18</v>
      </c>
      <c r="F1876" t="s">
        <v>18</v>
      </c>
      <c r="G1876" s="1">
        <v>38145</v>
      </c>
      <c r="H1876" s="1">
        <v>38931</v>
      </c>
      <c r="I1876" t="s">
        <v>12</v>
      </c>
      <c r="J1876" t="s">
        <v>12646</v>
      </c>
    </row>
    <row r="1877" spans="1:10" x14ac:dyDescent="0.25">
      <c r="A1877">
        <v>266532</v>
      </c>
      <c r="B1877" t="s">
        <v>1973</v>
      </c>
      <c r="C1877" t="str">
        <f>"9780521809054"</f>
        <v>9780521809054</v>
      </c>
      <c r="D1877" t="str">
        <f>"9780511211539"</f>
        <v>9780511211539</v>
      </c>
      <c r="E1877" t="s">
        <v>18</v>
      </c>
      <c r="F1877" t="s">
        <v>18</v>
      </c>
      <c r="G1877" s="1">
        <v>38222</v>
      </c>
      <c r="H1877" s="1">
        <v>38928</v>
      </c>
      <c r="I1877" t="s">
        <v>12</v>
      </c>
      <c r="J1877" t="s">
        <v>12647</v>
      </c>
    </row>
    <row r="1878" spans="1:10" x14ac:dyDescent="0.25">
      <c r="A1878">
        <v>266538</v>
      </c>
      <c r="B1878" t="s">
        <v>1974</v>
      </c>
      <c r="C1878" t="str">
        <f>"9780521812658"</f>
        <v>9780521812658</v>
      </c>
      <c r="D1878" t="str">
        <f>"9780511210976"</f>
        <v>9780511210976</v>
      </c>
      <c r="E1878" t="s">
        <v>18</v>
      </c>
      <c r="F1878" t="s">
        <v>18</v>
      </c>
      <c r="G1878" s="1">
        <v>38169</v>
      </c>
      <c r="H1878" s="1">
        <v>38927</v>
      </c>
      <c r="I1878" t="s">
        <v>12</v>
      </c>
      <c r="J1878" t="s">
        <v>12648</v>
      </c>
    </row>
    <row r="1879" spans="1:10" x14ac:dyDescent="0.25">
      <c r="A1879">
        <v>266541</v>
      </c>
      <c r="B1879" t="s">
        <v>1975</v>
      </c>
      <c r="C1879" t="str">
        <f>"9780521813976"</f>
        <v>9780521813976</v>
      </c>
      <c r="D1879" t="str">
        <f>"9780511210600"</f>
        <v>9780511210600</v>
      </c>
      <c r="E1879" t="s">
        <v>18</v>
      </c>
      <c r="F1879" t="s">
        <v>18</v>
      </c>
      <c r="G1879" s="1">
        <v>38166</v>
      </c>
      <c r="H1879" s="1">
        <v>38918</v>
      </c>
      <c r="I1879" t="s">
        <v>12</v>
      </c>
      <c r="J1879" t="s">
        <v>12649</v>
      </c>
    </row>
    <row r="1880" spans="1:10" x14ac:dyDescent="0.25">
      <c r="A1880">
        <v>266544</v>
      </c>
      <c r="B1880" t="s">
        <v>1976</v>
      </c>
      <c r="C1880" t="str">
        <f>"9780521817295"</f>
        <v>9780521817295</v>
      </c>
      <c r="D1880" t="str">
        <f>"9780511210983"</f>
        <v>9780511210983</v>
      </c>
      <c r="E1880" t="s">
        <v>18</v>
      </c>
      <c r="F1880" t="s">
        <v>18</v>
      </c>
      <c r="G1880" s="1">
        <v>38200</v>
      </c>
      <c r="H1880" s="1">
        <v>38924</v>
      </c>
      <c r="I1880" t="s">
        <v>12</v>
      </c>
      <c r="J1880" t="s">
        <v>12650</v>
      </c>
    </row>
    <row r="1881" spans="1:10" x14ac:dyDescent="0.25">
      <c r="A1881">
        <v>266559</v>
      </c>
      <c r="B1881" t="s">
        <v>1977</v>
      </c>
      <c r="C1881" t="str">
        <f>"9780521825788"</f>
        <v>9780521825788</v>
      </c>
      <c r="D1881" t="str">
        <f>"9780511211065"</f>
        <v>9780511211065</v>
      </c>
      <c r="E1881" t="s">
        <v>18</v>
      </c>
      <c r="F1881" t="s">
        <v>18</v>
      </c>
      <c r="G1881" s="1">
        <v>38211</v>
      </c>
      <c r="H1881" s="1">
        <v>38923</v>
      </c>
      <c r="I1881" t="s">
        <v>12</v>
      </c>
      <c r="J1881" t="s">
        <v>12651</v>
      </c>
    </row>
    <row r="1882" spans="1:10" x14ac:dyDescent="0.25">
      <c r="A1882">
        <v>266571</v>
      </c>
      <c r="B1882" t="s">
        <v>1978</v>
      </c>
      <c r="C1882" t="str">
        <f>"9780521828260"</f>
        <v>9780521828260</v>
      </c>
      <c r="D1882" t="str">
        <f>"9780511210679"</f>
        <v>9780511210679</v>
      </c>
      <c r="E1882" t="s">
        <v>18</v>
      </c>
      <c r="F1882" t="s">
        <v>18</v>
      </c>
      <c r="G1882" s="1">
        <v>38117</v>
      </c>
      <c r="H1882" s="1">
        <v>38923</v>
      </c>
      <c r="I1882" t="s">
        <v>12</v>
      </c>
      <c r="J1882" t="s">
        <v>12652</v>
      </c>
    </row>
    <row r="1883" spans="1:10" x14ac:dyDescent="0.25">
      <c r="A1883">
        <v>266572</v>
      </c>
      <c r="B1883" t="s">
        <v>1979</v>
      </c>
      <c r="C1883" t="str">
        <f>"9780521828284"</f>
        <v>9780521828284</v>
      </c>
      <c r="D1883" t="str">
        <f>"9780511211690"</f>
        <v>9780511211690</v>
      </c>
      <c r="E1883" t="s">
        <v>18</v>
      </c>
      <c r="F1883" t="s">
        <v>18</v>
      </c>
      <c r="G1883" s="1">
        <v>38200</v>
      </c>
      <c r="H1883" s="1">
        <v>38924</v>
      </c>
      <c r="I1883" t="s">
        <v>12</v>
      </c>
      <c r="J1883" t="s">
        <v>12653</v>
      </c>
    </row>
    <row r="1884" spans="1:10" x14ac:dyDescent="0.25">
      <c r="A1884">
        <v>266591</v>
      </c>
      <c r="B1884" t="s">
        <v>1980</v>
      </c>
      <c r="C1884" t="str">
        <f>"9780521831710"</f>
        <v>9780521831710</v>
      </c>
      <c r="D1884" t="str">
        <f>"9780511211164"</f>
        <v>9780511211164</v>
      </c>
      <c r="E1884" t="s">
        <v>18</v>
      </c>
      <c r="F1884" t="s">
        <v>18</v>
      </c>
      <c r="G1884" s="1">
        <v>38169</v>
      </c>
      <c r="H1884" s="1">
        <v>38918</v>
      </c>
      <c r="I1884" t="s">
        <v>12</v>
      </c>
      <c r="J1884" t="s">
        <v>12654</v>
      </c>
    </row>
    <row r="1885" spans="1:10" x14ac:dyDescent="0.25">
      <c r="A1885">
        <v>266628</v>
      </c>
      <c r="B1885" t="s">
        <v>1981</v>
      </c>
      <c r="C1885" t="str">
        <f>"9780521836944"</f>
        <v>9780521836944</v>
      </c>
      <c r="D1885" t="str">
        <f>"9780511211287"</f>
        <v>9780511211287</v>
      </c>
      <c r="E1885" t="s">
        <v>18</v>
      </c>
      <c r="F1885" t="s">
        <v>18</v>
      </c>
      <c r="G1885" s="1">
        <v>38204</v>
      </c>
      <c r="H1885" s="1">
        <v>38924</v>
      </c>
      <c r="I1885" t="s">
        <v>12</v>
      </c>
      <c r="J1885" t="s">
        <v>12655</v>
      </c>
    </row>
    <row r="1886" spans="1:10" x14ac:dyDescent="0.25">
      <c r="A1886">
        <v>266643</v>
      </c>
      <c r="B1886" t="s">
        <v>1982</v>
      </c>
      <c r="C1886" t="str">
        <f>"9780521837880"</f>
        <v>9780521837880</v>
      </c>
      <c r="D1886" t="str">
        <f>"9780511211362"</f>
        <v>9780511211362</v>
      </c>
      <c r="E1886" t="s">
        <v>18</v>
      </c>
      <c r="F1886" t="s">
        <v>18</v>
      </c>
      <c r="G1886" s="1">
        <v>38225</v>
      </c>
      <c r="H1886" s="1">
        <v>38927</v>
      </c>
      <c r="I1886" t="s">
        <v>12</v>
      </c>
      <c r="J1886" t="s">
        <v>12656</v>
      </c>
    </row>
    <row r="1887" spans="1:10" x14ac:dyDescent="0.25">
      <c r="A1887">
        <v>266651</v>
      </c>
      <c r="B1887" t="s">
        <v>1983</v>
      </c>
      <c r="C1887" t="str">
        <f>"9780521838351"</f>
        <v>9780521838351</v>
      </c>
      <c r="D1887" t="str">
        <f>"9780511211409"</f>
        <v>9780511211409</v>
      </c>
      <c r="E1887" t="s">
        <v>18</v>
      </c>
      <c r="F1887" t="s">
        <v>18</v>
      </c>
      <c r="G1887" s="1">
        <v>38141</v>
      </c>
      <c r="H1887" s="1">
        <v>38928</v>
      </c>
      <c r="I1887" t="s">
        <v>12</v>
      </c>
      <c r="J1887" t="s">
        <v>12657</v>
      </c>
    </row>
    <row r="1888" spans="1:10" x14ac:dyDescent="0.25">
      <c r="A1888">
        <v>266655</v>
      </c>
      <c r="B1888" t="s">
        <v>1984</v>
      </c>
      <c r="C1888" t="str">
        <f>"9780521839198"</f>
        <v>9780521839198</v>
      </c>
      <c r="D1888" t="str">
        <f>"9780511212024"</f>
        <v>9780511212024</v>
      </c>
      <c r="E1888" t="s">
        <v>18</v>
      </c>
      <c r="F1888" t="s">
        <v>18</v>
      </c>
      <c r="G1888" s="1">
        <v>38201</v>
      </c>
      <c r="H1888" s="1">
        <v>38930</v>
      </c>
      <c r="I1888" t="s">
        <v>12</v>
      </c>
      <c r="J1888" t="s">
        <v>12658</v>
      </c>
    </row>
    <row r="1889" spans="1:10" x14ac:dyDescent="0.25">
      <c r="A1889">
        <v>266831</v>
      </c>
      <c r="B1889" t="s">
        <v>1985</v>
      </c>
      <c r="C1889" t="str">
        <f>"9781851094585"</f>
        <v>9781851094585</v>
      </c>
      <c r="D1889" t="str">
        <f>"9781851094639"</f>
        <v>9781851094639</v>
      </c>
      <c r="E1889" t="s">
        <v>1951</v>
      </c>
      <c r="F1889" t="s">
        <v>1951</v>
      </c>
      <c r="G1889" s="1">
        <v>38504</v>
      </c>
      <c r="H1889" s="1">
        <v>38923</v>
      </c>
      <c r="I1889" t="s">
        <v>12</v>
      </c>
      <c r="J1889" t="s">
        <v>12659</v>
      </c>
    </row>
    <row r="1890" spans="1:10" x14ac:dyDescent="0.25">
      <c r="A1890">
        <v>266845</v>
      </c>
      <c r="B1890" t="s">
        <v>1986</v>
      </c>
      <c r="C1890" t="str">
        <f>"9781576076224"</f>
        <v>9781576076224</v>
      </c>
      <c r="D1890" t="str">
        <f>"9781576076231"</f>
        <v>9781576076231</v>
      </c>
      <c r="E1890" t="s">
        <v>1951</v>
      </c>
      <c r="F1890" t="s">
        <v>1951</v>
      </c>
      <c r="G1890" s="1">
        <v>37789</v>
      </c>
      <c r="H1890" s="1">
        <v>38923</v>
      </c>
      <c r="I1890" t="s">
        <v>12</v>
      </c>
      <c r="J1890" t="s">
        <v>12660</v>
      </c>
    </row>
    <row r="1891" spans="1:10" x14ac:dyDescent="0.25">
      <c r="A1891">
        <v>266907</v>
      </c>
      <c r="B1891" t="s">
        <v>1987</v>
      </c>
      <c r="C1891" t="str">
        <f>"9781576070895"</f>
        <v>9781576070895</v>
      </c>
      <c r="D1891" t="str">
        <f>"9781851096893"</f>
        <v>9781851096893</v>
      </c>
      <c r="E1891" t="s">
        <v>1951</v>
      </c>
      <c r="F1891" t="s">
        <v>1951</v>
      </c>
      <c r="G1891" s="1">
        <v>38524</v>
      </c>
      <c r="H1891" s="1">
        <v>38923</v>
      </c>
      <c r="I1891" t="s">
        <v>12</v>
      </c>
      <c r="J1891" t="s">
        <v>12661</v>
      </c>
    </row>
    <row r="1892" spans="1:10" x14ac:dyDescent="0.25">
      <c r="A1892">
        <v>266913</v>
      </c>
      <c r="B1892" t="s">
        <v>1988</v>
      </c>
      <c r="C1892" t="str">
        <f>"9781851095032"</f>
        <v>9781851095032</v>
      </c>
      <c r="D1892" t="str">
        <f>"9781851095087"</f>
        <v>9781851095087</v>
      </c>
      <c r="E1892" t="s">
        <v>1951</v>
      </c>
      <c r="F1892" t="s">
        <v>1951</v>
      </c>
      <c r="G1892" s="1">
        <v>38659</v>
      </c>
      <c r="H1892" s="1">
        <v>38923</v>
      </c>
      <c r="I1892" t="s">
        <v>12</v>
      </c>
      <c r="J1892" t="s">
        <v>12662</v>
      </c>
    </row>
    <row r="1893" spans="1:10" x14ac:dyDescent="0.25">
      <c r="A1893">
        <v>267177</v>
      </c>
      <c r="B1893" t="s">
        <v>1989</v>
      </c>
      <c r="C1893" t="str">
        <f>"9780889369986"</f>
        <v>9780889369986</v>
      </c>
      <c r="D1893" t="str">
        <f>"9781552500200"</f>
        <v>9781552500200</v>
      </c>
      <c r="E1893" t="s">
        <v>1968</v>
      </c>
      <c r="F1893" t="s">
        <v>1969</v>
      </c>
      <c r="G1893" s="1">
        <v>37257</v>
      </c>
      <c r="H1893" s="1">
        <v>38928</v>
      </c>
      <c r="I1893" t="s">
        <v>12</v>
      </c>
      <c r="J1893" t="s">
        <v>12663</v>
      </c>
    </row>
    <row r="1894" spans="1:10" x14ac:dyDescent="0.25">
      <c r="A1894">
        <v>267178</v>
      </c>
      <c r="B1894" t="s">
        <v>1990</v>
      </c>
      <c r="C1894" t="str">
        <f>"9789068321487"</f>
        <v>9789068321487</v>
      </c>
      <c r="D1894" t="str">
        <f>"9781552500699"</f>
        <v>9781552500699</v>
      </c>
      <c r="E1894" t="s">
        <v>1968</v>
      </c>
      <c r="F1894" t="s">
        <v>1969</v>
      </c>
      <c r="G1894" s="1">
        <v>37622</v>
      </c>
      <c r="H1894" s="1">
        <v>38928</v>
      </c>
      <c r="I1894" t="s">
        <v>12</v>
      </c>
      <c r="J1894" t="s">
        <v>12664</v>
      </c>
    </row>
    <row r="1895" spans="1:10" x14ac:dyDescent="0.25">
      <c r="A1895">
        <v>267197</v>
      </c>
      <c r="B1895" t="s">
        <v>1991</v>
      </c>
      <c r="C1895" t="str">
        <f>"9780748624348"</f>
        <v>9780748624348</v>
      </c>
      <c r="D1895" t="str">
        <f>"9780748626953"</f>
        <v>9780748626953</v>
      </c>
      <c r="E1895" t="s">
        <v>1942</v>
      </c>
      <c r="F1895" t="s">
        <v>1942</v>
      </c>
      <c r="G1895" s="1">
        <v>38882</v>
      </c>
      <c r="H1895" s="1">
        <v>38930</v>
      </c>
      <c r="I1895" t="s">
        <v>12</v>
      </c>
      <c r="J1895" t="s">
        <v>12665</v>
      </c>
    </row>
    <row r="1896" spans="1:10" x14ac:dyDescent="0.25">
      <c r="A1896">
        <v>267202</v>
      </c>
      <c r="B1896" t="s">
        <v>1992</v>
      </c>
      <c r="C1896" t="str">
        <f>"9780748618484"</f>
        <v>9780748618484</v>
      </c>
      <c r="D1896" t="str">
        <f>"9780748627219"</f>
        <v>9780748627219</v>
      </c>
      <c r="E1896" t="s">
        <v>1942</v>
      </c>
      <c r="F1896" t="s">
        <v>1942</v>
      </c>
      <c r="G1896" s="1">
        <v>38883</v>
      </c>
      <c r="H1896" s="1">
        <v>38930</v>
      </c>
      <c r="I1896" t="s">
        <v>12</v>
      </c>
      <c r="J1896" t="s">
        <v>12666</v>
      </c>
    </row>
    <row r="1897" spans="1:10" x14ac:dyDescent="0.25">
      <c r="A1897">
        <v>267203</v>
      </c>
      <c r="B1897" t="s">
        <v>1993</v>
      </c>
      <c r="C1897" t="str">
        <f>"9780748623440"</f>
        <v>9780748623440</v>
      </c>
      <c r="D1897" t="str">
        <f>"9780748627271"</f>
        <v>9780748627271</v>
      </c>
      <c r="E1897" t="s">
        <v>1942</v>
      </c>
      <c r="F1897" t="s">
        <v>1942</v>
      </c>
      <c r="G1897" s="1">
        <v>38899</v>
      </c>
      <c r="H1897" s="1">
        <v>38930</v>
      </c>
      <c r="I1897" t="s">
        <v>12</v>
      </c>
      <c r="J1897" t="s">
        <v>12667</v>
      </c>
    </row>
    <row r="1898" spans="1:10" x14ac:dyDescent="0.25">
      <c r="A1898">
        <v>267206</v>
      </c>
      <c r="B1898" t="s">
        <v>1994</v>
      </c>
      <c r="C1898" t="str">
        <f>"9780748622122"</f>
        <v>9780748622122</v>
      </c>
      <c r="D1898" t="str">
        <f>"9780748627028"</f>
        <v>9780748627028</v>
      </c>
      <c r="E1898" t="s">
        <v>1942</v>
      </c>
      <c r="F1898" t="s">
        <v>1942</v>
      </c>
      <c r="G1898" s="1">
        <v>38899</v>
      </c>
      <c r="H1898" s="1">
        <v>38930</v>
      </c>
      <c r="I1898" t="s">
        <v>12</v>
      </c>
      <c r="J1898" t="s">
        <v>12668</v>
      </c>
    </row>
    <row r="1899" spans="1:10" x14ac:dyDescent="0.25">
      <c r="A1899">
        <v>267207</v>
      </c>
      <c r="B1899" t="s">
        <v>1995</v>
      </c>
      <c r="C1899" t="str">
        <f>"9780748623525"</f>
        <v>9780748623525</v>
      </c>
      <c r="D1899" t="str">
        <f>"9780748627059"</f>
        <v>9780748627059</v>
      </c>
      <c r="E1899" t="s">
        <v>1942</v>
      </c>
      <c r="F1899" t="s">
        <v>1942</v>
      </c>
      <c r="G1899" s="1">
        <v>38911</v>
      </c>
      <c r="H1899" s="1">
        <v>38930</v>
      </c>
      <c r="I1899" t="s">
        <v>12</v>
      </c>
      <c r="J1899" t="s">
        <v>12669</v>
      </c>
    </row>
    <row r="1900" spans="1:10" x14ac:dyDescent="0.25">
      <c r="A1900">
        <v>267208</v>
      </c>
      <c r="B1900" t="s">
        <v>1996</v>
      </c>
      <c r="C1900" t="str">
        <f>"9780748621842"</f>
        <v>9780748621842</v>
      </c>
      <c r="D1900" t="str">
        <f>"9780748627189"</f>
        <v>9780748627189</v>
      </c>
      <c r="E1900" t="s">
        <v>1942</v>
      </c>
      <c r="F1900" t="s">
        <v>1942</v>
      </c>
      <c r="G1900" s="1">
        <v>38916</v>
      </c>
      <c r="H1900" s="1">
        <v>38930</v>
      </c>
      <c r="I1900" t="s">
        <v>12</v>
      </c>
      <c r="J1900" t="s">
        <v>12670</v>
      </c>
    </row>
    <row r="1901" spans="1:10" x14ac:dyDescent="0.25">
      <c r="A1901">
        <v>267383</v>
      </c>
      <c r="B1901" t="s">
        <v>1997</v>
      </c>
      <c r="C1901" t="str">
        <f>"9781571103963"</f>
        <v>9781571103963</v>
      </c>
      <c r="D1901" t="str">
        <f>"9781571104939"</f>
        <v>9781571104939</v>
      </c>
      <c r="E1901" t="s">
        <v>1329</v>
      </c>
      <c r="F1901" t="s">
        <v>1330</v>
      </c>
      <c r="G1901" s="1">
        <v>34335</v>
      </c>
      <c r="H1901" s="1">
        <v>38931</v>
      </c>
      <c r="I1901" t="s">
        <v>12</v>
      </c>
      <c r="J1901" t="s">
        <v>12671</v>
      </c>
    </row>
    <row r="1902" spans="1:10" x14ac:dyDescent="0.25">
      <c r="A1902">
        <v>267384</v>
      </c>
      <c r="B1902" t="s">
        <v>1998</v>
      </c>
      <c r="C1902" t="str">
        <f>"9781571100856"</f>
        <v>9781571100856</v>
      </c>
      <c r="D1902" t="str">
        <f>"9781571104946"</f>
        <v>9781571104946</v>
      </c>
      <c r="E1902" t="s">
        <v>1329</v>
      </c>
      <c r="F1902" t="s">
        <v>1330</v>
      </c>
      <c r="G1902" s="1">
        <v>36404</v>
      </c>
      <c r="H1902" s="1">
        <v>38931</v>
      </c>
      <c r="I1902" t="s">
        <v>12</v>
      </c>
      <c r="J1902" t="s">
        <v>12672</v>
      </c>
    </row>
    <row r="1903" spans="1:10" x14ac:dyDescent="0.25">
      <c r="A1903">
        <v>267390</v>
      </c>
      <c r="B1903" t="s">
        <v>1999</v>
      </c>
      <c r="C1903" t="str">
        <f>"9780520245099"</f>
        <v>9780520245099</v>
      </c>
      <c r="D1903" t="str">
        <f>"9780520938847"</f>
        <v>9780520938847</v>
      </c>
      <c r="E1903" t="s">
        <v>2000</v>
      </c>
      <c r="F1903" t="s">
        <v>2000</v>
      </c>
      <c r="G1903" s="1">
        <v>38913</v>
      </c>
      <c r="H1903" s="1">
        <v>42328</v>
      </c>
      <c r="I1903" t="s">
        <v>12</v>
      </c>
      <c r="J1903" t="s">
        <v>12673</v>
      </c>
    </row>
    <row r="1904" spans="1:10" x14ac:dyDescent="0.25">
      <c r="A1904">
        <v>267401</v>
      </c>
      <c r="B1904" t="s">
        <v>2001</v>
      </c>
      <c r="C1904" t="str">
        <f>"9781846630408"</f>
        <v>9781846630408</v>
      </c>
      <c r="D1904" t="str">
        <f>"9781846630415"</f>
        <v>9781846630415</v>
      </c>
      <c r="E1904" t="s">
        <v>1116</v>
      </c>
      <c r="F1904" t="s">
        <v>1117</v>
      </c>
      <c r="G1904" s="1">
        <v>38891</v>
      </c>
      <c r="H1904" s="1">
        <v>38938</v>
      </c>
      <c r="I1904" t="s">
        <v>12</v>
      </c>
      <c r="J1904" t="s">
        <v>12674</v>
      </c>
    </row>
    <row r="1905" spans="1:10" x14ac:dyDescent="0.25">
      <c r="A1905">
        <v>267402</v>
      </c>
      <c r="B1905" t="s">
        <v>2002</v>
      </c>
      <c r="C1905" t="str">
        <f>"9781845449568"</f>
        <v>9781845449568</v>
      </c>
      <c r="D1905" t="str">
        <f>"9781845449575"</f>
        <v>9781845449575</v>
      </c>
      <c r="E1905" t="s">
        <v>1116</v>
      </c>
      <c r="F1905" t="s">
        <v>1117</v>
      </c>
      <c r="G1905" s="1">
        <v>38814</v>
      </c>
      <c r="H1905" s="1">
        <v>38938</v>
      </c>
      <c r="I1905" t="s">
        <v>12</v>
      </c>
      <c r="J1905" t="s">
        <v>12675</v>
      </c>
    </row>
    <row r="1906" spans="1:10" x14ac:dyDescent="0.25">
      <c r="A1906">
        <v>267410</v>
      </c>
      <c r="B1906" t="s">
        <v>2003</v>
      </c>
      <c r="C1906" t="str">
        <f>"9781845449704"</f>
        <v>9781845449704</v>
      </c>
      <c r="D1906" t="str">
        <f>"9781845449711"</f>
        <v>9781845449711</v>
      </c>
      <c r="E1906" t="s">
        <v>1116</v>
      </c>
      <c r="F1906" t="s">
        <v>1117</v>
      </c>
      <c r="G1906" s="1">
        <v>38856</v>
      </c>
      <c r="H1906" s="1">
        <v>38938</v>
      </c>
      <c r="I1906" t="s">
        <v>12</v>
      </c>
      <c r="J1906" t="s">
        <v>12676</v>
      </c>
    </row>
    <row r="1907" spans="1:10" x14ac:dyDescent="0.25">
      <c r="A1907">
        <v>267412</v>
      </c>
      <c r="B1907" t="s">
        <v>2004</v>
      </c>
      <c r="C1907" t="str">
        <f>"9781846630989"</f>
        <v>9781846630989</v>
      </c>
      <c r="D1907" t="str">
        <f>"9781846630996"</f>
        <v>9781846630996</v>
      </c>
      <c r="E1907" t="s">
        <v>1116</v>
      </c>
      <c r="F1907" t="s">
        <v>1117</v>
      </c>
      <c r="G1907" s="1">
        <v>38898</v>
      </c>
      <c r="H1907" s="1">
        <v>38938</v>
      </c>
      <c r="I1907" t="s">
        <v>12</v>
      </c>
      <c r="J1907" t="s">
        <v>12677</v>
      </c>
    </row>
    <row r="1908" spans="1:10" x14ac:dyDescent="0.25">
      <c r="A1908">
        <v>267414</v>
      </c>
      <c r="B1908" t="s">
        <v>2005</v>
      </c>
      <c r="C1908" t="str">
        <f>"9781845449360"</f>
        <v>9781845449360</v>
      </c>
      <c r="D1908" t="str">
        <f>"9781845449377"</f>
        <v>9781845449377</v>
      </c>
      <c r="E1908" t="s">
        <v>1116</v>
      </c>
      <c r="F1908" t="s">
        <v>1117</v>
      </c>
      <c r="G1908" s="1">
        <v>38842</v>
      </c>
      <c r="H1908" s="1">
        <v>38938</v>
      </c>
      <c r="I1908" t="s">
        <v>12</v>
      </c>
      <c r="J1908" t="s">
        <v>12678</v>
      </c>
    </row>
    <row r="1909" spans="1:10" x14ac:dyDescent="0.25">
      <c r="A1909">
        <v>267417</v>
      </c>
      <c r="B1909" t="s">
        <v>2006</v>
      </c>
      <c r="C1909" t="str">
        <f>"9781845449742"</f>
        <v>9781845449742</v>
      </c>
      <c r="D1909" t="str">
        <f>"9781845449759"</f>
        <v>9781845449759</v>
      </c>
      <c r="E1909" t="s">
        <v>1116</v>
      </c>
      <c r="F1909" t="s">
        <v>1117</v>
      </c>
      <c r="G1909" s="1">
        <v>38821</v>
      </c>
      <c r="H1909" s="1">
        <v>38938</v>
      </c>
      <c r="I1909" t="s">
        <v>12</v>
      </c>
      <c r="J1909" t="s">
        <v>12679</v>
      </c>
    </row>
    <row r="1910" spans="1:10" x14ac:dyDescent="0.25">
      <c r="A1910">
        <v>267423</v>
      </c>
      <c r="B1910" t="s">
        <v>2007</v>
      </c>
      <c r="C1910" t="str">
        <f>"9781846630484"</f>
        <v>9781846630484</v>
      </c>
      <c r="D1910" t="str">
        <f>"9781846630491"</f>
        <v>9781846630491</v>
      </c>
      <c r="E1910" t="s">
        <v>1116</v>
      </c>
      <c r="F1910" t="s">
        <v>1117</v>
      </c>
      <c r="G1910" s="1">
        <v>38898</v>
      </c>
      <c r="H1910" s="1">
        <v>38940</v>
      </c>
      <c r="I1910" t="s">
        <v>12</v>
      </c>
      <c r="J1910" t="s">
        <v>12680</v>
      </c>
    </row>
    <row r="1911" spans="1:10" x14ac:dyDescent="0.25">
      <c r="A1911">
        <v>267432</v>
      </c>
      <c r="B1911" t="s">
        <v>2008</v>
      </c>
      <c r="C1911" t="str">
        <f>"9781846630507"</f>
        <v>9781846630507</v>
      </c>
      <c r="D1911" t="str">
        <f>"9781846630514"</f>
        <v>9781846630514</v>
      </c>
      <c r="E1911" t="s">
        <v>1116</v>
      </c>
      <c r="F1911" t="s">
        <v>1117</v>
      </c>
      <c r="G1911" s="1">
        <v>38898</v>
      </c>
      <c r="H1911" s="1">
        <v>38944</v>
      </c>
      <c r="I1911" t="s">
        <v>12</v>
      </c>
      <c r="J1911" t="s">
        <v>12681</v>
      </c>
    </row>
    <row r="1912" spans="1:10" x14ac:dyDescent="0.25">
      <c r="A1912">
        <v>267467</v>
      </c>
      <c r="B1912" t="s">
        <v>2009</v>
      </c>
      <c r="C1912" t="str">
        <f>"9781845449483"</f>
        <v>9781845449483</v>
      </c>
      <c r="D1912" t="str">
        <f>"9781845449490"</f>
        <v>9781845449490</v>
      </c>
      <c r="E1912" t="s">
        <v>1116</v>
      </c>
      <c r="F1912" t="s">
        <v>1117</v>
      </c>
      <c r="G1912" s="1">
        <v>38842</v>
      </c>
      <c r="H1912" s="1">
        <v>38938</v>
      </c>
      <c r="I1912" t="s">
        <v>12</v>
      </c>
      <c r="J1912" t="s">
        <v>12682</v>
      </c>
    </row>
    <row r="1913" spans="1:10" x14ac:dyDescent="0.25">
      <c r="A1913">
        <v>267557</v>
      </c>
      <c r="B1913" t="s">
        <v>2010</v>
      </c>
      <c r="C1913" t="str">
        <f>"9781846730320"</f>
        <v>9781846730320</v>
      </c>
      <c r="D1913" t="str">
        <f>"9781846730337"</f>
        <v>9781846730337</v>
      </c>
      <c r="E1913" t="s">
        <v>1437</v>
      </c>
      <c r="F1913" t="s">
        <v>1437</v>
      </c>
      <c r="G1913" s="1">
        <v>38898</v>
      </c>
      <c r="H1913" s="1">
        <v>38944</v>
      </c>
      <c r="I1913" t="s">
        <v>12</v>
      </c>
      <c r="J1913" t="s">
        <v>12683</v>
      </c>
    </row>
    <row r="1914" spans="1:10" x14ac:dyDescent="0.25">
      <c r="A1914">
        <v>267564</v>
      </c>
      <c r="B1914" t="s">
        <v>2011</v>
      </c>
      <c r="C1914" t="str">
        <f>"9781846730108"</f>
        <v>9781846730108</v>
      </c>
      <c r="D1914" t="str">
        <f>"9781846730115"</f>
        <v>9781846730115</v>
      </c>
      <c r="E1914" t="s">
        <v>1437</v>
      </c>
      <c r="F1914" t="s">
        <v>1437</v>
      </c>
      <c r="G1914" s="1">
        <v>39021</v>
      </c>
      <c r="H1914" s="1">
        <v>39084</v>
      </c>
      <c r="I1914" t="s">
        <v>12</v>
      </c>
      <c r="J1914" t="s">
        <v>12684</v>
      </c>
    </row>
    <row r="1915" spans="1:10" x14ac:dyDescent="0.25">
      <c r="A1915">
        <v>267610</v>
      </c>
      <c r="B1915" t="s">
        <v>2012</v>
      </c>
      <c r="C1915" t="str">
        <f>"9780815797258"</f>
        <v>9780815797258</v>
      </c>
      <c r="D1915" t="str">
        <f>"9780815797852"</f>
        <v>9780815797852</v>
      </c>
      <c r="E1915" t="s">
        <v>2013</v>
      </c>
      <c r="F1915" t="s">
        <v>2013</v>
      </c>
      <c r="G1915" s="1">
        <v>38639</v>
      </c>
      <c r="H1915" s="1">
        <v>38933</v>
      </c>
      <c r="I1915" t="s">
        <v>12</v>
      </c>
      <c r="J1915" t="s">
        <v>12685</v>
      </c>
    </row>
    <row r="1916" spans="1:10" x14ac:dyDescent="0.25">
      <c r="A1916">
        <v>267613</v>
      </c>
      <c r="B1916" t="s">
        <v>2014</v>
      </c>
      <c r="C1916" t="str">
        <f>"9780815754046"</f>
        <v>9780815754046</v>
      </c>
      <c r="D1916" t="str">
        <f>"9780815797869"</f>
        <v>9780815797869</v>
      </c>
      <c r="E1916" t="s">
        <v>2013</v>
      </c>
      <c r="F1916" t="s">
        <v>2013</v>
      </c>
      <c r="G1916" s="1">
        <v>38590</v>
      </c>
      <c r="H1916" s="1">
        <v>38933</v>
      </c>
      <c r="I1916" t="s">
        <v>12</v>
      </c>
      <c r="J1916" t="s">
        <v>12686</v>
      </c>
    </row>
    <row r="1917" spans="1:10" x14ac:dyDescent="0.25">
      <c r="A1917">
        <v>267615</v>
      </c>
      <c r="B1917" t="s">
        <v>2015</v>
      </c>
      <c r="C1917" t="str">
        <f>"9780815712893"</f>
        <v>9780815712893</v>
      </c>
      <c r="D1917" t="str">
        <f>"9780815797968"</f>
        <v>9780815797968</v>
      </c>
      <c r="E1917" t="s">
        <v>2013</v>
      </c>
      <c r="F1917" t="s">
        <v>2013</v>
      </c>
      <c r="G1917" s="1">
        <v>38692</v>
      </c>
      <c r="H1917" s="1">
        <v>38933</v>
      </c>
      <c r="I1917" t="s">
        <v>12</v>
      </c>
      <c r="J1917" t="s">
        <v>12687</v>
      </c>
    </row>
    <row r="1918" spans="1:10" x14ac:dyDescent="0.25">
      <c r="A1918">
        <v>267616</v>
      </c>
      <c r="B1918" t="s">
        <v>2016</v>
      </c>
      <c r="C1918" t="str">
        <f>"9780815753322"</f>
        <v>9780815753322</v>
      </c>
      <c r="D1918" t="str">
        <f>"9780815797975"</f>
        <v>9780815797975</v>
      </c>
      <c r="E1918" t="s">
        <v>2013</v>
      </c>
      <c r="F1918" t="s">
        <v>2013</v>
      </c>
      <c r="G1918" s="1">
        <v>38695</v>
      </c>
      <c r="H1918" s="1">
        <v>38933</v>
      </c>
      <c r="I1918" t="s">
        <v>12</v>
      </c>
      <c r="J1918" t="s">
        <v>12688</v>
      </c>
    </row>
    <row r="1919" spans="1:10" x14ac:dyDescent="0.25">
      <c r="A1919">
        <v>267621</v>
      </c>
      <c r="B1919" t="s">
        <v>2017</v>
      </c>
      <c r="C1919" t="str">
        <f>"9780815751137"</f>
        <v>9780815751137</v>
      </c>
      <c r="D1919" t="str">
        <f>"9780815797821"</f>
        <v>9780815797821</v>
      </c>
      <c r="E1919" t="s">
        <v>2013</v>
      </c>
      <c r="F1919" t="s">
        <v>2013</v>
      </c>
      <c r="G1919" s="1">
        <v>38541</v>
      </c>
      <c r="H1919" s="1">
        <v>38933</v>
      </c>
      <c r="I1919" t="s">
        <v>12</v>
      </c>
      <c r="J1919" t="s">
        <v>12689</v>
      </c>
    </row>
    <row r="1920" spans="1:10" x14ac:dyDescent="0.25">
      <c r="A1920">
        <v>267628</v>
      </c>
      <c r="B1920" t="s">
        <v>2018</v>
      </c>
      <c r="C1920" t="str">
        <f>"9780815748274"</f>
        <v>9780815748274</v>
      </c>
      <c r="D1920" t="str">
        <f>"9780815797890"</f>
        <v>9780815797890</v>
      </c>
      <c r="E1920" t="s">
        <v>2013</v>
      </c>
      <c r="F1920" t="s">
        <v>2013</v>
      </c>
      <c r="G1920" s="1">
        <v>38569</v>
      </c>
      <c r="H1920" s="1">
        <v>38933</v>
      </c>
      <c r="I1920" t="s">
        <v>12</v>
      </c>
      <c r="J1920" t="s">
        <v>12690</v>
      </c>
    </row>
    <row r="1921" spans="1:10" x14ac:dyDescent="0.25">
      <c r="A1921">
        <v>267629</v>
      </c>
      <c r="B1921" t="s">
        <v>2019</v>
      </c>
      <c r="C1921" t="str">
        <f>"9780815716907"</f>
        <v>9780815716907</v>
      </c>
      <c r="D1921" t="str">
        <f>"9780815716877"</f>
        <v>9780815716877</v>
      </c>
      <c r="E1921" t="s">
        <v>2013</v>
      </c>
      <c r="F1921" t="s">
        <v>2013</v>
      </c>
      <c r="G1921" s="1">
        <v>38727</v>
      </c>
      <c r="H1921" s="1">
        <v>38933</v>
      </c>
      <c r="I1921" t="s">
        <v>12</v>
      </c>
      <c r="J1921" t="s">
        <v>12691</v>
      </c>
    </row>
    <row r="1922" spans="1:10" x14ac:dyDescent="0.25">
      <c r="A1922">
        <v>267639</v>
      </c>
      <c r="B1922" t="s">
        <v>2020</v>
      </c>
      <c r="C1922" t="str">
        <f>"9780815708490"</f>
        <v>9780815708490</v>
      </c>
      <c r="D1922" t="str">
        <f>"9780815708483"</f>
        <v>9780815708483</v>
      </c>
      <c r="E1922" t="s">
        <v>2013</v>
      </c>
      <c r="F1922" t="s">
        <v>2021</v>
      </c>
      <c r="G1922" s="1">
        <v>38751</v>
      </c>
      <c r="H1922" s="1">
        <v>38933</v>
      </c>
      <c r="I1922" t="s">
        <v>12</v>
      </c>
      <c r="J1922" t="s">
        <v>12692</v>
      </c>
    </row>
    <row r="1923" spans="1:10" x14ac:dyDescent="0.25">
      <c r="A1923">
        <v>267641</v>
      </c>
      <c r="B1923" t="s">
        <v>2022</v>
      </c>
      <c r="C1923" t="str">
        <f>"9780815712886"</f>
        <v>9780815712886</v>
      </c>
      <c r="D1923" t="str">
        <f>"9780815797814"</f>
        <v>9780815797814</v>
      </c>
      <c r="E1923" t="s">
        <v>2013</v>
      </c>
      <c r="F1923" t="s">
        <v>2013</v>
      </c>
      <c r="G1923" s="1">
        <v>38657</v>
      </c>
      <c r="H1923" s="1">
        <v>38952</v>
      </c>
      <c r="I1923" t="s">
        <v>12</v>
      </c>
      <c r="J1923" t="s">
        <v>12693</v>
      </c>
    </row>
    <row r="1924" spans="1:10" x14ac:dyDescent="0.25">
      <c r="A1924">
        <v>267730</v>
      </c>
      <c r="B1924" t="s">
        <v>2023</v>
      </c>
      <c r="C1924" t="str">
        <f>"9781576079522"</f>
        <v>9781576079522</v>
      </c>
      <c r="D1924" t="str">
        <f>"9781576079539"</f>
        <v>9781576079539</v>
      </c>
      <c r="E1924" t="s">
        <v>1951</v>
      </c>
      <c r="F1924" t="s">
        <v>1951</v>
      </c>
      <c r="G1924" s="1">
        <v>38903</v>
      </c>
      <c r="H1924" s="1">
        <v>38945</v>
      </c>
      <c r="I1924" t="s">
        <v>12</v>
      </c>
      <c r="J1924" t="s">
        <v>12694</v>
      </c>
    </row>
    <row r="1925" spans="1:10" x14ac:dyDescent="0.25">
      <c r="A1925">
        <v>267733</v>
      </c>
      <c r="B1925" t="s">
        <v>2024</v>
      </c>
      <c r="C1925" t="str">
        <f>"9781851097937"</f>
        <v>9781851097937</v>
      </c>
      <c r="D1925" t="str">
        <f>"9781851097982"</f>
        <v>9781851097982</v>
      </c>
      <c r="E1925" t="s">
        <v>1951</v>
      </c>
      <c r="F1925" t="s">
        <v>1951</v>
      </c>
      <c r="G1925" s="1">
        <v>38903</v>
      </c>
      <c r="H1925" s="1">
        <v>38939</v>
      </c>
      <c r="I1925" t="s">
        <v>12</v>
      </c>
      <c r="J1925" t="s">
        <v>12695</v>
      </c>
    </row>
    <row r="1926" spans="1:10" x14ac:dyDescent="0.25">
      <c r="A1926">
        <v>267941</v>
      </c>
      <c r="B1926" t="s">
        <v>2025</v>
      </c>
      <c r="C1926" t="str">
        <f>"9780849336690"</f>
        <v>9780849336690</v>
      </c>
      <c r="D1926" t="str">
        <f>"9781420005387"</f>
        <v>9781420005387</v>
      </c>
      <c r="E1926" t="s">
        <v>15</v>
      </c>
      <c r="F1926" t="s">
        <v>139</v>
      </c>
      <c r="G1926" s="1">
        <v>38917</v>
      </c>
      <c r="H1926" s="1">
        <v>39016</v>
      </c>
      <c r="I1926" t="s">
        <v>12</v>
      </c>
      <c r="J1926" t="s">
        <v>12696</v>
      </c>
    </row>
    <row r="1927" spans="1:10" x14ac:dyDescent="0.25">
      <c r="A1927">
        <v>267956</v>
      </c>
      <c r="B1927" t="s">
        <v>2026</v>
      </c>
      <c r="C1927" t="str">
        <f>"9780849370878"</f>
        <v>9780849370878</v>
      </c>
      <c r="D1927" t="str">
        <f>"9781420013412"</f>
        <v>9781420013412</v>
      </c>
      <c r="E1927" t="s">
        <v>667</v>
      </c>
      <c r="F1927" t="s">
        <v>667</v>
      </c>
      <c r="G1927" s="1">
        <v>38918</v>
      </c>
      <c r="H1927" s="1">
        <v>39016</v>
      </c>
      <c r="I1927" t="s">
        <v>12</v>
      </c>
      <c r="J1927" t="s">
        <v>12697</v>
      </c>
    </row>
    <row r="1928" spans="1:10" x14ac:dyDescent="0.25">
      <c r="A1928">
        <v>267958</v>
      </c>
      <c r="B1928" t="s">
        <v>2027</v>
      </c>
      <c r="C1928" t="str">
        <f>"9780849382154"</f>
        <v>9780849382154</v>
      </c>
      <c r="D1928" t="str">
        <f>"9781420013665"</f>
        <v>9781420013665</v>
      </c>
      <c r="E1928" t="s">
        <v>1900</v>
      </c>
      <c r="F1928" t="s">
        <v>1900</v>
      </c>
      <c r="G1928" s="1">
        <v>38917</v>
      </c>
      <c r="H1928" s="1">
        <v>39016</v>
      </c>
      <c r="I1928" t="s">
        <v>12</v>
      </c>
      <c r="J1928" t="s">
        <v>12698</v>
      </c>
    </row>
    <row r="1929" spans="1:10" x14ac:dyDescent="0.25">
      <c r="A1929">
        <v>267959</v>
      </c>
      <c r="B1929" t="s">
        <v>2028</v>
      </c>
      <c r="C1929" t="str">
        <f>"9780849340260"</f>
        <v>9780849340260</v>
      </c>
      <c r="D1929" t="str">
        <f>"9781420013931"</f>
        <v>9781420013931</v>
      </c>
      <c r="E1929" t="s">
        <v>15</v>
      </c>
      <c r="F1929" t="s">
        <v>139</v>
      </c>
      <c r="G1929" s="1">
        <v>38895</v>
      </c>
      <c r="H1929" s="1">
        <v>39016</v>
      </c>
      <c r="I1929" t="s">
        <v>12</v>
      </c>
      <c r="J1929" t="s">
        <v>12699</v>
      </c>
    </row>
    <row r="1930" spans="1:10" x14ac:dyDescent="0.25">
      <c r="A1930">
        <v>267970</v>
      </c>
      <c r="B1930" t="s">
        <v>2029</v>
      </c>
      <c r="C1930" t="str">
        <f>"9780849328411"</f>
        <v>9780849328411</v>
      </c>
      <c r="D1930" t="str">
        <f>"9781420004359"</f>
        <v>9781420004359</v>
      </c>
      <c r="E1930" t="s">
        <v>144</v>
      </c>
      <c r="F1930" t="s">
        <v>144</v>
      </c>
      <c r="G1930" s="1">
        <v>38925</v>
      </c>
      <c r="H1930" s="1">
        <v>42102</v>
      </c>
      <c r="I1930" t="s">
        <v>12</v>
      </c>
      <c r="J1930" t="s">
        <v>12700</v>
      </c>
    </row>
    <row r="1931" spans="1:10" x14ac:dyDescent="0.25">
      <c r="A1931">
        <v>267974</v>
      </c>
      <c r="B1931" t="s">
        <v>2030</v>
      </c>
      <c r="C1931" t="str">
        <f>"9780849390135"</f>
        <v>9780849390135</v>
      </c>
      <c r="D1931" t="str">
        <f>"9781420008319"</f>
        <v>9781420008319</v>
      </c>
      <c r="E1931" t="s">
        <v>15</v>
      </c>
      <c r="F1931" t="s">
        <v>139</v>
      </c>
      <c r="G1931" s="1">
        <v>38926</v>
      </c>
      <c r="H1931" s="1">
        <v>39107</v>
      </c>
      <c r="I1931" t="s">
        <v>12</v>
      </c>
      <c r="J1931" t="s">
        <v>12701</v>
      </c>
    </row>
    <row r="1932" spans="1:10" x14ac:dyDescent="0.25">
      <c r="A1932">
        <v>268230</v>
      </c>
      <c r="B1932" t="s">
        <v>2031</v>
      </c>
      <c r="C1932" t="str">
        <f>"9780521848541"</f>
        <v>9780521848541</v>
      </c>
      <c r="D1932" t="str">
        <f>"9780511224324"</f>
        <v>9780511224324</v>
      </c>
      <c r="E1932" t="s">
        <v>18</v>
      </c>
      <c r="F1932" t="s">
        <v>18</v>
      </c>
      <c r="G1932" s="1">
        <v>38838</v>
      </c>
      <c r="H1932" s="1">
        <v>38947</v>
      </c>
      <c r="I1932" t="s">
        <v>12</v>
      </c>
      <c r="J1932" t="s">
        <v>12702</v>
      </c>
    </row>
    <row r="1933" spans="1:10" x14ac:dyDescent="0.25">
      <c r="A1933">
        <v>268256</v>
      </c>
      <c r="B1933" t="s">
        <v>2032</v>
      </c>
      <c r="C1933" t="str">
        <f>"9780521862806"</f>
        <v>9780521862806</v>
      </c>
      <c r="D1933" t="str">
        <f>"9780511224584"</f>
        <v>9780511224584</v>
      </c>
      <c r="E1933" t="s">
        <v>18</v>
      </c>
      <c r="F1933" t="s">
        <v>18</v>
      </c>
      <c r="G1933" s="1">
        <v>38873</v>
      </c>
      <c r="H1933" s="1">
        <v>38950</v>
      </c>
      <c r="I1933" t="s">
        <v>12</v>
      </c>
      <c r="J1933" t="s">
        <v>12703</v>
      </c>
    </row>
    <row r="1934" spans="1:10" x14ac:dyDescent="0.25">
      <c r="A1934">
        <v>268601</v>
      </c>
      <c r="B1934" t="s">
        <v>2033</v>
      </c>
      <c r="C1934" t="str">
        <f>"9780415371766"</f>
        <v>9780415371766</v>
      </c>
      <c r="D1934" t="str">
        <f>"9780203969830"</f>
        <v>9780203969830</v>
      </c>
      <c r="E1934" t="s">
        <v>15</v>
      </c>
      <c r="F1934" t="s">
        <v>16</v>
      </c>
      <c r="G1934" s="1">
        <v>38854</v>
      </c>
      <c r="H1934" s="1">
        <v>38947</v>
      </c>
      <c r="I1934" t="s">
        <v>12</v>
      </c>
      <c r="J1934" t="s">
        <v>12704</v>
      </c>
    </row>
    <row r="1935" spans="1:10" x14ac:dyDescent="0.25">
      <c r="A1935">
        <v>268604</v>
      </c>
      <c r="B1935" t="s">
        <v>2034</v>
      </c>
      <c r="C1935" t="str">
        <f>"9780415383943"</f>
        <v>9780415383943</v>
      </c>
      <c r="D1935" t="str">
        <f>"9780203099896"</f>
        <v>9780203099896</v>
      </c>
      <c r="E1935" t="s">
        <v>15</v>
      </c>
      <c r="F1935" t="s">
        <v>16</v>
      </c>
      <c r="G1935" s="1">
        <v>38891</v>
      </c>
      <c r="H1935" s="1">
        <v>38947</v>
      </c>
      <c r="I1935" t="s">
        <v>12</v>
      </c>
      <c r="J1935" t="s">
        <v>12705</v>
      </c>
    </row>
    <row r="1936" spans="1:10" x14ac:dyDescent="0.25">
      <c r="A1936">
        <v>268606</v>
      </c>
      <c r="B1936" t="s">
        <v>2035</v>
      </c>
      <c r="C1936" t="str">
        <f>"9780415372947"</f>
        <v>9780415372947</v>
      </c>
      <c r="D1936" t="str">
        <f>"9780203098783"</f>
        <v>9780203098783</v>
      </c>
      <c r="E1936" t="s">
        <v>16</v>
      </c>
      <c r="F1936" t="s">
        <v>16</v>
      </c>
      <c r="G1936" s="1">
        <v>38881</v>
      </c>
      <c r="H1936" s="1">
        <v>38947</v>
      </c>
      <c r="I1936" t="s">
        <v>12</v>
      </c>
      <c r="J1936" t="s">
        <v>12706</v>
      </c>
    </row>
    <row r="1937" spans="1:10" x14ac:dyDescent="0.25">
      <c r="A1937">
        <v>268609</v>
      </c>
      <c r="B1937" t="s">
        <v>2036</v>
      </c>
      <c r="C1937" t="str">
        <f>"9780415342995"</f>
        <v>9780415342995</v>
      </c>
      <c r="D1937" t="str">
        <f>"9780203482285"</f>
        <v>9780203482285</v>
      </c>
      <c r="E1937" t="s">
        <v>15</v>
      </c>
      <c r="F1937" t="s">
        <v>16</v>
      </c>
      <c r="G1937" s="1">
        <v>38734</v>
      </c>
      <c r="H1937" s="1">
        <v>38947</v>
      </c>
      <c r="I1937" t="s">
        <v>12</v>
      </c>
      <c r="J1937" t="s">
        <v>12707</v>
      </c>
    </row>
    <row r="1938" spans="1:10" x14ac:dyDescent="0.25">
      <c r="A1938">
        <v>268611</v>
      </c>
      <c r="B1938" t="s">
        <v>2037</v>
      </c>
      <c r="C1938" t="str">
        <f>"9780415374316"</f>
        <v>9780415374316</v>
      </c>
      <c r="D1938" t="str">
        <f>"9780203098899"</f>
        <v>9780203098899</v>
      </c>
      <c r="E1938" t="s">
        <v>15</v>
      </c>
      <c r="F1938" t="s">
        <v>16</v>
      </c>
      <c r="G1938" s="1">
        <v>38761</v>
      </c>
      <c r="H1938" s="1">
        <v>38947</v>
      </c>
      <c r="I1938" t="s">
        <v>12</v>
      </c>
      <c r="J1938" t="s">
        <v>12708</v>
      </c>
    </row>
    <row r="1939" spans="1:10" x14ac:dyDescent="0.25">
      <c r="A1939">
        <v>268612</v>
      </c>
      <c r="B1939" t="s">
        <v>2038</v>
      </c>
      <c r="C1939" t="str">
        <f>"9780415367813"</f>
        <v>9780415367813</v>
      </c>
      <c r="D1939" t="str">
        <f>"9780203020210"</f>
        <v>9780203020210</v>
      </c>
      <c r="E1939" t="s">
        <v>15</v>
      </c>
      <c r="F1939" t="s">
        <v>16</v>
      </c>
      <c r="G1939" s="1">
        <v>38756</v>
      </c>
      <c r="H1939" s="1">
        <v>39163</v>
      </c>
      <c r="I1939" t="s">
        <v>12</v>
      </c>
      <c r="J1939" t="s">
        <v>12709</v>
      </c>
    </row>
    <row r="1940" spans="1:10" x14ac:dyDescent="0.25">
      <c r="A1940">
        <v>268613</v>
      </c>
      <c r="B1940" t="s">
        <v>2039</v>
      </c>
      <c r="C1940" t="str">
        <f>"9780415368971"</f>
        <v>9780415368971</v>
      </c>
      <c r="D1940" t="str">
        <f>"9780203029213"</f>
        <v>9780203029213</v>
      </c>
      <c r="E1940" t="s">
        <v>15</v>
      </c>
      <c r="F1940" t="s">
        <v>16</v>
      </c>
      <c r="G1940" s="1">
        <v>38730</v>
      </c>
      <c r="H1940" s="1">
        <v>38947</v>
      </c>
      <c r="I1940" t="s">
        <v>12</v>
      </c>
      <c r="J1940" t="s">
        <v>12710</v>
      </c>
    </row>
    <row r="1941" spans="1:10" x14ac:dyDescent="0.25">
      <c r="A1941">
        <v>268614</v>
      </c>
      <c r="B1941" t="s">
        <v>2040</v>
      </c>
      <c r="C1941" t="str">
        <f>"9780415232425"</f>
        <v>9780415232425</v>
      </c>
      <c r="D1941" t="str">
        <f>"9780203088593"</f>
        <v>9780203088593</v>
      </c>
      <c r="E1941" t="s">
        <v>15</v>
      </c>
      <c r="F1941" t="s">
        <v>16</v>
      </c>
      <c r="G1941" s="1">
        <v>38931</v>
      </c>
      <c r="H1941" s="1">
        <v>38947</v>
      </c>
      <c r="I1941" t="s">
        <v>12</v>
      </c>
      <c r="J1941" t="s">
        <v>12711</v>
      </c>
    </row>
    <row r="1942" spans="1:10" x14ac:dyDescent="0.25">
      <c r="A1942">
        <v>268617</v>
      </c>
      <c r="B1942" t="s">
        <v>2041</v>
      </c>
      <c r="C1942" t="str">
        <f>"9780415367677"</f>
        <v>9780415367677</v>
      </c>
      <c r="D1942" t="str">
        <f>"9780203020128"</f>
        <v>9780203020128</v>
      </c>
      <c r="E1942" t="s">
        <v>15</v>
      </c>
      <c r="F1942" t="s">
        <v>16</v>
      </c>
      <c r="G1942" s="1">
        <v>38853</v>
      </c>
      <c r="H1942" s="1">
        <v>38947</v>
      </c>
      <c r="I1942" t="s">
        <v>12</v>
      </c>
      <c r="J1942" t="s">
        <v>12712</v>
      </c>
    </row>
    <row r="1943" spans="1:10" x14ac:dyDescent="0.25">
      <c r="A1943">
        <v>268619</v>
      </c>
      <c r="B1943" t="s">
        <v>2042</v>
      </c>
      <c r="C1943" t="str">
        <f>"9780415702065"</f>
        <v>9780415702065</v>
      </c>
      <c r="D1943" t="str">
        <f>"9780203088159"</f>
        <v>9780203088159</v>
      </c>
      <c r="E1943" t="s">
        <v>15</v>
      </c>
      <c r="F1943" t="s">
        <v>16</v>
      </c>
      <c r="G1943" s="1">
        <v>38922</v>
      </c>
      <c r="H1943" s="1">
        <v>38947</v>
      </c>
      <c r="I1943" t="s">
        <v>12</v>
      </c>
      <c r="J1943" t="s">
        <v>12713</v>
      </c>
    </row>
    <row r="1944" spans="1:10" x14ac:dyDescent="0.25">
      <c r="A1944">
        <v>268621</v>
      </c>
      <c r="B1944" t="s">
        <v>2043</v>
      </c>
      <c r="C1944" t="str">
        <f>"9780415701457"</f>
        <v>9780415701457</v>
      </c>
      <c r="D1944" t="str">
        <f>"9780203799376"</f>
        <v>9780203799376</v>
      </c>
      <c r="E1944" t="s">
        <v>15</v>
      </c>
      <c r="F1944" t="s">
        <v>16</v>
      </c>
      <c r="G1944" s="1">
        <v>34904</v>
      </c>
      <c r="H1944" s="1">
        <v>38947</v>
      </c>
      <c r="I1944" t="s">
        <v>12</v>
      </c>
      <c r="J1944" t="s">
        <v>12714</v>
      </c>
    </row>
    <row r="1945" spans="1:10" x14ac:dyDescent="0.25">
      <c r="A1945">
        <v>268626</v>
      </c>
      <c r="B1945" t="s">
        <v>2044</v>
      </c>
      <c r="C1945" t="str">
        <f>"9780415391405"</f>
        <v>9780415391405</v>
      </c>
      <c r="D1945" t="str">
        <f>"9780203086759"</f>
        <v>9780203086759</v>
      </c>
      <c r="E1945" t="s">
        <v>15</v>
      </c>
      <c r="F1945" t="s">
        <v>16</v>
      </c>
      <c r="G1945" s="1">
        <v>38835</v>
      </c>
      <c r="H1945" s="1">
        <v>38947</v>
      </c>
      <c r="I1945" t="s">
        <v>12</v>
      </c>
      <c r="J1945" t="s">
        <v>12715</v>
      </c>
    </row>
    <row r="1946" spans="1:10" x14ac:dyDescent="0.25">
      <c r="A1946">
        <v>268628</v>
      </c>
      <c r="B1946" t="s">
        <v>2045</v>
      </c>
      <c r="C1946" t="str">
        <f>"9780415205382"</f>
        <v>9780415205382</v>
      </c>
      <c r="D1946" t="str">
        <f>"9780203087602"</f>
        <v>9780203087602</v>
      </c>
      <c r="E1946" t="s">
        <v>15</v>
      </c>
      <c r="F1946" t="s">
        <v>16</v>
      </c>
      <c r="G1946" s="1">
        <v>38849</v>
      </c>
      <c r="H1946" s="1">
        <v>38947</v>
      </c>
      <c r="I1946" t="s">
        <v>12</v>
      </c>
      <c r="J1946" t="s">
        <v>12716</v>
      </c>
    </row>
    <row r="1947" spans="1:10" x14ac:dyDescent="0.25">
      <c r="A1947">
        <v>268632</v>
      </c>
      <c r="B1947" t="s">
        <v>2046</v>
      </c>
      <c r="C1947" t="str">
        <f>"9780415373067"</f>
        <v>9780415373067</v>
      </c>
      <c r="D1947" t="str">
        <f>"9780203099483"</f>
        <v>9780203099483</v>
      </c>
      <c r="E1947" t="s">
        <v>16</v>
      </c>
      <c r="F1947" t="s">
        <v>16</v>
      </c>
      <c r="G1947" s="1">
        <v>38923</v>
      </c>
      <c r="H1947" s="1">
        <v>38960</v>
      </c>
      <c r="I1947" t="s">
        <v>12</v>
      </c>
      <c r="J1947" t="s">
        <v>12717</v>
      </c>
    </row>
    <row r="1948" spans="1:10" x14ac:dyDescent="0.25">
      <c r="A1948">
        <v>268634</v>
      </c>
      <c r="B1948" t="s">
        <v>2047</v>
      </c>
      <c r="C1948" t="str">
        <f>"9780415358699"</f>
        <v>9780415358699</v>
      </c>
      <c r="D1948" t="str">
        <f>"9780203006603"</f>
        <v>9780203006603</v>
      </c>
      <c r="E1948" t="s">
        <v>15</v>
      </c>
      <c r="F1948" t="s">
        <v>153</v>
      </c>
      <c r="G1948" s="1">
        <v>38718</v>
      </c>
      <c r="H1948" s="1">
        <v>38947</v>
      </c>
      <c r="I1948" t="s">
        <v>12</v>
      </c>
      <c r="J1948" t="s">
        <v>12718</v>
      </c>
    </row>
    <row r="1949" spans="1:10" x14ac:dyDescent="0.25">
      <c r="A1949">
        <v>268639</v>
      </c>
      <c r="B1949" t="s">
        <v>2048</v>
      </c>
      <c r="C1949" t="str">
        <f>"9780415362870"</f>
        <v>9780415362870</v>
      </c>
      <c r="D1949" t="str">
        <f>"9780203013090"</f>
        <v>9780203013090</v>
      </c>
      <c r="E1949" t="s">
        <v>15</v>
      </c>
      <c r="F1949" t="s">
        <v>16</v>
      </c>
      <c r="G1949" s="1">
        <v>38806</v>
      </c>
      <c r="H1949" s="1">
        <v>38947</v>
      </c>
      <c r="I1949" t="s">
        <v>12</v>
      </c>
      <c r="J1949" t="s">
        <v>12719</v>
      </c>
    </row>
    <row r="1950" spans="1:10" x14ac:dyDescent="0.25">
      <c r="A1950">
        <v>268640</v>
      </c>
      <c r="B1950" t="s">
        <v>2049</v>
      </c>
      <c r="C1950" t="str">
        <f>"9780415394444"</f>
        <v>9780415394444</v>
      </c>
      <c r="D1950" t="str">
        <f>"9780203968260"</f>
        <v>9780203968260</v>
      </c>
      <c r="E1950" t="s">
        <v>15</v>
      </c>
      <c r="F1950" t="s">
        <v>139</v>
      </c>
      <c r="G1950" s="1">
        <v>38833</v>
      </c>
      <c r="H1950" s="1">
        <v>38948</v>
      </c>
      <c r="I1950" t="s">
        <v>12</v>
      </c>
      <c r="J1950" t="s">
        <v>12720</v>
      </c>
    </row>
    <row r="1951" spans="1:10" x14ac:dyDescent="0.25">
      <c r="A1951">
        <v>268644</v>
      </c>
      <c r="B1951" t="s">
        <v>2050</v>
      </c>
      <c r="C1951" t="str">
        <f>"9780415336185"</f>
        <v>9780415336185</v>
      </c>
      <c r="D1951" t="str">
        <f>"9780203421390"</f>
        <v>9780203421390</v>
      </c>
      <c r="E1951" t="s">
        <v>15</v>
      </c>
      <c r="F1951" t="s">
        <v>16</v>
      </c>
      <c r="G1951" s="1">
        <v>38923</v>
      </c>
      <c r="H1951" s="1">
        <v>38947</v>
      </c>
      <c r="I1951" t="s">
        <v>12</v>
      </c>
      <c r="J1951" t="s">
        <v>12721</v>
      </c>
    </row>
    <row r="1952" spans="1:10" x14ac:dyDescent="0.25">
      <c r="A1952">
        <v>268648</v>
      </c>
      <c r="B1952" t="s">
        <v>2051</v>
      </c>
      <c r="C1952" t="str">
        <f>"9780415380157"</f>
        <v>9780415380157</v>
      </c>
      <c r="D1952" t="str">
        <f>"9780203968819"</f>
        <v>9780203968819</v>
      </c>
      <c r="E1952" t="s">
        <v>16</v>
      </c>
      <c r="F1952" t="s">
        <v>16</v>
      </c>
      <c r="G1952" s="1">
        <v>38881</v>
      </c>
      <c r="H1952" s="1">
        <v>38947</v>
      </c>
      <c r="I1952" t="s">
        <v>12</v>
      </c>
      <c r="J1952" t="s">
        <v>12722</v>
      </c>
    </row>
    <row r="1953" spans="1:10" x14ac:dyDescent="0.25">
      <c r="A1953">
        <v>268649</v>
      </c>
      <c r="B1953" t="s">
        <v>2052</v>
      </c>
      <c r="C1953" t="str">
        <f>"9780415368926"</f>
        <v>9780415368926</v>
      </c>
      <c r="D1953" t="str">
        <f>"9780203029190"</f>
        <v>9780203029190</v>
      </c>
      <c r="E1953" t="s">
        <v>15</v>
      </c>
      <c r="F1953" t="s">
        <v>16</v>
      </c>
      <c r="G1953" s="1">
        <v>38814</v>
      </c>
      <c r="H1953" s="1">
        <v>38947</v>
      </c>
      <c r="I1953" t="s">
        <v>12</v>
      </c>
      <c r="J1953" t="s">
        <v>12723</v>
      </c>
    </row>
    <row r="1954" spans="1:10" x14ac:dyDescent="0.25">
      <c r="A1954">
        <v>268651</v>
      </c>
      <c r="B1954" t="s">
        <v>2053</v>
      </c>
      <c r="C1954" t="str">
        <f>"9780415372176"</f>
        <v>9780415372176</v>
      </c>
      <c r="D1954" t="str">
        <f>"9780203085943"</f>
        <v>9780203085943</v>
      </c>
      <c r="E1954" t="s">
        <v>15</v>
      </c>
      <c r="F1954" t="s">
        <v>16</v>
      </c>
      <c r="G1954" s="1">
        <v>38835</v>
      </c>
      <c r="H1954" s="1">
        <v>38947</v>
      </c>
      <c r="I1954" t="s">
        <v>12</v>
      </c>
      <c r="J1954" t="s">
        <v>12724</v>
      </c>
    </row>
    <row r="1955" spans="1:10" x14ac:dyDescent="0.25">
      <c r="A1955">
        <v>268664</v>
      </c>
      <c r="B1955" t="s">
        <v>2054</v>
      </c>
      <c r="C1955" t="str">
        <f>"9780415364102"</f>
        <v>9780415364102</v>
      </c>
      <c r="D1955" t="str">
        <f>"9780203015292"</f>
        <v>9780203015292</v>
      </c>
      <c r="E1955" t="s">
        <v>16</v>
      </c>
      <c r="F1955" t="s">
        <v>16</v>
      </c>
      <c r="G1955" s="1">
        <v>38806</v>
      </c>
      <c r="H1955" s="1">
        <v>38947</v>
      </c>
      <c r="I1955" t="s">
        <v>12</v>
      </c>
      <c r="J1955" t="s">
        <v>12725</v>
      </c>
    </row>
    <row r="1956" spans="1:10" x14ac:dyDescent="0.25">
      <c r="A1956">
        <v>268674</v>
      </c>
      <c r="B1956" t="s">
        <v>2055</v>
      </c>
      <c r="C1956" t="str">
        <f>"9780415374347"</f>
        <v>9780415374347</v>
      </c>
      <c r="D1956" t="str">
        <f>"9780203098882"</f>
        <v>9780203098882</v>
      </c>
      <c r="E1956" t="s">
        <v>15</v>
      </c>
      <c r="F1956" t="s">
        <v>16</v>
      </c>
      <c r="G1956" s="1">
        <v>38819</v>
      </c>
      <c r="H1956" s="1">
        <v>38948</v>
      </c>
      <c r="I1956" t="s">
        <v>12</v>
      </c>
      <c r="J1956" t="s">
        <v>12726</v>
      </c>
    </row>
    <row r="1957" spans="1:10" x14ac:dyDescent="0.25">
      <c r="A1957">
        <v>268675</v>
      </c>
      <c r="B1957" t="s">
        <v>2056</v>
      </c>
      <c r="C1957" t="str">
        <f>"9780415355148"</f>
        <v>9780415355148</v>
      </c>
      <c r="D1957" t="str">
        <f>"9780203001820"</f>
        <v>9780203001820</v>
      </c>
      <c r="E1957" t="s">
        <v>15</v>
      </c>
      <c r="F1957" t="s">
        <v>16</v>
      </c>
      <c r="G1957" s="1">
        <v>38813</v>
      </c>
      <c r="H1957" s="1">
        <v>38947</v>
      </c>
      <c r="I1957" t="s">
        <v>12</v>
      </c>
      <c r="J1957" t="s">
        <v>12727</v>
      </c>
    </row>
    <row r="1958" spans="1:10" x14ac:dyDescent="0.25">
      <c r="A1958">
        <v>268676</v>
      </c>
      <c r="B1958" t="s">
        <v>2057</v>
      </c>
      <c r="C1958" t="str">
        <f>"9780415356961"</f>
        <v>9780415356961</v>
      </c>
      <c r="D1958" t="str">
        <f>"9780203002957"</f>
        <v>9780203002957</v>
      </c>
      <c r="E1958" t="s">
        <v>15</v>
      </c>
      <c r="F1958" t="s">
        <v>16</v>
      </c>
      <c r="G1958" s="1">
        <v>38835</v>
      </c>
      <c r="H1958" s="1">
        <v>38947</v>
      </c>
      <c r="I1958" t="s">
        <v>12</v>
      </c>
      <c r="J1958" t="s">
        <v>12728</v>
      </c>
    </row>
    <row r="1959" spans="1:10" x14ac:dyDescent="0.25">
      <c r="A1959">
        <v>268693</v>
      </c>
      <c r="B1959" t="s">
        <v>2058</v>
      </c>
      <c r="C1959" t="str">
        <f>"9780415393188"</f>
        <v>9780415393188</v>
      </c>
      <c r="D1959" t="str">
        <f>"9780203087879"</f>
        <v>9780203087879</v>
      </c>
      <c r="E1959" t="s">
        <v>15</v>
      </c>
      <c r="F1959" t="s">
        <v>16</v>
      </c>
      <c r="G1959" s="1">
        <v>38922</v>
      </c>
      <c r="H1959" s="1">
        <v>38947</v>
      </c>
      <c r="I1959" t="s">
        <v>12</v>
      </c>
      <c r="J1959" t="s">
        <v>12729</v>
      </c>
    </row>
    <row r="1960" spans="1:10" x14ac:dyDescent="0.25">
      <c r="A1960">
        <v>268694</v>
      </c>
      <c r="B1960" t="s">
        <v>2059</v>
      </c>
      <c r="C1960" t="str">
        <f>"9780415223904"</f>
        <v>9780415223904</v>
      </c>
      <c r="D1960" t="str">
        <f>"9780203970027"</f>
        <v>9780203970027</v>
      </c>
      <c r="E1960" t="s">
        <v>16</v>
      </c>
      <c r="F1960" t="s">
        <v>16</v>
      </c>
      <c r="G1960" s="1">
        <v>38811</v>
      </c>
      <c r="H1960" s="1">
        <v>38947</v>
      </c>
      <c r="I1960" t="s">
        <v>12</v>
      </c>
      <c r="J1960" t="s">
        <v>12730</v>
      </c>
    </row>
    <row r="1961" spans="1:10" x14ac:dyDescent="0.25">
      <c r="A1961">
        <v>268695</v>
      </c>
      <c r="B1961" t="s">
        <v>2060</v>
      </c>
      <c r="C1961" t="str">
        <f>"9780415394680"</f>
        <v>9780415394680</v>
      </c>
      <c r="D1961" t="str">
        <f>"9780203969922"</f>
        <v>9780203969922</v>
      </c>
      <c r="E1961" t="s">
        <v>15</v>
      </c>
      <c r="F1961" t="s">
        <v>16</v>
      </c>
      <c r="G1961" s="1">
        <v>38891</v>
      </c>
      <c r="H1961" s="1">
        <v>38947</v>
      </c>
      <c r="I1961" t="s">
        <v>12</v>
      </c>
      <c r="J1961" t="s">
        <v>12731</v>
      </c>
    </row>
    <row r="1962" spans="1:10" x14ac:dyDescent="0.25">
      <c r="A1962">
        <v>268715</v>
      </c>
      <c r="B1962" t="s">
        <v>2061</v>
      </c>
      <c r="C1962" t="str">
        <f>"9780415390934"</f>
        <v>9780415390934</v>
      </c>
      <c r="D1962" t="str">
        <f>"9780203086414"</f>
        <v>9780203086414</v>
      </c>
      <c r="E1962" t="s">
        <v>15</v>
      </c>
      <c r="F1962" t="s">
        <v>16</v>
      </c>
      <c r="G1962" s="1">
        <v>38891</v>
      </c>
      <c r="H1962" s="1">
        <v>39057</v>
      </c>
      <c r="I1962" t="s">
        <v>12</v>
      </c>
      <c r="J1962" t="s">
        <v>12732</v>
      </c>
    </row>
    <row r="1963" spans="1:10" x14ac:dyDescent="0.25">
      <c r="A1963">
        <v>268720</v>
      </c>
      <c r="B1963" t="s">
        <v>2062</v>
      </c>
      <c r="C1963" t="str">
        <f>"9780415374699"</f>
        <v>9780415374699</v>
      </c>
      <c r="D1963" t="str">
        <f>"9780203099612"</f>
        <v>9780203099612</v>
      </c>
      <c r="E1963" t="s">
        <v>15</v>
      </c>
      <c r="F1963" t="s">
        <v>16</v>
      </c>
      <c r="G1963" s="1">
        <v>38891</v>
      </c>
      <c r="H1963" s="1">
        <v>38947</v>
      </c>
      <c r="I1963" t="s">
        <v>12</v>
      </c>
      <c r="J1963" t="s">
        <v>12733</v>
      </c>
    </row>
    <row r="1964" spans="1:10" x14ac:dyDescent="0.25">
      <c r="A1964">
        <v>268727</v>
      </c>
      <c r="B1964" t="s">
        <v>2063</v>
      </c>
      <c r="C1964" t="str">
        <f>"9780415356329"</f>
        <v>9780415356329</v>
      </c>
      <c r="D1964" t="str">
        <f>"9780203002643"</f>
        <v>9780203002643</v>
      </c>
      <c r="E1964" t="s">
        <v>15</v>
      </c>
      <c r="F1964" t="s">
        <v>16</v>
      </c>
      <c r="G1964" s="1">
        <v>36816</v>
      </c>
      <c r="H1964" s="1">
        <v>38947</v>
      </c>
      <c r="I1964" t="s">
        <v>12</v>
      </c>
      <c r="J1964" t="s">
        <v>12734</v>
      </c>
    </row>
    <row r="1965" spans="1:10" x14ac:dyDescent="0.25">
      <c r="A1965">
        <v>268728</v>
      </c>
      <c r="B1965" t="s">
        <v>2064</v>
      </c>
      <c r="C1965" t="str">
        <f>"9780415357357"</f>
        <v>9780415357357</v>
      </c>
      <c r="D1965" t="str">
        <f>"9780203086094"</f>
        <v>9780203086094</v>
      </c>
      <c r="E1965" t="s">
        <v>15</v>
      </c>
      <c r="F1965" t="s">
        <v>16</v>
      </c>
      <c r="G1965" s="1">
        <v>38826</v>
      </c>
      <c r="H1965" s="1">
        <v>38947</v>
      </c>
      <c r="I1965" t="s">
        <v>12</v>
      </c>
      <c r="J1965" t="s">
        <v>12735</v>
      </c>
    </row>
    <row r="1966" spans="1:10" x14ac:dyDescent="0.25">
      <c r="A1966">
        <v>268729</v>
      </c>
      <c r="B1966" t="s">
        <v>2065</v>
      </c>
      <c r="C1966" t="str">
        <f>"9780415367592"</f>
        <v>9780415367592</v>
      </c>
      <c r="D1966" t="str">
        <f>"9780203020074"</f>
        <v>9780203020074</v>
      </c>
      <c r="E1966" t="s">
        <v>15</v>
      </c>
      <c r="F1966" t="s">
        <v>16</v>
      </c>
      <c r="G1966" s="1">
        <v>38933</v>
      </c>
      <c r="H1966" s="1">
        <v>38947</v>
      </c>
      <c r="I1966" t="s">
        <v>12</v>
      </c>
      <c r="J1966" t="s">
        <v>12736</v>
      </c>
    </row>
    <row r="1967" spans="1:10" x14ac:dyDescent="0.25">
      <c r="A1967">
        <v>268741</v>
      </c>
      <c r="B1967" t="s">
        <v>2066</v>
      </c>
      <c r="C1967" t="str">
        <f>"9780415383950"</f>
        <v>9780415383950</v>
      </c>
      <c r="D1967" t="str">
        <f>"9780203099919"</f>
        <v>9780203099919</v>
      </c>
      <c r="E1967" t="s">
        <v>15</v>
      </c>
      <c r="F1967" t="s">
        <v>16</v>
      </c>
      <c r="G1967" s="1">
        <v>38862</v>
      </c>
      <c r="H1967" s="1">
        <v>38947</v>
      </c>
      <c r="I1967" t="s">
        <v>12</v>
      </c>
      <c r="J1967" t="s">
        <v>12737</v>
      </c>
    </row>
    <row r="1968" spans="1:10" x14ac:dyDescent="0.25">
      <c r="A1968">
        <v>268742</v>
      </c>
      <c r="B1968" t="s">
        <v>2067</v>
      </c>
      <c r="C1968" t="str">
        <f>"9780415369206"</f>
        <v>9780415369206</v>
      </c>
      <c r="D1968" t="str">
        <f>"9780203029398"</f>
        <v>9780203029398</v>
      </c>
      <c r="E1968" t="s">
        <v>15</v>
      </c>
      <c r="F1968" t="s">
        <v>16</v>
      </c>
      <c r="G1968" s="1">
        <v>38761</v>
      </c>
      <c r="H1968" s="1">
        <v>38947</v>
      </c>
      <c r="I1968" t="s">
        <v>12</v>
      </c>
      <c r="J1968" t="s">
        <v>12738</v>
      </c>
    </row>
    <row r="1969" spans="1:10" x14ac:dyDescent="0.25">
      <c r="A1969">
        <v>268748</v>
      </c>
      <c r="B1969" t="s">
        <v>2068</v>
      </c>
      <c r="C1969" t="str">
        <f>"9780415702089"</f>
        <v>9780415702089</v>
      </c>
      <c r="D1969" t="str">
        <f>"9780203086582"</f>
        <v>9780203086582</v>
      </c>
      <c r="E1969" t="s">
        <v>15</v>
      </c>
      <c r="F1969" t="s">
        <v>16</v>
      </c>
      <c r="G1969" s="1">
        <v>38813</v>
      </c>
      <c r="H1969" s="1">
        <v>38947</v>
      </c>
      <c r="I1969" t="s">
        <v>12</v>
      </c>
      <c r="J1969" t="s">
        <v>12739</v>
      </c>
    </row>
    <row r="1970" spans="1:10" x14ac:dyDescent="0.25">
      <c r="A1970">
        <v>268759</v>
      </c>
      <c r="B1970" t="s">
        <v>2069</v>
      </c>
      <c r="C1970" t="str">
        <f>"9780415393263"</f>
        <v>9780415393263</v>
      </c>
      <c r="D1970" t="str">
        <f>"9780203969915"</f>
        <v>9780203969915</v>
      </c>
      <c r="E1970" t="s">
        <v>15</v>
      </c>
      <c r="F1970" t="s">
        <v>16</v>
      </c>
      <c r="G1970" s="1">
        <v>38825</v>
      </c>
      <c r="H1970" s="1">
        <v>38947</v>
      </c>
      <c r="I1970" t="s">
        <v>12</v>
      </c>
      <c r="J1970" t="s">
        <v>12740</v>
      </c>
    </row>
    <row r="1971" spans="1:10" x14ac:dyDescent="0.25">
      <c r="A1971">
        <v>268760</v>
      </c>
      <c r="B1971" t="s">
        <v>2070</v>
      </c>
      <c r="C1971" t="str">
        <f>"9780415362160"</f>
        <v>9780415362160</v>
      </c>
      <c r="D1971" t="str">
        <f>"9780203012413"</f>
        <v>9780203012413</v>
      </c>
      <c r="E1971" t="s">
        <v>15</v>
      </c>
      <c r="F1971" t="s">
        <v>16</v>
      </c>
      <c r="G1971" s="1">
        <v>38805</v>
      </c>
      <c r="H1971" s="1">
        <v>38947</v>
      </c>
      <c r="I1971" t="s">
        <v>12</v>
      </c>
      <c r="J1971" t="s">
        <v>12741</v>
      </c>
    </row>
    <row r="1972" spans="1:10" x14ac:dyDescent="0.25">
      <c r="A1972">
        <v>268762</v>
      </c>
      <c r="B1972" t="s">
        <v>2071</v>
      </c>
      <c r="C1972" t="str">
        <f>"9780415383042"</f>
        <v>9780415383042</v>
      </c>
      <c r="D1972" t="str">
        <f>"9780203966280"</f>
        <v>9780203966280</v>
      </c>
      <c r="E1972" t="s">
        <v>15</v>
      </c>
      <c r="F1972" t="s">
        <v>16</v>
      </c>
      <c r="G1972" s="1">
        <v>38979</v>
      </c>
      <c r="H1972" s="1">
        <v>38947</v>
      </c>
      <c r="I1972" t="s">
        <v>12</v>
      </c>
      <c r="J1972" t="s">
        <v>12742</v>
      </c>
    </row>
    <row r="1973" spans="1:10" x14ac:dyDescent="0.25">
      <c r="A1973">
        <v>268763</v>
      </c>
      <c r="B1973" t="s">
        <v>2072</v>
      </c>
      <c r="C1973" t="str">
        <f>"9780415383097"</f>
        <v>9780415383097</v>
      </c>
      <c r="D1973" t="str">
        <f>"9780203969595"</f>
        <v>9780203969595</v>
      </c>
      <c r="E1973" t="s">
        <v>15</v>
      </c>
      <c r="F1973" t="s">
        <v>16</v>
      </c>
      <c r="G1973" s="1">
        <v>39082</v>
      </c>
      <c r="H1973" s="1">
        <v>38947</v>
      </c>
      <c r="I1973" t="s">
        <v>12</v>
      </c>
      <c r="J1973" t="s">
        <v>12743</v>
      </c>
    </row>
    <row r="1974" spans="1:10" x14ac:dyDescent="0.25">
      <c r="A1974">
        <v>268770</v>
      </c>
      <c r="B1974" t="s">
        <v>2073</v>
      </c>
      <c r="C1974" t="str">
        <f>"9780415363235"</f>
        <v>9780415363235</v>
      </c>
      <c r="D1974" t="str">
        <f>"9780203013618"</f>
        <v>9780203013618</v>
      </c>
      <c r="E1974" t="s">
        <v>15</v>
      </c>
      <c r="F1974" t="s">
        <v>16</v>
      </c>
      <c r="G1974" s="1">
        <v>38835</v>
      </c>
      <c r="H1974" s="1">
        <v>38947</v>
      </c>
      <c r="I1974" t="s">
        <v>12</v>
      </c>
      <c r="J1974" t="s">
        <v>12744</v>
      </c>
    </row>
    <row r="1975" spans="1:10" x14ac:dyDescent="0.25">
      <c r="A1975">
        <v>268784</v>
      </c>
      <c r="B1975" t="s">
        <v>2074</v>
      </c>
      <c r="C1975" t="str">
        <f>""</f>
        <v/>
      </c>
      <c r="D1975" t="str">
        <f>"9781859865590"</f>
        <v>9781859865590</v>
      </c>
      <c r="E1975" t="s">
        <v>2075</v>
      </c>
      <c r="F1975" t="s">
        <v>2075</v>
      </c>
      <c r="G1975" s="1">
        <v>38681</v>
      </c>
      <c r="H1975" s="1">
        <v>39070</v>
      </c>
      <c r="I1975" t="s">
        <v>12</v>
      </c>
      <c r="J1975" t="s">
        <v>12745</v>
      </c>
    </row>
    <row r="1976" spans="1:10" x14ac:dyDescent="0.25">
      <c r="A1976">
        <v>268786</v>
      </c>
      <c r="B1976" t="s">
        <v>2076</v>
      </c>
      <c r="C1976" t="str">
        <f>""</f>
        <v/>
      </c>
      <c r="D1976" t="str">
        <f>"9781859865583"</f>
        <v>9781859865583</v>
      </c>
      <c r="E1976" t="s">
        <v>2075</v>
      </c>
      <c r="F1976" t="s">
        <v>2075</v>
      </c>
      <c r="G1976" s="1">
        <v>38706</v>
      </c>
      <c r="H1976" s="1">
        <v>39070</v>
      </c>
      <c r="I1976" t="s">
        <v>12</v>
      </c>
      <c r="J1976" t="s">
        <v>12746</v>
      </c>
    </row>
    <row r="1977" spans="1:10" x14ac:dyDescent="0.25">
      <c r="A1977">
        <v>268893</v>
      </c>
      <c r="B1977" t="s">
        <v>2077</v>
      </c>
      <c r="C1977" t="str">
        <f>"9780749446918"</f>
        <v>9780749446918</v>
      </c>
      <c r="D1977" t="str">
        <f>"9780749448745"</f>
        <v>9780749448745</v>
      </c>
      <c r="E1977" t="s">
        <v>1059</v>
      </c>
      <c r="F1977" t="s">
        <v>1059</v>
      </c>
      <c r="G1977" s="1">
        <v>38838</v>
      </c>
      <c r="H1977" s="1">
        <v>38953</v>
      </c>
      <c r="I1977" t="s">
        <v>12</v>
      </c>
      <c r="J1977" t="s">
        <v>12747</v>
      </c>
    </row>
    <row r="1978" spans="1:10" x14ac:dyDescent="0.25">
      <c r="A1978">
        <v>268897</v>
      </c>
      <c r="B1978" t="s">
        <v>2078</v>
      </c>
      <c r="C1978" t="str">
        <f>"9780749446420"</f>
        <v>9780749446420</v>
      </c>
      <c r="D1978" t="str">
        <f>"9780749449575"</f>
        <v>9780749449575</v>
      </c>
      <c r="E1978" t="s">
        <v>1059</v>
      </c>
      <c r="F1978" t="s">
        <v>1059</v>
      </c>
      <c r="G1978" s="1">
        <v>38869</v>
      </c>
      <c r="H1978" s="1">
        <v>39124</v>
      </c>
      <c r="I1978" t="s">
        <v>12</v>
      </c>
      <c r="J1978" t="s">
        <v>12748</v>
      </c>
    </row>
    <row r="1979" spans="1:10" x14ac:dyDescent="0.25">
      <c r="A1979">
        <v>268898</v>
      </c>
      <c r="B1979" t="s">
        <v>2079</v>
      </c>
      <c r="C1979" t="str">
        <f>"9780749447441"</f>
        <v>9780749447441</v>
      </c>
      <c r="D1979" t="str">
        <f>"9780749449582"</f>
        <v>9780749449582</v>
      </c>
      <c r="E1979" t="s">
        <v>1059</v>
      </c>
      <c r="F1979" t="s">
        <v>1059</v>
      </c>
      <c r="G1979" s="1">
        <v>38869</v>
      </c>
      <c r="H1979" s="1">
        <v>39124</v>
      </c>
      <c r="I1979" t="s">
        <v>12</v>
      </c>
      <c r="J1979" t="s">
        <v>12749</v>
      </c>
    </row>
    <row r="1980" spans="1:10" x14ac:dyDescent="0.25">
      <c r="A1980">
        <v>268900</v>
      </c>
      <c r="B1980" t="s">
        <v>2080</v>
      </c>
      <c r="C1980" t="str">
        <f>"9780749447663"</f>
        <v>9780749447663</v>
      </c>
      <c r="D1980" t="str">
        <f>"9780749449605"</f>
        <v>9780749449605</v>
      </c>
      <c r="E1980" t="s">
        <v>1059</v>
      </c>
      <c r="F1980" t="s">
        <v>1059</v>
      </c>
      <c r="G1980" s="1">
        <v>38899</v>
      </c>
      <c r="H1980" s="1">
        <v>39124</v>
      </c>
      <c r="I1980" t="s">
        <v>12</v>
      </c>
      <c r="J1980" t="s">
        <v>12750</v>
      </c>
    </row>
    <row r="1981" spans="1:10" x14ac:dyDescent="0.25">
      <c r="A1981">
        <v>268950</v>
      </c>
      <c r="B1981" t="s">
        <v>2081</v>
      </c>
      <c r="C1981" t="str">
        <f>"9781403945020"</f>
        <v>9781403945020</v>
      </c>
      <c r="D1981" t="str">
        <f>"9780230522497"</f>
        <v>9780230522497</v>
      </c>
      <c r="E1981" t="s">
        <v>875</v>
      </c>
      <c r="F1981" t="s">
        <v>875</v>
      </c>
      <c r="G1981" s="1">
        <v>38488</v>
      </c>
      <c r="H1981" s="1">
        <v>38958</v>
      </c>
      <c r="I1981" t="s">
        <v>12</v>
      </c>
      <c r="J1981" t="s">
        <v>12751</v>
      </c>
    </row>
    <row r="1982" spans="1:10" x14ac:dyDescent="0.25">
      <c r="A1982">
        <v>268952</v>
      </c>
      <c r="B1982" t="s">
        <v>2082</v>
      </c>
      <c r="C1982" t="str">
        <f>"9781403941770"</f>
        <v>9781403941770</v>
      </c>
      <c r="D1982" t="str">
        <f>"9780230522565"</f>
        <v>9780230522565</v>
      </c>
      <c r="E1982" t="s">
        <v>875</v>
      </c>
      <c r="F1982" t="s">
        <v>875</v>
      </c>
      <c r="G1982" s="1">
        <v>38321</v>
      </c>
      <c r="H1982" s="1">
        <v>38959</v>
      </c>
      <c r="I1982" t="s">
        <v>12</v>
      </c>
      <c r="J1982" t="s">
        <v>12752</v>
      </c>
    </row>
    <row r="1983" spans="1:10" x14ac:dyDescent="0.25">
      <c r="A1983">
        <v>268955</v>
      </c>
      <c r="B1983" t="s">
        <v>2083</v>
      </c>
      <c r="C1983" t="str">
        <f>"9781403904287"</f>
        <v>9781403904287</v>
      </c>
      <c r="D1983" t="str">
        <f>"9780230522701"</f>
        <v>9780230522701</v>
      </c>
      <c r="E1983" t="s">
        <v>875</v>
      </c>
      <c r="F1983" t="s">
        <v>876</v>
      </c>
      <c r="G1983" s="1">
        <v>38139</v>
      </c>
      <c r="H1983" s="1">
        <v>38959</v>
      </c>
      <c r="I1983" t="s">
        <v>12</v>
      </c>
      <c r="J1983" t="s">
        <v>12753</v>
      </c>
    </row>
    <row r="1984" spans="1:10" x14ac:dyDescent="0.25">
      <c r="A1984">
        <v>268956</v>
      </c>
      <c r="B1984" t="s">
        <v>2084</v>
      </c>
      <c r="C1984" t="str">
        <f>"9781403918864"</f>
        <v>9781403918864</v>
      </c>
      <c r="D1984" t="str">
        <f>"9780230522725"</f>
        <v>9780230522725</v>
      </c>
      <c r="E1984" t="s">
        <v>875</v>
      </c>
      <c r="F1984" t="s">
        <v>875</v>
      </c>
      <c r="G1984" s="1">
        <v>38377</v>
      </c>
      <c r="H1984" s="1">
        <v>38958</v>
      </c>
      <c r="I1984" t="s">
        <v>12</v>
      </c>
      <c r="J1984" t="s">
        <v>12754</v>
      </c>
    </row>
    <row r="1985" spans="1:10" x14ac:dyDescent="0.25">
      <c r="A1985">
        <v>268957</v>
      </c>
      <c r="B1985" t="s">
        <v>2085</v>
      </c>
      <c r="C1985" t="str">
        <f>"9781403904546"</f>
        <v>9781403904546</v>
      </c>
      <c r="D1985" t="str">
        <f>"9780230522749"</f>
        <v>9780230522749</v>
      </c>
      <c r="E1985" t="s">
        <v>875</v>
      </c>
      <c r="F1985" t="s">
        <v>876</v>
      </c>
      <c r="G1985" s="1">
        <v>38047</v>
      </c>
      <c r="H1985" s="1">
        <v>38958</v>
      </c>
      <c r="I1985" t="s">
        <v>12</v>
      </c>
      <c r="J1985" t="s">
        <v>12755</v>
      </c>
    </row>
    <row r="1986" spans="1:10" x14ac:dyDescent="0.25">
      <c r="A1986">
        <v>268967</v>
      </c>
      <c r="B1986" t="s">
        <v>2086</v>
      </c>
      <c r="C1986" t="str">
        <f>"9781403996299"</f>
        <v>9781403996299</v>
      </c>
      <c r="D1986" t="str">
        <f>"9780230522374"</f>
        <v>9780230522374</v>
      </c>
      <c r="E1986" t="s">
        <v>875</v>
      </c>
      <c r="F1986" t="s">
        <v>875</v>
      </c>
      <c r="G1986" s="1">
        <v>38701</v>
      </c>
      <c r="H1986" s="1">
        <v>38959</v>
      </c>
      <c r="I1986" t="s">
        <v>12</v>
      </c>
      <c r="J1986" t="s">
        <v>12756</v>
      </c>
    </row>
    <row r="1987" spans="1:10" x14ac:dyDescent="0.25">
      <c r="A1987">
        <v>268968</v>
      </c>
      <c r="B1987" t="s">
        <v>2087</v>
      </c>
      <c r="C1987" t="str">
        <f>"9780333997598"</f>
        <v>9780333997598</v>
      </c>
      <c r="D1987" t="str">
        <f>"9780230522381"</f>
        <v>9780230522381</v>
      </c>
      <c r="E1987" t="s">
        <v>875</v>
      </c>
      <c r="F1987" t="s">
        <v>875</v>
      </c>
      <c r="G1987" s="1">
        <v>38603</v>
      </c>
      <c r="H1987" s="1">
        <v>38958</v>
      </c>
      <c r="I1987" t="s">
        <v>12</v>
      </c>
      <c r="J1987" t="s">
        <v>12757</v>
      </c>
    </row>
    <row r="1988" spans="1:10" x14ac:dyDescent="0.25">
      <c r="A1988">
        <v>268969</v>
      </c>
      <c r="B1988" t="s">
        <v>2088</v>
      </c>
      <c r="C1988" t="str">
        <f>"9781403942371"</f>
        <v>9781403942371</v>
      </c>
      <c r="D1988" t="str">
        <f>"9780230522398"</f>
        <v>9780230522398</v>
      </c>
      <c r="E1988" t="s">
        <v>876</v>
      </c>
      <c r="F1988" t="s">
        <v>876</v>
      </c>
      <c r="G1988" s="1">
        <v>38519</v>
      </c>
      <c r="H1988" s="1">
        <v>38958</v>
      </c>
      <c r="I1988" t="s">
        <v>12</v>
      </c>
      <c r="J1988" t="s">
        <v>12758</v>
      </c>
    </row>
    <row r="1989" spans="1:10" x14ac:dyDescent="0.25">
      <c r="A1989">
        <v>268977</v>
      </c>
      <c r="B1989" t="s">
        <v>2089</v>
      </c>
      <c r="C1989" t="str">
        <f>"9781403945013"</f>
        <v>9781403945013</v>
      </c>
      <c r="D1989" t="str">
        <f>"9780230522800"</f>
        <v>9780230522800</v>
      </c>
      <c r="E1989" t="s">
        <v>875</v>
      </c>
      <c r="F1989" t="s">
        <v>875</v>
      </c>
      <c r="G1989" s="1">
        <v>38517</v>
      </c>
      <c r="H1989" s="1">
        <v>38959</v>
      </c>
      <c r="I1989" t="s">
        <v>12</v>
      </c>
      <c r="J1989" t="s">
        <v>12759</v>
      </c>
    </row>
    <row r="1990" spans="1:10" x14ac:dyDescent="0.25">
      <c r="A1990">
        <v>268981</v>
      </c>
      <c r="B1990" t="s">
        <v>2090</v>
      </c>
      <c r="C1990" t="str">
        <f>"9781591408963"</f>
        <v>9781591408963</v>
      </c>
      <c r="D1990" t="str">
        <f>"9781591408987"</f>
        <v>9781591408987</v>
      </c>
      <c r="E1990" t="s">
        <v>623</v>
      </c>
      <c r="F1990" t="s">
        <v>624</v>
      </c>
      <c r="G1990" s="1">
        <v>39073</v>
      </c>
      <c r="H1990" s="1">
        <v>38959</v>
      </c>
      <c r="I1990" t="s">
        <v>12</v>
      </c>
      <c r="J1990" t="s">
        <v>12760</v>
      </c>
    </row>
    <row r="1991" spans="1:10" x14ac:dyDescent="0.25">
      <c r="A1991">
        <v>268982</v>
      </c>
      <c r="B1991" t="s">
        <v>2091</v>
      </c>
      <c r="C1991" t="str">
        <f>"9781591408390"</f>
        <v>9781591408390</v>
      </c>
      <c r="D1991" t="str">
        <f>"9781591408413"</f>
        <v>9781591408413</v>
      </c>
      <c r="E1991" t="s">
        <v>623</v>
      </c>
      <c r="F1991" t="s">
        <v>624</v>
      </c>
      <c r="G1991" s="1">
        <v>39048</v>
      </c>
      <c r="H1991" s="1">
        <v>38958</v>
      </c>
      <c r="I1991" t="s">
        <v>12</v>
      </c>
      <c r="J1991" t="s">
        <v>12761</v>
      </c>
    </row>
    <row r="1992" spans="1:10" x14ac:dyDescent="0.25">
      <c r="A1992">
        <v>268983</v>
      </c>
      <c r="B1992" t="s">
        <v>2092</v>
      </c>
      <c r="C1992" t="str">
        <f>"9781591409267"</f>
        <v>9781591409267</v>
      </c>
      <c r="D1992" t="str">
        <f>"9781591409281"</f>
        <v>9781591409281</v>
      </c>
      <c r="E1992" t="s">
        <v>623</v>
      </c>
      <c r="F1992" t="s">
        <v>624</v>
      </c>
      <c r="G1992" s="1">
        <v>39048</v>
      </c>
      <c r="H1992" s="1">
        <v>40632</v>
      </c>
      <c r="I1992" t="s">
        <v>12</v>
      </c>
      <c r="J1992" t="s">
        <v>12762</v>
      </c>
    </row>
    <row r="1993" spans="1:10" x14ac:dyDescent="0.25">
      <c r="A1993">
        <v>268984</v>
      </c>
      <c r="B1993" t="s">
        <v>2093</v>
      </c>
      <c r="C1993" t="str">
        <f>"9781599042015"</f>
        <v>9781599042015</v>
      </c>
      <c r="D1993" t="str">
        <f>"9781599042039"</f>
        <v>9781599042039</v>
      </c>
      <c r="E1993" t="s">
        <v>623</v>
      </c>
      <c r="F1993" t="s">
        <v>624</v>
      </c>
      <c r="G1993" s="1">
        <v>39048</v>
      </c>
      <c r="H1993" s="1">
        <v>38959</v>
      </c>
      <c r="I1993" t="s">
        <v>12</v>
      </c>
      <c r="J1993" t="s">
        <v>12763</v>
      </c>
    </row>
    <row r="1994" spans="1:10" x14ac:dyDescent="0.25">
      <c r="A1994">
        <v>268985</v>
      </c>
      <c r="B1994" t="s">
        <v>2094</v>
      </c>
      <c r="C1994" t="str">
        <f>"9781599041117"</f>
        <v>9781599041117</v>
      </c>
      <c r="D1994" t="str">
        <f>"9781599041131"</f>
        <v>9781599041131</v>
      </c>
      <c r="E1994" t="s">
        <v>623</v>
      </c>
      <c r="F1994" t="s">
        <v>624</v>
      </c>
      <c r="G1994" s="1">
        <v>39048</v>
      </c>
      <c r="H1994" s="1">
        <v>38959</v>
      </c>
      <c r="I1994" t="s">
        <v>12</v>
      </c>
      <c r="J1994" t="s">
        <v>12764</v>
      </c>
    </row>
    <row r="1995" spans="1:10" x14ac:dyDescent="0.25">
      <c r="A1995">
        <v>268986</v>
      </c>
      <c r="B1995" t="s">
        <v>2095</v>
      </c>
      <c r="C1995" t="str">
        <f>"9781591409175"</f>
        <v>9781591409175</v>
      </c>
      <c r="D1995" t="str">
        <f>"9781591409199"</f>
        <v>9781591409199</v>
      </c>
      <c r="E1995" t="s">
        <v>623</v>
      </c>
      <c r="F1995" t="s">
        <v>624</v>
      </c>
      <c r="G1995" s="1">
        <v>39048</v>
      </c>
      <c r="H1995" s="1">
        <v>40632</v>
      </c>
      <c r="I1995" t="s">
        <v>12</v>
      </c>
      <c r="J1995" t="s">
        <v>12765</v>
      </c>
    </row>
    <row r="1996" spans="1:10" x14ac:dyDescent="0.25">
      <c r="A1996">
        <v>268987</v>
      </c>
      <c r="B1996" t="s">
        <v>2096</v>
      </c>
      <c r="C1996" t="str">
        <f>"9781599043555"</f>
        <v>9781599043555</v>
      </c>
      <c r="D1996" t="str">
        <f>"9781599043579"</f>
        <v>9781599043579</v>
      </c>
      <c r="E1996" t="s">
        <v>623</v>
      </c>
      <c r="F1996" t="s">
        <v>624</v>
      </c>
      <c r="G1996" s="1">
        <v>39056</v>
      </c>
      <c r="H1996" s="1">
        <v>38958</v>
      </c>
      <c r="I1996" t="s">
        <v>12</v>
      </c>
      <c r="J1996" t="s">
        <v>12766</v>
      </c>
    </row>
    <row r="1997" spans="1:10" x14ac:dyDescent="0.25">
      <c r="A1997">
        <v>268988</v>
      </c>
      <c r="B1997" t="s">
        <v>2097</v>
      </c>
      <c r="C1997" t="str">
        <f>"9781599042985"</f>
        <v>9781599042985</v>
      </c>
      <c r="D1997" t="str">
        <f>"9781599043005"</f>
        <v>9781599043005</v>
      </c>
      <c r="E1997" t="s">
        <v>623</v>
      </c>
      <c r="F1997" t="s">
        <v>624</v>
      </c>
      <c r="G1997" s="1">
        <v>39051</v>
      </c>
      <c r="H1997" s="1">
        <v>38959</v>
      </c>
      <c r="I1997" t="s">
        <v>12</v>
      </c>
      <c r="J1997" t="s">
        <v>12767</v>
      </c>
    </row>
    <row r="1998" spans="1:10" x14ac:dyDescent="0.25">
      <c r="A1998">
        <v>269001</v>
      </c>
      <c r="B1998" t="s">
        <v>2098</v>
      </c>
      <c r="C1998" t="str">
        <f>"9781567506402"</f>
        <v>9781567506402</v>
      </c>
      <c r="D1998" t="str">
        <f>"9780313051364"</f>
        <v>9780313051364</v>
      </c>
      <c r="E1998" t="s">
        <v>2099</v>
      </c>
      <c r="F1998" t="s">
        <v>2099</v>
      </c>
      <c r="G1998" s="1">
        <v>37710</v>
      </c>
      <c r="H1998" s="1">
        <v>38959</v>
      </c>
      <c r="I1998" t="s">
        <v>12</v>
      </c>
      <c r="J1998" t="s">
        <v>12768</v>
      </c>
    </row>
    <row r="1999" spans="1:10" x14ac:dyDescent="0.25">
      <c r="A1999">
        <v>269003</v>
      </c>
      <c r="B1999" t="s">
        <v>2100</v>
      </c>
      <c r="C1999" t="str">
        <f>"9781567506631"</f>
        <v>9781567506631</v>
      </c>
      <c r="D1999" t="str">
        <f>"9780313072352"</f>
        <v>9780313072352</v>
      </c>
      <c r="E1999" t="s">
        <v>2099</v>
      </c>
      <c r="F1999" t="s">
        <v>2099</v>
      </c>
      <c r="G1999" s="1">
        <v>37680</v>
      </c>
      <c r="H1999" s="1">
        <v>38959</v>
      </c>
      <c r="I1999" t="s">
        <v>12</v>
      </c>
      <c r="J1999" t="s">
        <v>12769</v>
      </c>
    </row>
    <row r="2000" spans="1:10" x14ac:dyDescent="0.25">
      <c r="A2000">
        <v>269179</v>
      </c>
      <c r="B2000" t="s">
        <v>2101</v>
      </c>
      <c r="C2000" t="str">
        <f>"9781403946195"</f>
        <v>9781403946195</v>
      </c>
      <c r="D2000" t="str">
        <f>"9780230522589"</f>
        <v>9780230522589</v>
      </c>
      <c r="E2000" t="s">
        <v>875</v>
      </c>
      <c r="F2000" t="s">
        <v>875</v>
      </c>
      <c r="G2000" s="1">
        <v>38495</v>
      </c>
      <c r="H2000" s="1">
        <v>38960</v>
      </c>
      <c r="I2000" t="s">
        <v>12</v>
      </c>
      <c r="J2000" t="s">
        <v>12770</v>
      </c>
    </row>
    <row r="2001" spans="1:10" x14ac:dyDescent="0.25">
      <c r="A2001">
        <v>269184</v>
      </c>
      <c r="B2001" t="s">
        <v>2102</v>
      </c>
      <c r="C2001" t="str">
        <f>"9780333802564"</f>
        <v>9780333802564</v>
      </c>
      <c r="D2001" t="str">
        <f>"9780230522718"</f>
        <v>9780230522718</v>
      </c>
      <c r="E2001" t="s">
        <v>875</v>
      </c>
      <c r="F2001" t="s">
        <v>876</v>
      </c>
      <c r="G2001" s="1">
        <v>38238</v>
      </c>
      <c r="H2001" s="1">
        <v>38960</v>
      </c>
      <c r="I2001" t="s">
        <v>12</v>
      </c>
      <c r="J2001" t="s">
        <v>12771</v>
      </c>
    </row>
    <row r="2002" spans="1:10" x14ac:dyDescent="0.25">
      <c r="A2002">
        <v>269201</v>
      </c>
      <c r="B2002" t="s">
        <v>2103</v>
      </c>
      <c r="C2002" t="str">
        <f>"9781403947635"</f>
        <v>9781403947635</v>
      </c>
      <c r="D2002" t="str">
        <f>"9780230522886"</f>
        <v>9780230522886</v>
      </c>
      <c r="E2002" t="s">
        <v>875</v>
      </c>
      <c r="F2002" t="s">
        <v>875</v>
      </c>
      <c r="G2002" s="1">
        <v>38702</v>
      </c>
      <c r="H2002" s="1">
        <v>38960</v>
      </c>
      <c r="I2002" t="s">
        <v>12</v>
      </c>
      <c r="J2002" t="s">
        <v>12772</v>
      </c>
    </row>
    <row r="2003" spans="1:10" x14ac:dyDescent="0.25">
      <c r="A2003">
        <v>269206</v>
      </c>
      <c r="B2003" t="s">
        <v>2104</v>
      </c>
      <c r="C2003" t="str">
        <f>"9781403945563"</f>
        <v>9781403945563</v>
      </c>
      <c r="D2003" t="str">
        <f>"9780230522961"</f>
        <v>9780230522961</v>
      </c>
      <c r="E2003" t="s">
        <v>875</v>
      </c>
      <c r="F2003" t="s">
        <v>875</v>
      </c>
      <c r="G2003" s="1">
        <v>38377</v>
      </c>
      <c r="H2003" s="1">
        <v>38960</v>
      </c>
      <c r="I2003" t="s">
        <v>12</v>
      </c>
      <c r="J2003" t="s">
        <v>12773</v>
      </c>
    </row>
    <row r="2004" spans="1:10" x14ac:dyDescent="0.25">
      <c r="A2004">
        <v>269209</v>
      </c>
      <c r="B2004" t="s">
        <v>2105</v>
      </c>
      <c r="C2004" t="str">
        <f>"9781403996350"</f>
        <v>9781403996350</v>
      </c>
      <c r="D2004" t="str">
        <f>"9780230523036"</f>
        <v>9780230523036</v>
      </c>
      <c r="E2004" t="s">
        <v>875</v>
      </c>
      <c r="F2004" t="s">
        <v>875</v>
      </c>
      <c r="G2004" s="1">
        <v>38678</v>
      </c>
      <c r="H2004" s="1">
        <v>38960</v>
      </c>
      <c r="I2004" t="s">
        <v>12</v>
      </c>
      <c r="J2004" t="s">
        <v>12774</v>
      </c>
    </row>
    <row r="2005" spans="1:10" x14ac:dyDescent="0.25">
      <c r="A2005">
        <v>269214</v>
      </c>
      <c r="B2005" t="s">
        <v>2106</v>
      </c>
      <c r="C2005" t="str">
        <f>"9781403996626"</f>
        <v>9781403996626</v>
      </c>
      <c r="D2005" t="str">
        <f>"9780230523166"</f>
        <v>9780230523166</v>
      </c>
      <c r="E2005" t="s">
        <v>875</v>
      </c>
      <c r="F2005" t="s">
        <v>875</v>
      </c>
      <c r="G2005" s="1">
        <v>38686</v>
      </c>
      <c r="H2005" s="1">
        <v>38960</v>
      </c>
      <c r="I2005" t="s">
        <v>12</v>
      </c>
      <c r="J2005" t="s">
        <v>12775</v>
      </c>
    </row>
    <row r="2006" spans="1:10" x14ac:dyDescent="0.25">
      <c r="A2006">
        <v>269418</v>
      </c>
      <c r="B2006" t="s">
        <v>2107</v>
      </c>
      <c r="C2006" t="str">
        <f>"9781855739628"</f>
        <v>9781855739628</v>
      </c>
      <c r="D2006" t="str">
        <f>"9781845691431"</f>
        <v>9781845691431</v>
      </c>
      <c r="E2006" t="s">
        <v>2108</v>
      </c>
      <c r="F2006" t="s">
        <v>2109</v>
      </c>
      <c r="G2006" s="1">
        <v>38800</v>
      </c>
      <c r="H2006" s="1">
        <v>38971</v>
      </c>
      <c r="I2006" t="s">
        <v>12</v>
      </c>
      <c r="J2006" t="s">
        <v>12776</v>
      </c>
    </row>
    <row r="2007" spans="1:10" x14ac:dyDescent="0.25">
      <c r="A2007">
        <v>269472</v>
      </c>
      <c r="B2007" t="s">
        <v>2110</v>
      </c>
      <c r="C2007" t="str">
        <f>"9781403916617"</f>
        <v>9781403916617</v>
      </c>
      <c r="D2007" t="str">
        <f>"9780230523111"</f>
        <v>9780230523111</v>
      </c>
      <c r="E2007" t="s">
        <v>875</v>
      </c>
      <c r="F2007" t="s">
        <v>876</v>
      </c>
      <c r="G2007" s="1">
        <v>37939</v>
      </c>
      <c r="H2007" s="1">
        <v>38961</v>
      </c>
      <c r="I2007" t="s">
        <v>12</v>
      </c>
      <c r="J2007" t="s">
        <v>12777</v>
      </c>
    </row>
    <row r="2008" spans="1:10" x14ac:dyDescent="0.25">
      <c r="A2008">
        <v>269486</v>
      </c>
      <c r="B2008" t="s">
        <v>2111</v>
      </c>
      <c r="C2008" t="str">
        <f>"9780415283359"</f>
        <v>9780415283359</v>
      </c>
      <c r="D2008" t="str">
        <f>"9780203966624"</f>
        <v>9780203966624</v>
      </c>
      <c r="E2008" t="s">
        <v>15</v>
      </c>
      <c r="F2008" t="s">
        <v>16</v>
      </c>
      <c r="G2008" s="1">
        <v>38895</v>
      </c>
      <c r="H2008" s="1">
        <v>38961</v>
      </c>
      <c r="I2008" t="s">
        <v>12</v>
      </c>
      <c r="J2008" t="s">
        <v>12778</v>
      </c>
    </row>
    <row r="2009" spans="1:10" x14ac:dyDescent="0.25">
      <c r="A2009">
        <v>269487</v>
      </c>
      <c r="B2009" t="s">
        <v>2112</v>
      </c>
      <c r="C2009" t="str">
        <f>"9780415338479"</f>
        <v>9780415338479</v>
      </c>
      <c r="D2009" t="str">
        <f>"9780203441428"</f>
        <v>9780203441428</v>
      </c>
      <c r="E2009" t="s">
        <v>15</v>
      </c>
      <c r="F2009" t="s">
        <v>16</v>
      </c>
      <c r="G2009" s="1">
        <v>38938</v>
      </c>
      <c r="H2009" s="1">
        <v>38961</v>
      </c>
      <c r="I2009" t="s">
        <v>12</v>
      </c>
      <c r="J2009" t="s">
        <v>12779</v>
      </c>
    </row>
    <row r="2010" spans="1:10" x14ac:dyDescent="0.25">
      <c r="A2010">
        <v>269492</v>
      </c>
      <c r="B2010" t="s">
        <v>2113</v>
      </c>
      <c r="C2010" t="str">
        <f>"9780415360838"</f>
        <v>9780415360838</v>
      </c>
      <c r="D2010" t="str">
        <f>"9780203799420"</f>
        <v>9780203799420</v>
      </c>
      <c r="E2010" t="s">
        <v>144</v>
      </c>
      <c r="F2010" t="s">
        <v>153</v>
      </c>
      <c r="G2010" s="1">
        <v>38922</v>
      </c>
      <c r="H2010" s="1">
        <v>38961</v>
      </c>
      <c r="I2010" t="s">
        <v>12</v>
      </c>
      <c r="J2010" t="s">
        <v>12780</v>
      </c>
    </row>
    <row r="2011" spans="1:10" x14ac:dyDescent="0.25">
      <c r="A2011">
        <v>269494</v>
      </c>
      <c r="B2011" t="s">
        <v>2114</v>
      </c>
      <c r="C2011" t="str">
        <f>"9780415362450"</f>
        <v>9780415362450</v>
      </c>
      <c r="D2011" t="str">
        <f>"9780203012758"</f>
        <v>9780203012758</v>
      </c>
      <c r="E2011" t="s">
        <v>15</v>
      </c>
      <c r="F2011" t="s">
        <v>16</v>
      </c>
      <c r="G2011" s="1">
        <v>38966</v>
      </c>
      <c r="H2011" s="1">
        <v>39122</v>
      </c>
      <c r="I2011" t="s">
        <v>12</v>
      </c>
      <c r="J2011" t="s">
        <v>12781</v>
      </c>
    </row>
    <row r="2012" spans="1:10" x14ac:dyDescent="0.25">
      <c r="A2012">
        <v>269496</v>
      </c>
      <c r="B2012" t="s">
        <v>2115</v>
      </c>
      <c r="C2012" t="str">
        <f>"9780415363082"</f>
        <v>9780415363082</v>
      </c>
      <c r="D2012" t="str">
        <f>"9780203013373"</f>
        <v>9780203013373</v>
      </c>
      <c r="E2012" t="s">
        <v>15</v>
      </c>
      <c r="F2012" t="s">
        <v>153</v>
      </c>
      <c r="G2012" s="1">
        <v>38718</v>
      </c>
      <c r="H2012" s="1">
        <v>38961</v>
      </c>
      <c r="I2012" t="s">
        <v>12</v>
      </c>
      <c r="J2012" t="s">
        <v>12782</v>
      </c>
    </row>
    <row r="2013" spans="1:10" x14ac:dyDescent="0.25">
      <c r="A2013">
        <v>269497</v>
      </c>
      <c r="B2013" t="s">
        <v>2116</v>
      </c>
      <c r="C2013" t="str">
        <f>"9780415363464"</f>
        <v>9780415363464</v>
      </c>
      <c r="D2013" t="str">
        <f>"9780203014394"</f>
        <v>9780203014394</v>
      </c>
      <c r="E2013" t="s">
        <v>15</v>
      </c>
      <c r="F2013" t="s">
        <v>16</v>
      </c>
      <c r="G2013" s="1">
        <v>38931</v>
      </c>
      <c r="H2013" s="1">
        <v>38961</v>
      </c>
      <c r="I2013" t="s">
        <v>12</v>
      </c>
      <c r="J2013" t="s">
        <v>12783</v>
      </c>
    </row>
    <row r="2014" spans="1:10" x14ac:dyDescent="0.25">
      <c r="A2014">
        <v>269500</v>
      </c>
      <c r="B2014" t="s">
        <v>2117</v>
      </c>
      <c r="C2014" t="str">
        <f>"9780415372725"</f>
        <v>9780415372725</v>
      </c>
      <c r="D2014" t="str">
        <f>"9780203969380"</f>
        <v>9780203969380</v>
      </c>
      <c r="E2014" t="s">
        <v>16</v>
      </c>
      <c r="F2014" t="s">
        <v>16</v>
      </c>
      <c r="G2014" s="1">
        <v>39140</v>
      </c>
      <c r="H2014" s="1">
        <v>38961</v>
      </c>
      <c r="I2014" t="s">
        <v>12</v>
      </c>
      <c r="J2014" t="s">
        <v>12784</v>
      </c>
    </row>
    <row r="2015" spans="1:10" x14ac:dyDescent="0.25">
      <c r="A2015">
        <v>269502</v>
      </c>
      <c r="B2015" t="s">
        <v>2118</v>
      </c>
      <c r="C2015" t="str">
        <f>"9780415374873"</f>
        <v>9780415374873</v>
      </c>
      <c r="D2015" t="str">
        <f>"9780203966921"</f>
        <v>9780203966921</v>
      </c>
      <c r="E2015" t="s">
        <v>15</v>
      </c>
      <c r="F2015" t="s">
        <v>16</v>
      </c>
      <c r="G2015" s="1">
        <v>38947</v>
      </c>
      <c r="H2015" s="1">
        <v>38961</v>
      </c>
      <c r="I2015" t="s">
        <v>12</v>
      </c>
      <c r="J2015" t="s">
        <v>12785</v>
      </c>
    </row>
    <row r="2016" spans="1:10" x14ac:dyDescent="0.25">
      <c r="A2016">
        <v>269504</v>
      </c>
      <c r="B2016" t="s">
        <v>2119</v>
      </c>
      <c r="C2016" t="str">
        <f>"9780415375719"</f>
        <v>9780415375719</v>
      </c>
      <c r="D2016" t="str">
        <f>"9780203099193"</f>
        <v>9780203099193</v>
      </c>
      <c r="E2016" t="s">
        <v>15</v>
      </c>
      <c r="F2016" t="s">
        <v>16</v>
      </c>
      <c r="G2016" s="1">
        <v>38930</v>
      </c>
      <c r="H2016" s="1">
        <v>39071</v>
      </c>
      <c r="I2016" t="s">
        <v>12</v>
      </c>
      <c r="J2016" t="s">
        <v>12786</v>
      </c>
    </row>
    <row r="2017" spans="1:10" x14ac:dyDescent="0.25">
      <c r="A2017">
        <v>269505</v>
      </c>
      <c r="B2017" t="s">
        <v>2120</v>
      </c>
      <c r="C2017" t="str">
        <f>"9780415375740"</f>
        <v>9780415375740</v>
      </c>
      <c r="D2017" t="str">
        <f>"9780203099186"</f>
        <v>9780203099186</v>
      </c>
      <c r="E2017" t="s">
        <v>15</v>
      </c>
      <c r="F2017" t="s">
        <v>16</v>
      </c>
      <c r="G2017" s="1">
        <v>38947</v>
      </c>
      <c r="H2017" s="1">
        <v>38961</v>
      </c>
      <c r="I2017" t="s">
        <v>12</v>
      </c>
      <c r="J2017" t="s">
        <v>12787</v>
      </c>
    </row>
    <row r="2018" spans="1:10" x14ac:dyDescent="0.25">
      <c r="A2018">
        <v>269506</v>
      </c>
      <c r="B2018" t="s">
        <v>2121</v>
      </c>
      <c r="C2018" t="str">
        <f>"9780415375900"</f>
        <v>9780415375900</v>
      </c>
      <c r="D2018" t="str">
        <f>"9780203088425"</f>
        <v>9780203088425</v>
      </c>
      <c r="E2018" t="s">
        <v>15</v>
      </c>
      <c r="F2018" t="s">
        <v>16</v>
      </c>
      <c r="G2018" s="1">
        <v>38905</v>
      </c>
      <c r="H2018" s="1">
        <v>38961</v>
      </c>
      <c r="I2018" t="s">
        <v>12</v>
      </c>
      <c r="J2018" t="s">
        <v>12788</v>
      </c>
    </row>
    <row r="2019" spans="1:10" x14ac:dyDescent="0.25">
      <c r="A2019">
        <v>269528</v>
      </c>
      <c r="B2019" t="s">
        <v>2122</v>
      </c>
      <c r="C2019" t="str">
        <f>"9780750657426"</f>
        <v>9780750657426</v>
      </c>
      <c r="D2019" t="str">
        <f>"9780080454634"</f>
        <v>9780080454634</v>
      </c>
      <c r="E2019" t="s">
        <v>15</v>
      </c>
      <c r="F2019" t="s">
        <v>16</v>
      </c>
      <c r="G2019" s="1">
        <v>38793</v>
      </c>
      <c r="H2019" s="1">
        <v>38984</v>
      </c>
      <c r="I2019" t="s">
        <v>12</v>
      </c>
      <c r="J2019" t="s">
        <v>12789</v>
      </c>
    </row>
    <row r="2020" spans="1:10" x14ac:dyDescent="0.25">
      <c r="A2020">
        <v>269538</v>
      </c>
      <c r="B2020" t="s">
        <v>2123</v>
      </c>
      <c r="C2020" t="str">
        <f>"9780750659963"</f>
        <v>9780750659963</v>
      </c>
      <c r="D2020" t="str">
        <f>"9780080454849"</f>
        <v>9780080454849</v>
      </c>
      <c r="E2020" t="s">
        <v>15</v>
      </c>
      <c r="F2020" t="s">
        <v>16</v>
      </c>
      <c r="G2020" s="1">
        <v>38460</v>
      </c>
      <c r="H2020" s="1">
        <v>38984</v>
      </c>
      <c r="I2020" t="s">
        <v>12</v>
      </c>
      <c r="J2020" t="s">
        <v>12790</v>
      </c>
    </row>
    <row r="2021" spans="1:10" x14ac:dyDescent="0.25">
      <c r="A2021">
        <v>269545</v>
      </c>
      <c r="B2021" t="s">
        <v>2124</v>
      </c>
      <c r="C2021" t="str">
        <f>"9780750661003"</f>
        <v>9780750661003</v>
      </c>
      <c r="D2021" t="str">
        <f>"9780080454993"</f>
        <v>9780080454993</v>
      </c>
      <c r="E2021" t="s">
        <v>1119</v>
      </c>
      <c r="F2021" t="s">
        <v>2125</v>
      </c>
      <c r="G2021" s="1">
        <v>37930</v>
      </c>
      <c r="H2021" s="1">
        <v>38984</v>
      </c>
      <c r="I2021" t="s">
        <v>12</v>
      </c>
      <c r="J2021" t="s">
        <v>12791</v>
      </c>
    </row>
    <row r="2022" spans="1:10" x14ac:dyDescent="0.25">
      <c r="A2022">
        <v>269547</v>
      </c>
      <c r="B2022" t="s">
        <v>2126</v>
      </c>
      <c r="C2022" t="str">
        <f>"9780750660051"</f>
        <v>9780750660051</v>
      </c>
      <c r="D2022" t="str">
        <f>"9780080455051"</f>
        <v>9780080455051</v>
      </c>
      <c r="E2022" t="s">
        <v>15</v>
      </c>
      <c r="F2022" t="s">
        <v>16</v>
      </c>
      <c r="G2022" s="1">
        <v>38643</v>
      </c>
      <c r="H2022" s="1">
        <v>40171</v>
      </c>
      <c r="I2022" t="s">
        <v>12</v>
      </c>
      <c r="J2022" t="s">
        <v>12792</v>
      </c>
    </row>
    <row r="2023" spans="1:10" x14ac:dyDescent="0.25">
      <c r="A2023">
        <v>269563</v>
      </c>
      <c r="B2023" t="s">
        <v>2127</v>
      </c>
      <c r="C2023" t="str">
        <f>"9780750663120"</f>
        <v>9780750663120</v>
      </c>
      <c r="D2023" t="str">
        <f>"9780080455471"</f>
        <v>9780080455471</v>
      </c>
      <c r="E2023" t="s">
        <v>15</v>
      </c>
      <c r="F2023" t="s">
        <v>16</v>
      </c>
      <c r="G2023" s="1">
        <v>38545</v>
      </c>
      <c r="H2023" s="1">
        <v>40171</v>
      </c>
      <c r="I2023" t="s">
        <v>12</v>
      </c>
      <c r="J2023" t="s">
        <v>12793</v>
      </c>
    </row>
    <row r="2024" spans="1:10" x14ac:dyDescent="0.25">
      <c r="A2024">
        <v>269572</v>
      </c>
      <c r="B2024" t="s">
        <v>2128</v>
      </c>
      <c r="C2024" t="str">
        <f>"9780750678117"</f>
        <v>9780750678117</v>
      </c>
      <c r="D2024" t="str">
        <f>"9780080455778"</f>
        <v>9780080455778</v>
      </c>
      <c r="E2024" t="s">
        <v>15</v>
      </c>
      <c r="F2024" t="s">
        <v>16</v>
      </c>
      <c r="G2024" s="1">
        <v>40752</v>
      </c>
      <c r="H2024" s="1">
        <v>40171</v>
      </c>
      <c r="I2024" t="s">
        <v>12</v>
      </c>
      <c r="J2024" t="s">
        <v>12794</v>
      </c>
    </row>
    <row r="2025" spans="1:10" x14ac:dyDescent="0.25">
      <c r="A2025">
        <v>269588</v>
      </c>
      <c r="B2025" t="s">
        <v>2129</v>
      </c>
      <c r="C2025" t="str">
        <f>"9780240806693"</f>
        <v>9780240806693</v>
      </c>
      <c r="D2025" t="str">
        <f>"9780080456539"</f>
        <v>9780080456539</v>
      </c>
      <c r="E2025" t="s">
        <v>15</v>
      </c>
      <c r="F2025" t="s">
        <v>1122</v>
      </c>
      <c r="G2025" s="1">
        <v>41479</v>
      </c>
      <c r="H2025" s="1">
        <v>39071</v>
      </c>
      <c r="I2025" t="s">
        <v>12</v>
      </c>
      <c r="J2025" t="s">
        <v>12795</v>
      </c>
    </row>
    <row r="2026" spans="1:10" x14ac:dyDescent="0.25">
      <c r="A2026">
        <v>269628</v>
      </c>
      <c r="B2026" t="s">
        <v>2130</v>
      </c>
      <c r="C2026" t="str">
        <f>"9780750666008"</f>
        <v>9780750666008</v>
      </c>
      <c r="D2026" t="str">
        <f>"9780080457758"</f>
        <v>9780080457758</v>
      </c>
      <c r="E2026" t="s">
        <v>15</v>
      </c>
      <c r="F2026" t="s">
        <v>16</v>
      </c>
      <c r="G2026" s="1">
        <v>38365</v>
      </c>
      <c r="H2026" s="1">
        <v>38984</v>
      </c>
      <c r="I2026" t="s">
        <v>12</v>
      </c>
      <c r="J2026" t="s">
        <v>12796</v>
      </c>
    </row>
    <row r="2027" spans="1:10" x14ac:dyDescent="0.25">
      <c r="A2027">
        <v>269660</v>
      </c>
      <c r="B2027" t="s">
        <v>2131</v>
      </c>
      <c r="C2027" t="str">
        <f>"9780240519883"</f>
        <v>9780240519883</v>
      </c>
      <c r="D2027" t="str">
        <f>"9780080458748"</f>
        <v>9780080458748</v>
      </c>
      <c r="E2027" t="s">
        <v>15</v>
      </c>
      <c r="F2027" t="s">
        <v>1122</v>
      </c>
      <c r="G2027" s="1">
        <v>38808</v>
      </c>
      <c r="H2027" s="1">
        <v>38984</v>
      </c>
      <c r="I2027" t="s">
        <v>12</v>
      </c>
      <c r="J2027" t="s">
        <v>12797</v>
      </c>
    </row>
    <row r="2028" spans="1:10" x14ac:dyDescent="0.25">
      <c r="A2028">
        <v>269662</v>
      </c>
      <c r="B2028" t="s">
        <v>2132</v>
      </c>
      <c r="C2028" t="str">
        <f>"9780750666824"</f>
        <v>9780750666824</v>
      </c>
      <c r="D2028" t="str">
        <f>"9780080458793"</f>
        <v>9780080458793</v>
      </c>
      <c r="E2028" t="s">
        <v>15</v>
      </c>
      <c r="F2028" t="s">
        <v>16</v>
      </c>
      <c r="G2028" s="1">
        <v>38630</v>
      </c>
      <c r="H2028" s="1">
        <v>38984</v>
      </c>
      <c r="I2028" t="s">
        <v>12</v>
      </c>
      <c r="J2028" t="s">
        <v>12798</v>
      </c>
    </row>
    <row r="2029" spans="1:10" x14ac:dyDescent="0.25">
      <c r="A2029">
        <v>269695</v>
      </c>
      <c r="B2029" t="s">
        <v>2133</v>
      </c>
      <c r="C2029" t="str">
        <f>"9780123694737"</f>
        <v>9780123694737</v>
      </c>
      <c r="D2029" t="str">
        <f>"9780080459639"</f>
        <v>9780080459639</v>
      </c>
      <c r="E2029" t="s">
        <v>1119</v>
      </c>
      <c r="F2029" t="s">
        <v>2134</v>
      </c>
      <c r="G2029" s="1">
        <v>38706</v>
      </c>
      <c r="H2029" s="1">
        <v>38984</v>
      </c>
      <c r="I2029" t="s">
        <v>12</v>
      </c>
      <c r="J2029" t="s">
        <v>12799</v>
      </c>
    </row>
    <row r="2030" spans="1:10" x14ac:dyDescent="0.25">
      <c r="A2030">
        <v>269710</v>
      </c>
      <c r="B2030" t="s">
        <v>2135</v>
      </c>
      <c r="C2030" t="str">
        <f>"9780750667852"</f>
        <v>9780750667852</v>
      </c>
      <c r="D2030" t="str">
        <f>"9780080460000"</f>
        <v>9780080460000</v>
      </c>
      <c r="E2030" t="s">
        <v>15</v>
      </c>
      <c r="F2030" t="s">
        <v>16</v>
      </c>
      <c r="G2030" s="1">
        <v>38940</v>
      </c>
      <c r="H2030" s="1">
        <v>40084</v>
      </c>
      <c r="I2030" t="s">
        <v>12</v>
      </c>
      <c r="J2030" t="s">
        <v>12800</v>
      </c>
    </row>
    <row r="2031" spans="1:10" x14ac:dyDescent="0.25">
      <c r="A2031">
        <v>269755</v>
      </c>
      <c r="B2031" t="s">
        <v>2136</v>
      </c>
      <c r="C2031" t="str">
        <f>"9780240807676"</f>
        <v>9780240807676</v>
      </c>
      <c r="D2031" t="str">
        <f>"9780080460918"</f>
        <v>9780080460918</v>
      </c>
      <c r="E2031" t="s">
        <v>15</v>
      </c>
      <c r="F2031" t="s">
        <v>1122</v>
      </c>
      <c r="G2031" s="1">
        <v>38800</v>
      </c>
      <c r="H2031" s="1">
        <v>39071</v>
      </c>
      <c r="I2031" t="s">
        <v>12</v>
      </c>
      <c r="J2031" t="s">
        <v>12801</v>
      </c>
    </row>
    <row r="2032" spans="1:10" x14ac:dyDescent="0.25">
      <c r="A2032">
        <v>269776</v>
      </c>
      <c r="B2032" t="s">
        <v>2137</v>
      </c>
      <c r="C2032" t="str">
        <f>"9780750664011"</f>
        <v>9780750664011</v>
      </c>
      <c r="D2032" t="str">
        <f>"9780080461441"</f>
        <v>9780080461441</v>
      </c>
      <c r="E2032" t="s">
        <v>1119</v>
      </c>
      <c r="F2032" t="s">
        <v>2125</v>
      </c>
      <c r="G2032" s="1">
        <v>38799</v>
      </c>
      <c r="H2032" s="1">
        <v>38984</v>
      </c>
      <c r="I2032" t="s">
        <v>12</v>
      </c>
      <c r="J2032" t="s">
        <v>12802</v>
      </c>
    </row>
    <row r="2033" spans="1:10" x14ac:dyDescent="0.25">
      <c r="A2033">
        <v>269780</v>
      </c>
      <c r="B2033" t="s">
        <v>2138</v>
      </c>
      <c r="C2033" t="str">
        <f>"9780750679749"</f>
        <v>9780750679749</v>
      </c>
      <c r="D2033" t="str">
        <f>"9780080461687"</f>
        <v>9780080461687</v>
      </c>
      <c r="E2033" t="s">
        <v>15</v>
      </c>
      <c r="F2033" t="s">
        <v>16</v>
      </c>
      <c r="G2033" s="1">
        <v>40746</v>
      </c>
      <c r="H2033" s="1">
        <v>38984</v>
      </c>
      <c r="I2033" t="s">
        <v>12</v>
      </c>
      <c r="J2033" t="s">
        <v>12803</v>
      </c>
    </row>
    <row r="2034" spans="1:10" x14ac:dyDescent="0.25">
      <c r="A2034">
        <v>269783</v>
      </c>
      <c r="B2034" t="s">
        <v>2139</v>
      </c>
      <c r="C2034" t="str">
        <f>"9780750679763"</f>
        <v>9780750679763</v>
      </c>
      <c r="D2034" t="str">
        <f>"9780080461762"</f>
        <v>9780080461762</v>
      </c>
      <c r="E2034" t="s">
        <v>15</v>
      </c>
      <c r="F2034" t="s">
        <v>16</v>
      </c>
      <c r="G2034" s="1">
        <v>38726</v>
      </c>
      <c r="H2034" s="1">
        <v>40171</v>
      </c>
      <c r="I2034" t="s">
        <v>12</v>
      </c>
      <c r="J2034" t="s">
        <v>12804</v>
      </c>
    </row>
    <row r="2035" spans="1:10" x14ac:dyDescent="0.25">
      <c r="A2035">
        <v>269798</v>
      </c>
      <c r="B2035" t="s">
        <v>2140</v>
      </c>
      <c r="C2035" t="str">
        <f>"9780750680004"</f>
        <v>9780750680004</v>
      </c>
      <c r="D2035" t="str">
        <f>"9780080468587"</f>
        <v>9780080468587</v>
      </c>
      <c r="E2035" t="s">
        <v>16</v>
      </c>
      <c r="F2035" t="s">
        <v>16</v>
      </c>
      <c r="G2035" s="1">
        <v>38792</v>
      </c>
      <c r="H2035" s="1">
        <v>40171</v>
      </c>
      <c r="I2035" t="s">
        <v>12</v>
      </c>
      <c r="J2035" t="s">
        <v>12805</v>
      </c>
    </row>
    <row r="2036" spans="1:10" x14ac:dyDescent="0.25">
      <c r="A2036">
        <v>269816</v>
      </c>
      <c r="B2036" t="s">
        <v>2141</v>
      </c>
      <c r="C2036" t="str">
        <f>"9780333982099"</f>
        <v>9780333982099</v>
      </c>
      <c r="D2036" t="str">
        <f>"9780230523524"</f>
        <v>9780230523524</v>
      </c>
      <c r="E2036" t="s">
        <v>875</v>
      </c>
      <c r="F2036" t="s">
        <v>876</v>
      </c>
      <c r="G2036" s="1">
        <v>38071</v>
      </c>
      <c r="H2036" s="1">
        <v>38977</v>
      </c>
      <c r="I2036" t="s">
        <v>12</v>
      </c>
      <c r="J2036" t="s">
        <v>12806</v>
      </c>
    </row>
    <row r="2037" spans="1:10" x14ac:dyDescent="0.25">
      <c r="A2037">
        <v>269847</v>
      </c>
      <c r="B2037" t="s">
        <v>2142</v>
      </c>
      <c r="C2037" t="str">
        <f>"9781904879626"</f>
        <v>9781904879626</v>
      </c>
      <c r="D2037" t="str">
        <f>"9780462094304"</f>
        <v>9780462094304</v>
      </c>
      <c r="E2037" t="s">
        <v>2143</v>
      </c>
      <c r="F2037" t="s">
        <v>2144</v>
      </c>
      <c r="G2037" s="1">
        <v>38785</v>
      </c>
      <c r="H2037" s="1">
        <v>40035</v>
      </c>
      <c r="I2037" t="s">
        <v>12</v>
      </c>
      <c r="J2037" t="s">
        <v>12807</v>
      </c>
    </row>
    <row r="2038" spans="1:10" x14ac:dyDescent="0.25">
      <c r="A2038">
        <v>269894</v>
      </c>
      <c r="B2038" t="s">
        <v>2145</v>
      </c>
      <c r="C2038" t="str">
        <f>"9780750659055"</f>
        <v>9780750659055</v>
      </c>
      <c r="D2038" t="str">
        <f>"9780080454689"</f>
        <v>9780080454689</v>
      </c>
      <c r="E2038" t="s">
        <v>1119</v>
      </c>
      <c r="F2038" t="s">
        <v>2125</v>
      </c>
      <c r="G2038" s="1">
        <v>38590</v>
      </c>
      <c r="H2038" s="1">
        <v>38984</v>
      </c>
      <c r="I2038" t="s">
        <v>12</v>
      </c>
      <c r="J2038" t="s">
        <v>12808</v>
      </c>
    </row>
    <row r="2039" spans="1:10" x14ac:dyDescent="0.25">
      <c r="A2039">
        <v>269900</v>
      </c>
      <c r="B2039" t="s">
        <v>2146</v>
      </c>
      <c r="C2039" t="str">
        <f>"9780750659956"</f>
        <v>9780750659956</v>
      </c>
      <c r="D2039" t="str">
        <f>"9780080454832"</f>
        <v>9780080454832</v>
      </c>
      <c r="E2039" t="s">
        <v>15</v>
      </c>
      <c r="F2039" t="s">
        <v>16</v>
      </c>
      <c r="G2039" s="1">
        <v>38545</v>
      </c>
      <c r="H2039" s="1">
        <v>38984</v>
      </c>
      <c r="I2039" t="s">
        <v>12</v>
      </c>
      <c r="J2039" t="s">
        <v>12809</v>
      </c>
    </row>
    <row r="2040" spans="1:10" x14ac:dyDescent="0.25">
      <c r="A2040">
        <v>269914</v>
      </c>
      <c r="B2040" t="s">
        <v>2147</v>
      </c>
      <c r="C2040" t="str">
        <f>"9780750660075"</f>
        <v>9780750660075</v>
      </c>
      <c r="D2040" t="str">
        <f>"9780080455136"</f>
        <v>9780080455136</v>
      </c>
      <c r="E2040" t="s">
        <v>1119</v>
      </c>
      <c r="F2040" t="s">
        <v>2125</v>
      </c>
      <c r="G2040" s="1">
        <v>38698</v>
      </c>
      <c r="H2040" s="1">
        <v>38984</v>
      </c>
      <c r="I2040" t="s">
        <v>12</v>
      </c>
      <c r="J2040" t="s">
        <v>12810</v>
      </c>
    </row>
    <row r="2041" spans="1:10" x14ac:dyDescent="0.25">
      <c r="A2041">
        <v>269920</v>
      </c>
      <c r="B2041" t="s">
        <v>2148</v>
      </c>
      <c r="C2041" t="str">
        <f>"9780750661805"</f>
        <v>9780750661805</v>
      </c>
      <c r="D2041" t="str">
        <f>"9780080455211"</f>
        <v>9780080455211</v>
      </c>
      <c r="E2041" t="s">
        <v>16</v>
      </c>
      <c r="F2041" t="s">
        <v>16</v>
      </c>
      <c r="G2041" s="1">
        <v>40229</v>
      </c>
      <c r="H2041" s="1">
        <v>39010</v>
      </c>
      <c r="I2041" t="s">
        <v>12</v>
      </c>
      <c r="J2041" t="s">
        <v>12811</v>
      </c>
    </row>
    <row r="2042" spans="1:10" x14ac:dyDescent="0.25">
      <c r="A2042">
        <v>269928</v>
      </c>
      <c r="B2042" t="s">
        <v>2149</v>
      </c>
      <c r="C2042" t="str">
        <f>"9780750661843"</f>
        <v>9780750661843</v>
      </c>
      <c r="D2042" t="str">
        <f>"9780080455310"</f>
        <v>9780080455310</v>
      </c>
      <c r="E2042" t="s">
        <v>15</v>
      </c>
      <c r="F2042" t="s">
        <v>16</v>
      </c>
      <c r="G2042" s="1">
        <v>38691</v>
      </c>
      <c r="H2042" s="1">
        <v>38984</v>
      </c>
      <c r="I2042" t="s">
        <v>12</v>
      </c>
      <c r="J2042" t="s">
        <v>12812</v>
      </c>
    </row>
    <row r="2043" spans="1:10" x14ac:dyDescent="0.25">
      <c r="A2043">
        <v>269930</v>
      </c>
      <c r="B2043" t="s">
        <v>2150</v>
      </c>
      <c r="C2043" t="str">
        <f>"9780750662154"</f>
        <v>9780750662154</v>
      </c>
      <c r="D2043" t="str">
        <f>"9780080455334"</f>
        <v>9780080455334</v>
      </c>
      <c r="E2043" t="s">
        <v>15</v>
      </c>
      <c r="F2043" t="s">
        <v>16</v>
      </c>
      <c r="G2043" s="1">
        <v>38610</v>
      </c>
      <c r="H2043" s="1">
        <v>40171</v>
      </c>
      <c r="I2043" t="s">
        <v>12</v>
      </c>
      <c r="J2043" t="s">
        <v>12813</v>
      </c>
    </row>
    <row r="2044" spans="1:10" x14ac:dyDescent="0.25">
      <c r="A2044">
        <v>269933</v>
      </c>
      <c r="B2044" t="s">
        <v>2151</v>
      </c>
      <c r="C2044" t="str">
        <f>"9780750662482"</f>
        <v>9780750662482</v>
      </c>
      <c r="D2044" t="str">
        <f>"9780080455365"</f>
        <v>9780080455365</v>
      </c>
      <c r="E2044" t="s">
        <v>15</v>
      </c>
      <c r="F2044" t="s">
        <v>16</v>
      </c>
      <c r="G2044" s="1">
        <v>38532</v>
      </c>
      <c r="H2044" s="1">
        <v>40305</v>
      </c>
      <c r="I2044" t="s">
        <v>12</v>
      </c>
      <c r="J2044" t="s">
        <v>12814</v>
      </c>
    </row>
    <row r="2045" spans="1:10" x14ac:dyDescent="0.25">
      <c r="A2045">
        <v>269939</v>
      </c>
      <c r="B2045" t="s">
        <v>2152</v>
      </c>
      <c r="C2045" t="str">
        <f>"9780750663182"</f>
        <v>9780750663182</v>
      </c>
      <c r="D2045" t="str">
        <f>"9780080455501"</f>
        <v>9780080455501</v>
      </c>
      <c r="E2045" t="s">
        <v>15</v>
      </c>
      <c r="F2045" t="s">
        <v>16</v>
      </c>
      <c r="G2045" s="1">
        <v>38673</v>
      </c>
      <c r="H2045" s="1">
        <v>40249</v>
      </c>
      <c r="I2045" t="s">
        <v>12</v>
      </c>
      <c r="J2045" t="s">
        <v>12815</v>
      </c>
    </row>
    <row r="2046" spans="1:10" x14ac:dyDescent="0.25">
      <c r="A2046">
        <v>269954</v>
      </c>
      <c r="B2046" t="s">
        <v>2153</v>
      </c>
      <c r="C2046" t="str">
        <f>"9780750663564"</f>
        <v>9780750663564</v>
      </c>
      <c r="D2046" t="str">
        <f>"9780080455723"</f>
        <v>9780080455723</v>
      </c>
      <c r="E2046" t="s">
        <v>1119</v>
      </c>
      <c r="F2046" t="s">
        <v>1147</v>
      </c>
      <c r="G2046" s="1">
        <v>38322</v>
      </c>
      <c r="H2046" s="1">
        <v>38984</v>
      </c>
      <c r="I2046" t="s">
        <v>12</v>
      </c>
      <c r="J2046" t="s">
        <v>12816</v>
      </c>
    </row>
    <row r="2047" spans="1:10" x14ac:dyDescent="0.25">
      <c r="A2047">
        <v>269956</v>
      </c>
      <c r="B2047" t="s">
        <v>2154</v>
      </c>
      <c r="C2047" t="str">
        <f>"9780750663625"</f>
        <v>9780750663625</v>
      </c>
      <c r="D2047" t="str">
        <f>"9780080455747"</f>
        <v>9780080455747</v>
      </c>
      <c r="E2047" t="s">
        <v>15</v>
      </c>
      <c r="F2047" t="s">
        <v>16</v>
      </c>
      <c r="G2047" s="1">
        <v>38649</v>
      </c>
      <c r="H2047" s="1">
        <v>40171</v>
      </c>
      <c r="I2047" t="s">
        <v>12</v>
      </c>
      <c r="J2047" t="s">
        <v>12817</v>
      </c>
    </row>
    <row r="2048" spans="1:10" x14ac:dyDescent="0.25">
      <c r="A2048">
        <v>269958</v>
      </c>
      <c r="B2048" t="s">
        <v>2155</v>
      </c>
      <c r="C2048" t="str">
        <f>"9780750663694"</f>
        <v>9780750663694</v>
      </c>
      <c r="D2048" t="str">
        <f>"9780080455785"</f>
        <v>9780080455785</v>
      </c>
      <c r="E2048" t="s">
        <v>15</v>
      </c>
      <c r="F2048" t="s">
        <v>16</v>
      </c>
      <c r="G2048" s="1">
        <v>38832</v>
      </c>
      <c r="H2048" s="1">
        <v>40171</v>
      </c>
      <c r="I2048" t="s">
        <v>12</v>
      </c>
      <c r="J2048" t="s">
        <v>12818</v>
      </c>
    </row>
    <row r="2049" spans="1:10" x14ac:dyDescent="0.25">
      <c r="A2049">
        <v>269960</v>
      </c>
      <c r="B2049" t="s">
        <v>2156</v>
      </c>
      <c r="C2049" t="str">
        <f>"9780750663632"</f>
        <v>9780750663632</v>
      </c>
      <c r="D2049" t="str">
        <f>"9780080455815"</f>
        <v>9780080455815</v>
      </c>
      <c r="E2049" t="s">
        <v>15</v>
      </c>
      <c r="F2049" t="s">
        <v>16</v>
      </c>
      <c r="G2049" s="1">
        <v>40229</v>
      </c>
      <c r="H2049" s="1">
        <v>40171</v>
      </c>
      <c r="I2049" t="s">
        <v>12</v>
      </c>
      <c r="J2049" t="s">
        <v>12819</v>
      </c>
    </row>
    <row r="2050" spans="1:10" x14ac:dyDescent="0.25">
      <c r="A2050">
        <v>269961</v>
      </c>
      <c r="B2050" t="s">
        <v>2157</v>
      </c>
      <c r="C2050" t="str">
        <f>"9780750663649"</f>
        <v>9780750663649</v>
      </c>
      <c r="D2050" t="str">
        <f>"9780080455822"</f>
        <v>9780080455822</v>
      </c>
      <c r="E2050" t="s">
        <v>15</v>
      </c>
      <c r="F2050" t="s">
        <v>16</v>
      </c>
      <c r="G2050" s="1">
        <v>38832</v>
      </c>
      <c r="H2050" s="1">
        <v>40171</v>
      </c>
      <c r="I2050" t="s">
        <v>12</v>
      </c>
      <c r="J2050" t="s">
        <v>12820</v>
      </c>
    </row>
    <row r="2051" spans="1:10" x14ac:dyDescent="0.25">
      <c r="A2051">
        <v>269962</v>
      </c>
      <c r="B2051" t="s">
        <v>2158</v>
      </c>
      <c r="C2051" t="str">
        <f>"9780750663656"</f>
        <v>9780750663656</v>
      </c>
      <c r="D2051" t="str">
        <f>"9780080455839"</f>
        <v>9780080455839</v>
      </c>
      <c r="E2051" t="s">
        <v>15</v>
      </c>
      <c r="F2051" t="s">
        <v>16</v>
      </c>
      <c r="G2051" s="1">
        <v>38954</v>
      </c>
      <c r="H2051" s="1">
        <v>40171</v>
      </c>
      <c r="I2051" t="s">
        <v>12</v>
      </c>
      <c r="J2051" t="s">
        <v>12821</v>
      </c>
    </row>
    <row r="2052" spans="1:10" x14ac:dyDescent="0.25">
      <c r="A2052">
        <v>269963</v>
      </c>
      <c r="B2052" t="s">
        <v>2159</v>
      </c>
      <c r="C2052" t="str">
        <f>"9780750663663"</f>
        <v>9780750663663</v>
      </c>
      <c r="D2052" t="str">
        <f>"9780080455846"</f>
        <v>9780080455846</v>
      </c>
      <c r="E2052" t="s">
        <v>15</v>
      </c>
      <c r="F2052" t="s">
        <v>16</v>
      </c>
      <c r="G2052" s="1">
        <v>38832</v>
      </c>
      <c r="H2052" s="1">
        <v>40305</v>
      </c>
      <c r="I2052" t="s">
        <v>12</v>
      </c>
      <c r="J2052" t="s">
        <v>12822</v>
      </c>
    </row>
    <row r="2053" spans="1:10" x14ac:dyDescent="0.25">
      <c r="A2053">
        <v>269990</v>
      </c>
      <c r="B2053" t="s">
        <v>2160</v>
      </c>
      <c r="C2053" t="str">
        <f>"9780120885190"</f>
        <v>9780120885190</v>
      </c>
      <c r="D2053" t="str">
        <f>"9780080456201"</f>
        <v>9780080456201</v>
      </c>
      <c r="E2053" t="s">
        <v>1119</v>
      </c>
      <c r="F2053" t="s">
        <v>1120</v>
      </c>
      <c r="G2053" s="1">
        <v>38701</v>
      </c>
      <c r="H2053" s="1">
        <v>39071</v>
      </c>
      <c r="I2053" t="s">
        <v>12</v>
      </c>
      <c r="J2053" t="s">
        <v>12823</v>
      </c>
    </row>
    <row r="2054" spans="1:10" x14ac:dyDescent="0.25">
      <c r="A2054">
        <v>269997</v>
      </c>
      <c r="B2054" t="s">
        <v>2161</v>
      </c>
      <c r="C2054" t="str">
        <f>"9780750678353"</f>
        <v>9780750678353</v>
      </c>
      <c r="D2054" t="str">
        <f>"9780080456300"</f>
        <v>9780080456300</v>
      </c>
      <c r="E2054" t="s">
        <v>16</v>
      </c>
      <c r="F2054" t="s">
        <v>16</v>
      </c>
      <c r="G2054" s="1">
        <v>40738</v>
      </c>
      <c r="H2054" s="1">
        <v>40171</v>
      </c>
      <c r="I2054" t="s">
        <v>12</v>
      </c>
      <c r="J2054" t="s">
        <v>12824</v>
      </c>
    </row>
    <row r="2055" spans="1:10" x14ac:dyDescent="0.25">
      <c r="A2055">
        <v>270028</v>
      </c>
      <c r="B2055" t="s">
        <v>2162</v>
      </c>
      <c r="C2055" t="str">
        <f>"9780762311453"</f>
        <v>9780762311453</v>
      </c>
      <c r="D2055" t="str">
        <f>"9781849502986"</f>
        <v>9781849502986</v>
      </c>
      <c r="E2055" t="s">
        <v>1116</v>
      </c>
      <c r="F2055" t="s">
        <v>2163</v>
      </c>
      <c r="G2055" s="1">
        <v>38322</v>
      </c>
      <c r="H2055" s="1">
        <v>38996</v>
      </c>
      <c r="I2055" t="s">
        <v>12</v>
      </c>
      <c r="J2055" t="s">
        <v>12825</v>
      </c>
    </row>
    <row r="2056" spans="1:10" x14ac:dyDescent="0.25">
      <c r="A2056">
        <v>270108</v>
      </c>
      <c r="B2056" t="s">
        <v>2164</v>
      </c>
      <c r="C2056" t="str">
        <f>"9780750678797"</f>
        <v>9780750678797</v>
      </c>
      <c r="D2056" t="str">
        <f>"9780080458014"</f>
        <v>9780080458014</v>
      </c>
      <c r="E2056" t="s">
        <v>16</v>
      </c>
      <c r="F2056" t="s">
        <v>16</v>
      </c>
      <c r="G2056" s="1">
        <v>40056</v>
      </c>
      <c r="H2056" s="1">
        <v>40084</v>
      </c>
      <c r="I2056" t="s">
        <v>12</v>
      </c>
      <c r="J2056" t="s">
        <v>12826</v>
      </c>
    </row>
    <row r="2057" spans="1:10" x14ac:dyDescent="0.25">
      <c r="A2057">
        <v>270111</v>
      </c>
      <c r="B2057" t="s">
        <v>2165</v>
      </c>
      <c r="C2057" t="str">
        <f>"9780750666367"</f>
        <v>9780750666367</v>
      </c>
      <c r="D2057" t="str">
        <f>"9780080458052"</f>
        <v>9780080458052</v>
      </c>
      <c r="E2057" t="s">
        <v>16</v>
      </c>
      <c r="F2057" t="s">
        <v>16</v>
      </c>
      <c r="G2057" s="1">
        <v>38539</v>
      </c>
      <c r="H2057" s="1">
        <v>38984</v>
      </c>
      <c r="I2057" t="s">
        <v>12</v>
      </c>
      <c r="J2057" t="s">
        <v>12827</v>
      </c>
    </row>
    <row r="2058" spans="1:10" x14ac:dyDescent="0.25">
      <c r="A2058">
        <v>270117</v>
      </c>
      <c r="B2058" t="s">
        <v>2166</v>
      </c>
      <c r="C2058" t="str">
        <f>"9780750678964"</f>
        <v>9780750678964</v>
      </c>
      <c r="D2058" t="str">
        <f>"9780080458113"</f>
        <v>9780080458113</v>
      </c>
      <c r="E2058" t="s">
        <v>16</v>
      </c>
      <c r="F2058" t="s">
        <v>16</v>
      </c>
      <c r="G2058" s="1">
        <v>38565</v>
      </c>
      <c r="H2058" s="1">
        <v>39010</v>
      </c>
      <c r="I2058" t="s">
        <v>12</v>
      </c>
      <c r="J2058" t="s">
        <v>12828</v>
      </c>
    </row>
    <row r="2059" spans="1:10" x14ac:dyDescent="0.25">
      <c r="A2059">
        <v>270131</v>
      </c>
      <c r="B2059" t="s">
        <v>2167</v>
      </c>
      <c r="C2059" t="str">
        <f>"9780240807058"</f>
        <v>9780240807058</v>
      </c>
      <c r="D2059" t="str">
        <f>"9780080458274"</f>
        <v>9780080458274</v>
      </c>
      <c r="E2059" t="s">
        <v>15</v>
      </c>
      <c r="F2059" t="s">
        <v>1122</v>
      </c>
      <c r="G2059" s="1">
        <v>38869</v>
      </c>
      <c r="H2059" s="1">
        <v>39355</v>
      </c>
      <c r="I2059" t="s">
        <v>12</v>
      </c>
      <c r="J2059" t="s">
        <v>12829</v>
      </c>
    </row>
    <row r="2060" spans="1:10" x14ac:dyDescent="0.25">
      <c r="A2060">
        <v>270134</v>
      </c>
      <c r="B2060" t="s">
        <v>2168</v>
      </c>
      <c r="C2060" t="str">
        <f>"9780750666688"</f>
        <v>9780750666688</v>
      </c>
      <c r="D2060" t="str">
        <f>"9780080458397"</f>
        <v>9780080458397</v>
      </c>
      <c r="E2060" t="s">
        <v>15</v>
      </c>
      <c r="F2060" t="s">
        <v>16</v>
      </c>
      <c r="G2060" s="1">
        <v>38590</v>
      </c>
      <c r="H2060" s="1">
        <v>40171</v>
      </c>
      <c r="I2060" t="s">
        <v>12</v>
      </c>
      <c r="J2060" t="s">
        <v>12830</v>
      </c>
    </row>
    <row r="2061" spans="1:10" x14ac:dyDescent="0.25">
      <c r="A2061">
        <v>270146</v>
      </c>
      <c r="B2061" t="s">
        <v>2169</v>
      </c>
      <c r="C2061" t="str">
        <f>"9780750666152"</f>
        <v>9780750666152</v>
      </c>
      <c r="D2061" t="str">
        <f>"9780080458625"</f>
        <v>9780080458625</v>
      </c>
      <c r="E2061" t="s">
        <v>15</v>
      </c>
      <c r="F2061" t="s">
        <v>16</v>
      </c>
      <c r="G2061" s="1">
        <v>38555</v>
      </c>
      <c r="H2061" s="1">
        <v>38984</v>
      </c>
      <c r="I2061" t="s">
        <v>12</v>
      </c>
      <c r="J2061" t="s">
        <v>12831</v>
      </c>
    </row>
    <row r="2062" spans="1:10" x14ac:dyDescent="0.25">
      <c r="A2062">
        <v>270184</v>
      </c>
      <c r="B2062" t="s">
        <v>2170</v>
      </c>
      <c r="C2062" t="str">
        <f>"9780240807126"</f>
        <v>9780240807126</v>
      </c>
      <c r="D2062" t="str">
        <f>"9780080459134"</f>
        <v>9780080459134</v>
      </c>
      <c r="E2062" t="s">
        <v>15</v>
      </c>
      <c r="F2062" t="s">
        <v>1122</v>
      </c>
      <c r="G2062" s="1">
        <v>38978</v>
      </c>
      <c r="H2062" s="1">
        <v>38984</v>
      </c>
      <c r="I2062" t="s">
        <v>12</v>
      </c>
      <c r="J2062" t="s">
        <v>12832</v>
      </c>
    </row>
    <row r="2063" spans="1:10" x14ac:dyDescent="0.25">
      <c r="A2063">
        <v>270199</v>
      </c>
      <c r="B2063" t="s">
        <v>2171</v>
      </c>
      <c r="C2063" t="str">
        <f>"9780750667272"</f>
        <v>9780750667272</v>
      </c>
      <c r="D2063" t="str">
        <f>"9780080459424"</f>
        <v>9780080459424</v>
      </c>
      <c r="E2063" t="s">
        <v>1119</v>
      </c>
      <c r="F2063" t="s">
        <v>2125</v>
      </c>
      <c r="G2063" s="1">
        <v>38642</v>
      </c>
      <c r="H2063" s="1">
        <v>38984</v>
      </c>
      <c r="I2063" t="s">
        <v>12</v>
      </c>
      <c r="J2063" t="s">
        <v>12833</v>
      </c>
    </row>
    <row r="2064" spans="1:10" x14ac:dyDescent="0.25">
      <c r="A2064">
        <v>270211</v>
      </c>
      <c r="B2064" t="s">
        <v>2172</v>
      </c>
      <c r="C2064" t="str">
        <f>"9780750667470"</f>
        <v>9780750667470</v>
      </c>
      <c r="D2064" t="str">
        <f>"9780080459653"</f>
        <v>9780080459653</v>
      </c>
      <c r="E2064" t="s">
        <v>15</v>
      </c>
      <c r="F2064" t="s">
        <v>16</v>
      </c>
      <c r="G2064" s="1">
        <v>38828</v>
      </c>
      <c r="H2064" s="1">
        <v>39074</v>
      </c>
      <c r="I2064" t="s">
        <v>12</v>
      </c>
      <c r="J2064" t="s">
        <v>12834</v>
      </c>
    </row>
    <row r="2065" spans="1:10" x14ac:dyDescent="0.25">
      <c r="A2065">
        <v>270219</v>
      </c>
      <c r="B2065" t="s">
        <v>2173</v>
      </c>
      <c r="C2065" t="str">
        <f>"9780750679206"</f>
        <v>9780750679206</v>
      </c>
      <c r="D2065" t="str">
        <f>"9780080459752"</f>
        <v>9780080459752</v>
      </c>
      <c r="E2065" t="s">
        <v>15</v>
      </c>
      <c r="F2065" t="s">
        <v>16</v>
      </c>
      <c r="G2065" s="1">
        <v>38590</v>
      </c>
      <c r="H2065" s="1">
        <v>40349</v>
      </c>
      <c r="I2065" t="s">
        <v>12</v>
      </c>
      <c r="J2065" t="s">
        <v>12835</v>
      </c>
    </row>
    <row r="2066" spans="1:10" x14ac:dyDescent="0.25">
      <c r="A2066">
        <v>270226</v>
      </c>
      <c r="B2066" t="s">
        <v>2174</v>
      </c>
      <c r="C2066" t="str">
        <f>"9780444512536"</f>
        <v>9780444512536</v>
      </c>
      <c r="D2066" t="str">
        <f>"9780080459875"</f>
        <v>9780080459875</v>
      </c>
      <c r="E2066" t="s">
        <v>1119</v>
      </c>
      <c r="F2066" t="s">
        <v>2175</v>
      </c>
      <c r="G2066" s="1">
        <v>38852</v>
      </c>
      <c r="H2066" s="1">
        <v>39050</v>
      </c>
      <c r="I2066" t="s">
        <v>12</v>
      </c>
      <c r="J2066" t="s">
        <v>12836</v>
      </c>
    </row>
    <row r="2067" spans="1:10" x14ac:dyDescent="0.25">
      <c r="A2067">
        <v>270265</v>
      </c>
      <c r="B2067" t="s">
        <v>2176</v>
      </c>
      <c r="C2067" t="str">
        <f>"9780762312108"</f>
        <v>9780762312108</v>
      </c>
      <c r="D2067" t="str">
        <f>"9780080460659"</f>
        <v>9780080460659</v>
      </c>
      <c r="E2067" t="s">
        <v>1116</v>
      </c>
      <c r="F2067" t="s">
        <v>2163</v>
      </c>
      <c r="G2067" s="1">
        <v>38596</v>
      </c>
      <c r="H2067" s="1">
        <v>38984</v>
      </c>
      <c r="I2067" t="s">
        <v>12</v>
      </c>
      <c r="J2067" t="s">
        <v>12837</v>
      </c>
    </row>
    <row r="2068" spans="1:10" x14ac:dyDescent="0.25">
      <c r="A2068">
        <v>270267</v>
      </c>
      <c r="B2068" t="s">
        <v>2177</v>
      </c>
      <c r="C2068" t="str">
        <f>"9780444513953"</f>
        <v>9780444513953</v>
      </c>
      <c r="D2068" t="str">
        <f>"9780080460673"</f>
        <v>9780080460673</v>
      </c>
      <c r="E2068" t="s">
        <v>1119</v>
      </c>
      <c r="F2068" t="s">
        <v>2175</v>
      </c>
      <c r="G2068" s="1">
        <v>38867</v>
      </c>
      <c r="H2068" s="1">
        <v>38984</v>
      </c>
      <c r="I2068" t="s">
        <v>12</v>
      </c>
      <c r="J2068" t="s">
        <v>12838</v>
      </c>
    </row>
    <row r="2069" spans="1:10" x14ac:dyDescent="0.25">
      <c r="A2069">
        <v>270284</v>
      </c>
      <c r="B2069" t="s">
        <v>2178</v>
      </c>
      <c r="C2069" t="str">
        <f>"9780123694522"</f>
        <v>9780123694522</v>
      </c>
      <c r="D2069" t="str">
        <f>"9780080461045"</f>
        <v>9780080461045</v>
      </c>
      <c r="E2069" t="s">
        <v>1119</v>
      </c>
      <c r="F2069" t="s">
        <v>1120</v>
      </c>
      <c r="G2069" s="1">
        <v>38643</v>
      </c>
      <c r="H2069" s="1">
        <v>42341</v>
      </c>
      <c r="I2069" t="s">
        <v>12</v>
      </c>
      <c r="J2069" t="s">
        <v>12839</v>
      </c>
    </row>
    <row r="2070" spans="1:10" x14ac:dyDescent="0.25">
      <c r="A2070">
        <v>270328</v>
      </c>
      <c r="B2070" t="s">
        <v>2179</v>
      </c>
      <c r="C2070" t="str">
        <f>"9780750668958"</f>
        <v>9780750668958</v>
      </c>
      <c r="D2070" t="str">
        <f>"9780080461663"</f>
        <v>9780080461663</v>
      </c>
      <c r="E2070" t="s">
        <v>1119</v>
      </c>
      <c r="F2070" t="s">
        <v>2125</v>
      </c>
      <c r="G2070" s="1">
        <v>38772</v>
      </c>
      <c r="H2070" s="1">
        <v>38984</v>
      </c>
      <c r="I2070" t="s">
        <v>12</v>
      </c>
      <c r="J2070" t="s">
        <v>12840</v>
      </c>
    </row>
    <row r="2071" spans="1:10" x14ac:dyDescent="0.25">
      <c r="A2071">
        <v>270334</v>
      </c>
      <c r="B2071" t="s">
        <v>2180</v>
      </c>
      <c r="C2071" t="str">
        <f>"9780750665469"</f>
        <v>9780750665469</v>
      </c>
      <c r="D2071" t="str">
        <f>"9780080461755"</f>
        <v>9780080461755</v>
      </c>
      <c r="E2071" t="s">
        <v>15</v>
      </c>
      <c r="F2071" t="s">
        <v>16</v>
      </c>
      <c r="G2071" s="1">
        <v>38882</v>
      </c>
      <c r="H2071" s="1">
        <v>40171</v>
      </c>
      <c r="I2071" t="s">
        <v>12</v>
      </c>
      <c r="J2071" t="s">
        <v>12841</v>
      </c>
    </row>
    <row r="2072" spans="1:10" x14ac:dyDescent="0.25">
      <c r="A2072">
        <v>270340</v>
      </c>
      <c r="B2072" t="s">
        <v>2181</v>
      </c>
      <c r="C2072" t="str">
        <f>"9780123704788"</f>
        <v>9780123704788</v>
      </c>
      <c r="D2072" t="str">
        <f>"9780080461847"</f>
        <v>9780080461847</v>
      </c>
      <c r="E2072" t="s">
        <v>1119</v>
      </c>
      <c r="F2072" t="s">
        <v>1120</v>
      </c>
      <c r="G2072" s="1">
        <v>38889</v>
      </c>
      <c r="H2072" s="1">
        <v>38984</v>
      </c>
      <c r="I2072" t="s">
        <v>12</v>
      </c>
      <c r="J2072" t="s">
        <v>12842</v>
      </c>
    </row>
    <row r="2073" spans="1:10" x14ac:dyDescent="0.25">
      <c r="A2073">
        <v>270378</v>
      </c>
      <c r="B2073" t="s">
        <v>2182</v>
      </c>
      <c r="C2073" t="str">
        <f>"9780123705020"</f>
        <v>9780123705020</v>
      </c>
      <c r="D2073" t="str">
        <f>"9780080462325"</f>
        <v>9780080462325</v>
      </c>
      <c r="E2073" t="s">
        <v>1119</v>
      </c>
      <c r="F2073" t="s">
        <v>2125</v>
      </c>
      <c r="G2073" s="1">
        <v>38929</v>
      </c>
      <c r="H2073" s="1">
        <v>38984</v>
      </c>
      <c r="I2073" t="s">
        <v>12</v>
      </c>
      <c r="J2073" t="s">
        <v>12843</v>
      </c>
    </row>
    <row r="2074" spans="1:10" x14ac:dyDescent="0.25">
      <c r="A2074">
        <v>270386</v>
      </c>
      <c r="B2074" t="s">
        <v>2183</v>
      </c>
      <c r="C2074" t="str">
        <f>"9780750669504"</f>
        <v>9780750669504</v>
      </c>
      <c r="D2074" t="str">
        <f>"9780080462448"</f>
        <v>9780080462448</v>
      </c>
      <c r="E2074" t="s">
        <v>15</v>
      </c>
      <c r="F2074" t="s">
        <v>16</v>
      </c>
      <c r="G2074" s="1">
        <v>38947</v>
      </c>
      <c r="H2074" s="1">
        <v>40171</v>
      </c>
      <c r="I2074" t="s">
        <v>12</v>
      </c>
      <c r="J2074" t="s">
        <v>12844</v>
      </c>
    </row>
    <row r="2075" spans="1:10" x14ac:dyDescent="0.25">
      <c r="A2075">
        <v>270389</v>
      </c>
      <c r="B2075" t="s">
        <v>2184</v>
      </c>
      <c r="C2075" t="str">
        <f>"9780750682312"</f>
        <v>9780750682312</v>
      </c>
      <c r="D2075" t="str">
        <f>"9780080462509"</f>
        <v>9780080462509</v>
      </c>
      <c r="E2075" t="s">
        <v>15</v>
      </c>
      <c r="F2075" t="s">
        <v>16</v>
      </c>
      <c r="G2075" s="1">
        <v>40746</v>
      </c>
      <c r="H2075" s="1">
        <v>40084</v>
      </c>
      <c r="I2075" t="s">
        <v>12</v>
      </c>
      <c r="J2075" t="s">
        <v>12845</v>
      </c>
    </row>
    <row r="2076" spans="1:10" x14ac:dyDescent="0.25">
      <c r="A2076">
        <v>270414</v>
      </c>
      <c r="B2076" t="s">
        <v>2185</v>
      </c>
      <c r="C2076" t="str">
        <f>"9780750680202"</f>
        <v>9780750680202</v>
      </c>
      <c r="D2076" t="str">
        <f>"9780080464862"</f>
        <v>9780080464862</v>
      </c>
      <c r="E2076" t="s">
        <v>15</v>
      </c>
      <c r="F2076" t="s">
        <v>16</v>
      </c>
      <c r="G2076" s="1">
        <v>38894</v>
      </c>
      <c r="H2076" s="1">
        <v>38984</v>
      </c>
      <c r="I2076" t="s">
        <v>12</v>
      </c>
      <c r="J2076" t="s">
        <v>12846</v>
      </c>
    </row>
    <row r="2077" spans="1:10" x14ac:dyDescent="0.25">
      <c r="A2077">
        <v>270417</v>
      </c>
      <c r="B2077" t="s">
        <v>2186</v>
      </c>
      <c r="C2077" t="str">
        <f>"9780750680646"</f>
        <v>9780750680646</v>
      </c>
      <c r="D2077" t="str">
        <f>"9780080462851"</f>
        <v>9780080462851</v>
      </c>
      <c r="E2077" t="s">
        <v>15</v>
      </c>
      <c r="F2077" t="s">
        <v>16</v>
      </c>
      <c r="G2077" s="1">
        <v>38947</v>
      </c>
      <c r="H2077" s="1">
        <v>40171</v>
      </c>
      <c r="I2077" t="s">
        <v>12</v>
      </c>
      <c r="J2077" t="s">
        <v>12847</v>
      </c>
    </row>
    <row r="2078" spans="1:10" x14ac:dyDescent="0.25">
      <c r="A2078">
        <v>270426</v>
      </c>
      <c r="B2078" t="s">
        <v>2187</v>
      </c>
      <c r="C2078" t="str">
        <f>"9780762313082"</f>
        <v>9780762313082</v>
      </c>
      <c r="D2078" t="str">
        <f>"9781849504096"</f>
        <v>9781849504096</v>
      </c>
      <c r="E2078" t="s">
        <v>1116</v>
      </c>
      <c r="F2078" t="s">
        <v>2163</v>
      </c>
      <c r="G2078" s="1">
        <v>38869</v>
      </c>
      <c r="H2078" s="1">
        <v>39049</v>
      </c>
      <c r="I2078" t="s">
        <v>12</v>
      </c>
      <c r="J2078" t="s">
        <v>12848</v>
      </c>
    </row>
    <row r="2079" spans="1:10" x14ac:dyDescent="0.25">
      <c r="A2079">
        <v>270527</v>
      </c>
      <c r="B2079" t="s">
        <v>2188</v>
      </c>
      <c r="C2079" t="str">
        <f>"9781593573386"</f>
        <v>9781593573386</v>
      </c>
      <c r="D2079" t="str">
        <f>"9781593574024"</f>
        <v>9781593574024</v>
      </c>
      <c r="E2079" t="s">
        <v>1142</v>
      </c>
      <c r="F2079" t="s">
        <v>1143</v>
      </c>
      <c r="G2079" s="1">
        <v>38961</v>
      </c>
      <c r="H2079" s="1">
        <v>38968</v>
      </c>
      <c r="I2079" t="s">
        <v>12</v>
      </c>
      <c r="J2079" t="s">
        <v>12849</v>
      </c>
    </row>
    <row r="2080" spans="1:10" x14ac:dyDescent="0.25">
      <c r="A2080">
        <v>270585</v>
      </c>
      <c r="B2080" t="s">
        <v>2189</v>
      </c>
      <c r="C2080" t="str">
        <f>"9781403917249"</f>
        <v>9781403917249</v>
      </c>
      <c r="D2080" t="str">
        <f>"9780230524637"</f>
        <v>9780230524637</v>
      </c>
      <c r="E2080" t="s">
        <v>875</v>
      </c>
      <c r="F2080" t="s">
        <v>876</v>
      </c>
      <c r="G2080" s="1">
        <v>37971</v>
      </c>
      <c r="H2080" s="1">
        <v>38969</v>
      </c>
      <c r="I2080" t="s">
        <v>12</v>
      </c>
      <c r="J2080" t="s">
        <v>12850</v>
      </c>
    </row>
    <row r="2081" spans="1:10" x14ac:dyDescent="0.25">
      <c r="A2081">
        <v>270591</v>
      </c>
      <c r="B2081" t="s">
        <v>2190</v>
      </c>
      <c r="C2081" t="str">
        <f>"9781403941336"</f>
        <v>9781403941336</v>
      </c>
      <c r="D2081" t="str">
        <f>"9780230524460"</f>
        <v>9780230524460</v>
      </c>
      <c r="E2081" t="s">
        <v>876</v>
      </c>
      <c r="F2081" t="s">
        <v>876</v>
      </c>
      <c r="G2081" s="1">
        <v>38531</v>
      </c>
      <c r="H2081" s="1">
        <v>38969</v>
      </c>
      <c r="I2081" t="s">
        <v>12</v>
      </c>
      <c r="J2081" t="s">
        <v>12851</v>
      </c>
    </row>
    <row r="2082" spans="1:10" x14ac:dyDescent="0.25">
      <c r="A2082">
        <v>270620</v>
      </c>
      <c r="B2082" t="s">
        <v>2191</v>
      </c>
      <c r="C2082" t="str">
        <f>"9781403935199"</f>
        <v>9781403935199</v>
      </c>
      <c r="D2082" t="str">
        <f>"9780230524538"</f>
        <v>9780230524538</v>
      </c>
      <c r="E2082" t="s">
        <v>875</v>
      </c>
      <c r="F2082" t="s">
        <v>876</v>
      </c>
      <c r="G2082" s="1">
        <v>38047</v>
      </c>
      <c r="H2082" s="1">
        <v>38969</v>
      </c>
      <c r="I2082" t="s">
        <v>12</v>
      </c>
      <c r="J2082" t="s">
        <v>12852</v>
      </c>
    </row>
    <row r="2083" spans="1:10" x14ac:dyDescent="0.25">
      <c r="A2083">
        <v>270634</v>
      </c>
      <c r="B2083" t="s">
        <v>2192</v>
      </c>
      <c r="C2083" t="str">
        <f>"9781403944924"</f>
        <v>9781403944924</v>
      </c>
      <c r="D2083" t="str">
        <f>"9780230523302"</f>
        <v>9780230523302</v>
      </c>
      <c r="E2083" t="s">
        <v>876</v>
      </c>
      <c r="F2083" t="s">
        <v>876</v>
      </c>
      <c r="G2083" s="1">
        <v>38797</v>
      </c>
      <c r="H2083" s="1">
        <v>38977</v>
      </c>
      <c r="I2083" t="s">
        <v>12</v>
      </c>
      <c r="J2083" t="s">
        <v>12853</v>
      </c>
    </row>
    <row r="2084" spans="1:10" x14ac:dyDescent="0.25">
      <c r="A2084">
        <v>270637</v>
      </c>
      <c r="B2084" t="s">
        <v>2193</v>
      </c>
      <c r="C2084" t="str">
        <f>"9781403999528"</f>
        <v>9781403999528</v>
      </c>
      <c r="D2084" t="str">
        <f>"9780230524484"</f>
        <v>9780230524484</v>
      </c>
      <c r="E2084" t="s">
        <v>875</v>
      </c>
      <c r="F2084" t="s">
        <v>875</v>
      </c>
      <c r="G2084" s="1">
        <v>38685</v>
      </c>
      <c r="H2084" s="1">
        <v>38969</v>
      </c>
      <c r="I2084" t="s">
        <v>12</v>
      </c>
      <c r="J2084" t="s">
        <v>12854</v>
      </c>
    </row>
    <row r="2085" spans="1:10" x14ac:dyDescent="0.25">
      <c r="A2085">
        <v>270638</v>
      </c>
      <c r="B2085" t="s">
        <v>2194</v>
      </c>
      <c r="C2085" t="str">
        <f>"9781403993328"</f>
        <v>9781403993328</v>
      </c>
      <c r="D2085" t="str">
        <f>"9780230524170"</f>
        <v>9780230524170</v>
      </c>
      <c r="E2085" t="s">
        <v>875</v>
      </c>
      <c r="F2085" t="s">
        <v>875</v>
      </c>
      <c r="G2085" s="1">
        <v>38581</v>
      </c>
      <c r="H2085" s="1">
        <v>38969</v>
      </c>
      <c r="I2085" t="s">
        <v>12</v>
      </c>
      <c r="J2085" t="s">
        <v>12855</v>
      </c>
    </row>
    <row r="2086" spans="1:10" x14ac:dyDescent="0.25">
      <c r="A2086">
        <v>270649</v>
      </c>
      <c r="B2086" t="s">
        <v>2195</v>
      </c>
      <c r="C2086" t="str">
        <f>"9781403935519"</f>
        <v>9781403935519</v>
      </c>
      <c r="D2086" t="str">
        <f>"9780230523197"</f>
        <v>9780230523197</v>
      </c>
      <c r="E2086" t="s">
        <v>875</v>
      </c>
      <c r="F2086" t="s">
        <v>875</v>
      </c>
      <c r="G2086" s="1">
        <v>38301</v>
      </c>
      <c r="H2086" s="1">
        <v>38969</v>
      </c>
      <c r="I2086" t="s">
        <v>12</v>
      </c>
      <c r="J2086" t="s">
        <v>12856</v>
      </c>
    </row>
    <row r="2087" spans="1:10" x14ac:dyDescent="0.25">
      <c r="A2087">
        <v>270655</v>
      </c>
      <c r="B2087" t="s">
        <v>2196</v>
      </c>
      <c r="C2087" t="str">
        <f>"9781403939418"</f>
        <v>9781403939418</v>
      </c>
      <c r="D2087" t="str">
        <f>"9780230524644"</f>
        <v>9780230524644</v>
      </c>
      <c r="E2087" t="s">
        <v>875</v>
      </c>
      <c r="F2087" t="s">
        <v>875</v>
      </c>
      <c r="G2087" s="1">
        <v>38691</v>
      </c>
      <c r="H2087" s="1">
        <v>38969</v>
      </c>
      <c r="I2087" t="s">
        <v>12</v>
      </c>
      <c r="J2087" t="s">
        <v>12857</v>
      </c>
    </row>
    <row r="2088" spans="1:10" x14ac:dyDescent="0.25">
      <c r="A2088">
        <v>270768</v>
      </c>
      <c r="B2088" t="s">
        <v>2197</v>
      </c>
      <c r="C2088" t="str">
        <f>"9781841134642"</f>
        <v>9781841134642</v>
      </c>
      <c r="D2088" t="str">
        <f>"9781847311283"</f>
        <v>9781847311283</v>
      </c>
      <c r="E2088" t="s">
        <v>2198</v>
      </c>
      <c r="F2088" t="s">
        <v>2199</v>
      </c>
      <c r="G2088" s="1">
        <v>38796</v>
      </c>
      <c r="H2088" s="1">
        <v>39004</v>
      </c>
      <c r="I2088" t="s">
        <v>12</v>
      </c>
      <c r="J2088" t="s">
        <v>12858</v>
      </c>
    </row>
    <row r="2089" spans="1:10" x14ac:dyDescent="0.25">
      <c r="A2089">
        <v>270860</v>
      </c>
      <c r="B2089" t="s">
        <v>2200</v>
      </c>
      <c r="C2089" t="str">
        <f>"9780195122282"</f>
        <v>9780195122282</v>
      </c>
      <c r="D2089" t="str">
        <f>"9780195352788"</f>
        <v>9780195352788</v>
      </c>
      <c r="E2089" t="s">
        <v>1270</v>
      </c>
      <c r="F2089" t="s">
        <v>1270</v>
      </c>
      <c r="G2089" s="1">
        <v>35901</v>
      </c>
      <c r="H2089" s="1">
        <v>40082</v>
      </c>
      <c r="I2089" t="s">
        <v>12</v>
      </c>
      <c r="J2089" t="s">
        <v>12859</v>
      </c>
    </row>
    <row r="2090" spans="1:10" x14ac:dyDescent="0.25">
      <c r="A2090">
        <v>270863</v>
      </c>
      <c r="B2090" t="s">
        <v>2201</v>
      </c>
      <c r="C2090" t="str">
        <f>"9780195121490"</f>
        <v>9780195121490</v>
      </c>
      <c r="D2090" t="str">
        <f>"9780199728138"</f>
        <v>9780199728138</v>
      </c>
      <c r="E2090" t="s">
        <v>1270</v>
      </c>
      <c r="F2090" t="s">
        <v>1270</v>
      </c>
      <c r="G2090" s="1">
        <v>36895</v>
      </c>
      <c r="H2090" s="1">
        <v>39006</v>
      </c>
      <c r="I2090" t="s">
        <v>12</v>
      </c>
      <c r="J2090" t="s">
        <v>12860</v>
      </c>
    </row>
    <row r="2091" spans="1:10" x14ac:dyDescent="0.25">
      <c r="A2091">
        <v>270865</v>
      </c>
      <c r="B2091" t="s">
        <v>2202</v>
      </c>
      <c r="C2091" t="str">
        <f>"9780195124132"</f>
        <v>9780195124132</v>
      </c>
      <c r="D2091" t="str">
        <f>"9780199728046"</f>
        <v>9780199728046</v>
      </c>
      <c r="E2091" t="s">
        <v>1270</v>
      </c>
      <c r="F2091" t="s">
        <v>1270</v>
      </c>
      <c r="G2091" s="1">
        <v>37091</v>
      </c>
      <c r="H2091" s="1">
        <v>39006</v>
      </c>
      <c r="I2091" t="s">
        <v>12</v>
      </c>
      <c r="J2091" t="s">
        <v>12861</v>
      </c>
    </row>
    <row r="2092" spans="1:10" x14ac:dyDescent="0.25">
      <c r="A2092">
        <v>270911</v>
      </c>
      <c r="B2092" t="s">
        <v>2203</v>
      </c>
      <c r="C2092" t="str">
        <f>"9780195176926"</f>
        <v>9780195176926</v>
      </c>
      <c r="D2092" t="str">
        <f>"9781602565319"</f>
        <v>9781602565319</v>
      </c>
      <c r="E2092" t="s">
        <v>1133</v>
      </c>
      <c r="F2092" t="s">
        <v>1273</v>
      </c>
      <c r="G2092" s="1">
        <v>38353</v>
      </c>
      <c r="H2092" s="1">
        <v>39006</v>
      </c>
      <c r="I2092" t="s">
        <v>12</v>
      </c>
      <c r="J2092" t="s">
        <v>12862</v>
      </c>
    </row>
    <row r="2093" spans="1:10" x14ac:dyDescent="0.25">
      <c r="A2093">
        <v>270920</v>
      </c>
      <c r="B2093" t="s">
        <v>2204</v>
      </c>
      <c r="C2093" t="str">
        <f>"9780195040708"</f>
        <v>9780195040708</v>
      </c>
      <c r="D2093" t="str">
        <f>"9780195364873"</f>
        <v>9780195364873</v>
      </c>
      <c r="E2093" t="s">
        <v>1270</v>
      </c>
      <c r="F2093" t="s">
        <v>1270</v>
      </c>
      <c r="G2093" s="1">
        <v>31785</v>
      </c>
      <c r="H2093" s="1">
        <v>40082</v>
      </c>
      <c r="I2093" t="s">
        <v>12</v>
      </c>
      <c r="J2093" t="s">
        <v>12863</v>
      </c>
    </row>
    <row r="2094" spans="1:10" x14ac:dyDescent="0.25">
      <c r="A2094">
        <v>270966</v>
      </c>
      <c r="B2094" t="s">
        <v>2205</v>
      </c>
      <c r="C2094" t="str">
        <f>"9780195112610"</f>
        <v>9780195112610</v>
      </c>
      <c r="D2094" t="str">
        <f>"9780195354607"</f>
        <v>9780195354607</v>
      </c>
      <c r="E2094" t="s">
        <v>1270</v>
      </c>
      <c r="F2094" t="s">
        <v>1270</v>
      </c>
      <c r="G2094" s="1">
        <v>35761</v>
      </c>
      <c r="H2094" s="1">
        <v>40082</v>
      </c>
      <c r="I2094" t="s">
        <v>12</v>
      </c>
      <c r="J2094" t="s">
        <v>12864</v>
      </c>
    </row>
    <row r="2095" spans="1:10" x14ac:dyDescent="0.25">
      <c r="A2095">
        <v>270994</v>
      </c>
      <c r="B2095" t="s">
        <v>2206</v>
      </c>
      <c r="C2095" t="str">
        <f>"9780195177886"</f>
        <v>9780195177886</v>
      </c>
      <c r="D2095" t="str">
        <f>"9780195346411"</f>
        <v>9780195346411</v>
      </c>
      <c r="E2095" t="s">
        <v>1133</v>
      </c>
      <c r="F2095" t="s">
        <v>1273</v>
      </c>
      <c r="G2095" s="1">
        <v>38718</v>
      </c>
      <c r="H2095" s="1">
        <v>40082</v>
      </c>
      <c r="I2095" t="s">
        <v>12</v>
      </c>
      <c r="J2095" t="s">
        <v>12865</v>
      </c>
    </row>
    <row r="2096" spans="1:10" x14ac:dyDescent="0.25">
      <c r="A2096">
        <v>271107</v>
      </c>
      <c r="B2096" t="s">
        <v>2207</v>
      </c>
      <c r="C2096" t="str">
        <f>"9780195308419"</f>
        <v>9780195308419</v>
      </c>
      <c r="D2096" t="str">
        <f>"9780199727186"</f>
        <v>9780199727186</v>
      </c>
      <c r="E2096" t="s">
        <v>1133</v>
      </c>
      <c r="F2096" t="s">
        <v>1273</v>
      </c>
      <c r="G2096" s="1">
        <v>38718</v>
      </c>
      <c r="H2096" s="1">
        <v>39006</v>
      </c>
      <c r="I2096" t="s">
        <v>12</v>
      </c>
      <c r="J2096" t="s">
        <v>12866</v>
      </c>
    </row>
    <row r="2097" spans="1:10" x14ac:dyDescent="0.25">
      <c r="A2097">
        <v>271117</v>
      </c>
      <c r="B2097" t="s">
        <v>2208</v>
      </c>
      <c r="C2097" t="str">
        <f>"9780195064186"</f>
        <v>9780195064186</v>
      </c>
      <c r="D2097" t="str">
        <f>"9780195362466"</f>
        <v>9780195362466</v>
      </c>
      <c r="E2097" t="s">
        <v>1270</v>
      </c>
      <c r="F2097" t="s">
        <v>1270</v>
      </c>
      <c r="G2097" s="1">
        <v>33269</v>
      </c>
      <c r="H2097" s="1">
        <v>40082</v>
      </c>
      <c r="I2097" t="s">
        <v>12</v>
      </c>
      <c r="J2097" t="s">
        <v>12867</v>
      </c>
    </row>
    <row r="2098" spans="1:10" x14ac:dyDescent="0.25">
      <c r="A2098">
        <v>271140</v>
      </c>
      <c r="B2098" t="s">
        <v>2209</v>
      </c>
      <c r="C2098" t="str">
        <f>"9780195107944"</f>
        <v>9780195107944</v>
      </c>
      <c r="D2098" t="str">
        <f>"9780195355345"</f>
        <v>9780195355345</v>
      </c>
      <c r="E2098" t="s">
        <v>1270</v>
      </c>
      <c r="F2098" t="s">
        <v>1270</v>
      </c>
      <c r="G2098" s="1">
        <v>35467</v>
      </c>
      <c r="H2098" s="1">
        <v>40082</v>
      </c>
      <c r="I2098" t="s">
        <v>12</v>
      </c>
      <c r="J2098" t="s">
        <v>12868</v>
      </c>
    </row>
    <row r="2099" spans="1:10" x14ac:dyDescent="0.25">
      <c r="A2099">
        <v>271170</v>
      </c>
      <c r="B2099" t="s">
        <v>2210</v>
      </c>
      <c r="C2099" t="str">
        <f>"9780195173055"</f>
        <v>9780195173055</v>
      </c>
      <c r="D2099" t="str">
        <f>"9781602565036"</f>
        <v>9781602565036</v>
      </c>
      <c r="E2099" t="s">
        <v>1133</v>
      </c>
      <c r="F2099" t="s">
        <v>1273</v>
      </c>
      <c r="G2099" s="1">
        <v>35803</v>
      </c>
      <c r="H2099" s="1">
        <v>39006</v>
      </c>
      <c r="I2099" t="s">
        <v>12</v>
      </c>
      <c r="J2099" t="s">
        <v>12869</v>
      </c>
    </row>
    <row r="2100" spans="1:10" x14ac:dyDescent="0.25">
      <c r="A2100">
        <v>271183</v>
      </c>
      <c r="B2100" t="s">
        <v>2211</v>
      </c>
      <c r="C2100" t="str">
        <f>"9780195104806"</f>
        <v>9780195104806</v>
      </c>
      <c r="D2100" t="str">
        <f>"9781602561212"</f>
        <v>9781602561212</v>
      </c>
      <c r="E2100" t="s">
        <v>1133</v>
      </c>
      <c r="F2100" t="s">
        <v>1273</v>
      </c>
      <c r="G2100" s="1">
        <v>35796</v>
      </c>
      <c r="H2100" s="1">
        <v>39006</v>
      </c>
      <c r="I2100" t="s">
        <v>12</v>
      </c>
      <c r="J2100" t="s">
        <v>12870</v>
      </c>
    </row>
    <row r="2101" spans="1:10" x14ac:dyDescent="0.25">
      <c r="A2101">
        <v>271194</v>
      </c>
      <c r="B2101" t="s">
        <v>2212</v>
      </c>
      <c r="C2101" t="str">
        <f>"9780195115222"</f>
        <v>9780195115222</v>
      </c>
      <c r="D2101" t="str">
        <f>"9780195354072"</f>
        <v>9780195354072</v>
      </c>
      <c r="E2101" t="s">
        <v>1270</v>
      </c>
      <c r="F2101" t="s">
        <v>1270</v>
      </c>
      <c r="G2101" s="1">
        <v>36027</v>
      </c>
      <c r="H2101" s="1">
        <v>40082</v>
      </c>
      <c r="I2101" t="s">
        <v>12</v>
      </c>
      <c r="J2101" t="s">
        <v>12871</v>
      </c>
    </row>
    <row r="2102" spans="1:10" x14ac:dyDescent="0.25">
      <c r="A2102">
        <v>271196</v>
      </c>
      <c r="B2102" t="s">
        <v>2213</v>
      </c>
      <c r="C2102" t="str">
        <f>"9780195113334"</f>
        <v>9780195113334</v>
      </c>
      <c r="D2102" t="str">
        <f>"9780195354447"</f>
        <v>9780195354447</v>
      </c>
      <c r="E2102" t="s">
        <v>1133</v>
      </c>
      <c r="F2102" t="s">
        <v>1273</v>
      </c>
      <c r="G2102" s="1">
        <v>36526</v>
      </c>
      <c r="H2102" s="1">
        <v>40082</v>
      </c>
      <c r="I2102" t="s">
        <v>12</v>
      </c>
      <c r="J2102" t="s">
        <v>12872</v>
      </c>
    </row>
    <row r="2103" spans="1:10" x14ac:dyDescent="0.25">
      <c r="A2103">
        <v>271197</v>
      </c>
      <c r="B2103" t="s">
        <v>2214</v>
      </c>
      <c r="C2103" t="str">
        <f>"9780195102512"</f>
        <v>9780195102512</v>
      </c>
      <c r="D2103" t="str">
        <f>"9780195356205"</f>
        <v>9780195356205</v>
      </c>
      <c r="E2103" t="s">
        <v>1270</v>
      </c>
      <c r="F2103" t="s">
        <v>1270</v>
      </c>
      <c r="G2103" s="1">
        <v>35761</v>
      </c>
      <c r="H2103" s="1">
        <v>40082</v>
      </c>
      <c r="I2103" t="s">
        <v>12</v>
      </c>
      <c r="J2103" t="s">
        <v>12873</v>
      </c>
    </row>
    <row r="2104" spans="1:10" x14ac:dyDescent="0.25">
      <c r="A2104">
        <v>271213</v>
      </c>
      <c r="B2104" t="s">
        <v>2215</v>
      </c>
      <c r="C2104" t="str">
        <f>"9780195129519"</f>
        <v>9780195129519</v>
      </c>
      <c r="D2104" t="str">
        <f>"9780195351613"</f>
        <v>9780195351613</v>
      </c>
      <c r="E2104" t="s">
        <v>1270</v>
      </c>
      <c r="F2104" t="s">
        <v>1270</v>
      </c>
      <c r="G2104" s="1">
        <v>36986</v>
      </c>
      <c r="H2104" s="1">
        <v>40082</v>
      </c>
      <c r="I2104" t="s">
        <v>12</v>
      </c>
      <c r="J2104" t="s">
        <v>12874</v>
      </c>
    </row>
    <row r="2105" spans="1:10" x14ac:dyDescent="0.25">
      <c r="A2105">
        <v>271225</v>
      </c>
      <c r="B2105" t="s">
        <v>2216</v>
      </c>
      <c r="C2105" t="str">
        <f>"9780195179637"</f>
        <v>9780195179637</v>
      </c>
      <c r="D2105" t="str">
        <f>"9780195346275"</f>
        <v>9780195346275</v>
      </c>
      <c r="E2105" t="s">
        <v>1268</v>
      </c>
      <c r="F2105" t="s">
        <v>1268</v>
      </c>
      <c r="G2105" s="1">
        <v>38904</v>
      </c>
      <c r="H2105" s="1">
        <v>40082</v>
      </c>
      <c r="I2105" t="s">
        <v>12</v>
      </c>
      <c r="J2105" t="s">
        <v>12875</v>
      </c>
    </row>
    <row r="2106" spans="1:10" x14ac:dyDescent="0.25">
      <c r="A2106">
        <v>271255</v>
      </c>
      <c r="B2106" t="s">
        <v>2217</v>
      </c>
      <c r="C2106" t="str">
        <f>"9780195173024"</f>
        <v>9780195173024</v>
      </c>
      <c r="D2106" t="str">
        <f>"9780195346688"</f>
        <v>9780195346688</v>
      </c>
      <c r="E2106" t="s">
        <v>1270</v>
      </c>
      <c r="F2106" t="s">
        <v>1270</v>
      </c>
      <c r="G2106" s="1">
        <v>38736</v>
      </c>
      <c r="H2106" s="1">
        <v>40082</v>
      </c>
      <c r="I2106" t="s">
        <v>12</v>
      </c>
      <c r="J2106" t="s">
        <v>12876</v>
      </c>
    </row>
    <row r="2107" spans="1:10" x14ac:dyDescent="0.25">
      <c r="A2107">
        <v>271268</v>
      </c>
      <c r="B2107" t="s">
        <v>2218</v>
      </c>
      <c r="C2107" t="str">
        <f>"9780195078190"</f>
        <v>9780195078190</v>
      </c>
      <c r="D2107" t="str">
        <f>"9780195360165"</f>
        <v>9780195360165</v>
      </c>
      <c r="E2107" t="s">
        <v>2219</v>
      </c>
      <c r="F2107" t="s">
        <v>2219</v>
      </c>
      <c r="G2107" s="1">
        <v>34382</v>
      </c>
      <c r="H2107" s="1">
        <v>40082</v>
      </c>
      <c r="I2107" t="s">
        <v>12</v>
      </c>
      <c r="J2107" t="s">
        <v>12877</v>
      </c>
    </row>
    <row r="2108" spans="1:10" x14ac:dyDescent="0.25">
      <c r="A2108">
        <v>271269</v>
      </c>
      <c r="B2108" t="s">
        <v>2220</v>
      </c>
      <c r="C2108" t="str">
        <f>"9780195118131"</f>
        <v>9780195118131</v>
      </c>
      <c r="D2108" t="str">
        <f>"9780195353471"</f>
        <v>9780195353471</v>
      </c>
      <c r="E2108" t="s">
        <v>1270</v>
      </c>
      <c r="F2108" t="s">
        <v>1270</v>
      </c>
      <c r="G2108" s="1">
        <v>35915</v>
      </c>
      <c r="H2108" s="1">
        <v>40082</v>
      </c>
      <c r="I2108" t="s">
        <v>12</v>
      </c>
      <c r="J2108" t="s">
        <v>12878</v>
      </c>
    </row>
    <row r="2109" spans="1:10" x14ac:dyDescent="0.25">
      <c r="A2109">
        <v>271278</v>
      </c>
      <c r="B2109" t="s">
        <v>2221</v>
      </c>
      <c r="C2109" t="str">
        <f>"9780195054118"</f>
        <v>9780195054118</v>
      </c>
      <c r="D2109" t="str">
        <f>"9780195363784"</f>
        <v>9780195363784</v>
      </c>
      <c r="E2109" t="s">
        <v>1133</v>
      </c>
      <c r="F2109" t="s">
        <v>1273</v>
      </c>
      <c r="G2109" s="1">
        <v>38718</v>
      </c>
      <c r="H2109" s="1">
        <v>40082</v>
      </c>
      <c r="I2109" t="s">
        <v>12</v>
      </c>
      <c r="J2109" t="s">
        <v>12879</v>
      </c>
    </row>
    <row r="2110" spans="1:10" x14ac:dyDescent="0.25">
      <c r="A2110">
        <v>271345</v>
      </c>
      <c r="B2110" t="s">
        <v>2222</v>
      </c>
      <c r="C2110" t="str">
        <f>"9780195125528"</f>
        <v>9780195125528</v>
      </c>
      <c r="D2110" t="str">
        <f>"9780195352252"</f>
        <v>9780195352252</v>
      </c>
      <c r="E2110" t="s">
        <v>1270</v>
      </c>
      <c r="F2110" t="s">
        <v>1270</v>
      </c>
      <c r="G2110" s="1">
        <v>36328</v>
      </c>
      <c r="H2110" s="1">
        <v>40082</v>
      </c>
      <c r="I2110" t="s">
        <v>12</v>
      </c>
      <c r="J2110" t="s">
        <v>12880</v>
      </c>
    </row>
    <row r="2111" spans="1:10" x14ac:dyDescent="0.25">
      <c r="A2111">
        <v>271347</v>
      </c>
      <c r="B2111" t="s">
        <v>2223</v>
      </c>
      <c r="C2111" t="str">
        <f>"9780195101928"</f>
        <v>9780195101928</v>
      </c>
      <c r="D2111" t="str">
        <f>"9780195356311"</f>
        <v>9780195356311</v>
      </c>
      <c r="E2111" t="s">
        <v>1270</v>
      </c>
      <c r="F2111" t="s">
        <v>1270</v>
      </c>
      <c r="G2111" s="1">
        <v>35474</v>
      </c>
      <c r="H2111" s="1">
        <v>40082</v>
      </c>
      <c r="I2111" t="s">
        <v>12</v>
      </c>
      <c r="J2111" t="s">
        <v>12881</v>
      </c>
    </row>
    <row r="2112" spans="1:10" x14ac:dyDescent="0.25">
      <c r="A2112">
        <v>271353</v>
      </c>
      <c r="B2112" t="s">
        <v>2224</v>
      </c>
      <c r="C2112" t="str">
        <f>"9780195125382"</f>
        <v>9780195125382</v>
      </c>
      <c r="D2112" t="str">
        <f>"9780195344134"</f>
        <v>9780195344134</v>
      </c>
      <c r="E2112" t="s">
        <v>1270</v>
      </c>
      <c r="F2112" t="s">
        <v>1270</v>
      </c>
      <c r="G2112" s="1">
        <v>36293</v>
      </c>
      <c r="H2112" s="1">
        <v>40082</v>
      </c>
      <c r="I2112" t="s">
        <v>12</v>
      </c>
      <c r="J2112" t="s">
        <v>12882</v>
      </c>
    </row>
    <row r="2113" spans="1:10" x14ac:dyDescent="0.25">
      <c r="A2113">
        <v>271422</v>
      </c>
      <c r="B2113" t="s">
        <v>2225</v>
      </c>
      <c r="C2113" t="str">
        <f>"9780195308068"</f>
        <v>9780195308068</v>
      </c>
      <c r="D2113" t="str">
        <f>"9780198042099"</f>
        <v>9780198042099</v>
      </c>
      <c r="E2113" t="s">
        <v>1133</v>
      </c>
      <c r="F2113" t="s">
        <v>1273</v>
      </c>
      <c r="G2113" s="1">
        <v>33724</v>
      </c>
      <c r="H2113" s="1">
        <v>39006</v>
      </c>
      <c r="I2113" t="s">
        <v>12</v>
      </c>
      <c r="J2113" t="s">
        <v>12883</v>
      </c>
    </row>
    <row r="2114" spans="1:10" x14ac:dyDescent="0.25">
      <c r="A2114">
        <v>271439</v>
      </c>
      <c r="B2114" t="s">
        <v>2226</v>
      </c>
      <c r="C2114" t="str">
        <f>"9780195110074"</f>
        <v>9780195110074</v>
      </c>
      <c r="D2114" t="str">
        <f>"9780195355048"</f>
        <v>9780195355048</v>
      </c>
      <c r="E2114" t="s">
        <v>1270</v>
      </c>
      <c r="F2114" t="s">
        <v>1270</v>
      </c>
      <c r="G2114" s="1">
        <v>35677</v>
      </c>
      <c r="H2114" s="1">
        <v>40082</v>
      </c>
      <c r="I2114" t="s">
        <v>12</v>
      </c>
      <c r="J2114" t="s">
        <v>12884</v>
      </c>
    </row>
    <row r="2115" spans="1:10" x14ac:dyDescent="0.25">
      <c r="A2115">
        <v>271466</v>
      </c>
      <c r="B2115" t="s">
        <v>2227</v>
      </c>
      <c r="C2115" t="str">
        <f>"9780195109627"</f>
        <v>9780195109627</v>
      </c>
      <c r="D2115" t="str">
        <f>"9781602561519"</f>
        <v>9781602561519</v>
      </c>
      <c r="E2115" t="s">
        <v>1133</v>
      </c>
      <c r="F2115" t="s">
        <v>1273</v>
      </c>
      <c r="G2115" s="1">
        <v>35796</v>
      </c>
      <c r="H2115" s="1">
        <v>39006</v>
      </c>
      <c r="I2115" t="s">
        <v>12</v>
      </c>
      <c r="J2115" t="s">
        <v>12885</v>
      </c>
    </row>
    <row r="2116" spans="1:10" x14ac:dyDescent="0.25">
      <c r="A2116">
        <v>271489</v>
      </c>
      <c r="B2116" t="s">
        <v>2228</v>
      </c>
      <c r="C2116" t="str">
        <f>"9780195305944"</f>
        <v>9780195305944</v>
      </c>
      <c r="D2116" t="str">
        <f>"9780199724437"</f>
        <v>9780199724437</v>
      </c>
      <c r="E2116" t="s">
        <v>1270</v>
      </c>
      <c r="F2116" t="s">
        <v>1270</v>
      </c>
      <c r="G2116" s="1">
        <v>38750</v>
      </c>
      <c r="H2116" s="1">
        <v>40082</v>
      </c>
      <c r="I2116" t="s">
        <v>12</v>
      </c>
      <c r="J2116" t="s">
        <v>12886</v>
      </c>
    </row>
    <row r="2117" spans="1:10" x14ac:dyDescent="0.25">
      <c r="A2117">
        <v>271577</v>
      </c>
      <c r="B2117" t="s">
        <v>2229</v>
      </c>
      <c r="C2117" t="str">
        <f>"9780195171907"</f>
        <v>9780195171907</v>
      </c>
      <c r="D2117" t="str">
        <f>"9780198038375"</f>
        <v>9780198038375</v>
      </c>
      <c r="E2117" t="s">
        <v>1270</v>
      </c>
      <c r="F2117" t="s">
        <v>1270</v>
      </c>
      <c r="G2117" s="1">
        <v>38806</v>
      </c>
      <c r="H2117" s="1">
        <v>40082</v>
      </c>
      <c r="I2117" t="s">
        <v>12</v>
      </c>
      <c r="J2117" t="s">
        <v>12887</v>
      </c>
    </row>
    <row r="2118" spans="1:10" x14ac:dyDescent="0.25">
      <c r="A2118">
        <v>271582</v>
      </c>
      <c r="B2118" t="s">
        <v>2230</v>
      </c>
      <c r="C2118" t="str">
        <f>"9780195173727"</f>
        <v>9780195173727</v>
      </c>
      <c r="D2118" t="str">
        <f>"9780198038733"</f>
        <v>9780198038733</v>
      </c>
      <c r="E2118" t="s">
        <v>1270</v>
      </c>
      <c r="F2118" t="s">
        <v>1270</v>
      </c>
      <c r="G2118" s="1">
        <v>38757</v>
      </c>
      <c r="H2118" s="1">
        <v>40082</v>
      </c>
      <c r="I2118" t="s">
        <v>12</v>
      </c>
      <c r="J2118" t="s">
        <v>12888</v>
      </c>
    </row>
    <row r="2119" spans="1:10" x14ac:dyDescent="0.25">
      <c r="A2119">
        <v>271677</v>
      </c>
      <c r="B2119" t="s">
        <v>2231</v>
      </c>
      <c r="C2119" t="str">
        <f>"9780195189285"</f>
        <v>9780195189285</v>
      </c>
      <c r="D2119" t="str">
        <f>"9780198040798"</f>
        <v>9780198040798</v>
      </c>
      <c r="E2119" t="s">
        <v>1270</v>
      </c>
      <c r="F2119" t="s">
        <v>1270</v>
      </c>
      <c r="G2119" s="1">
        <v>38953</v>
      </c>
      <c r="H2119" s="1">
        <v>40082</v>
      </c>
      <c r="I2119" t="s">
        <v>12</v>
      </c>
      <c r="J2119" t="s">
        <v>12889</v>
      </c>
    </row>
    <row r="2120" spans="1:10" x14ac:dyDescent="0.25">
      <c r="A2120">
        <v>271689</v>
      </c>
      <c r="B2120" t="s">
        <v>2232</v>
      </c>
      <c r="C2120" t="str">
        <f>"9780195171280"</f>
        <v>9780195171280</v>
      </c>
      <c r="D2120" t="str">
        <f>"9780198038252"</f>
        <v>9780198038252</v>
      </c>
      <c r="E2120" t="s">
        <v>1270</v>
      </c>
      <c r="F2120" t="s">
        <v>1270</v>
      </c>
      <c r="G2120" s="1">
        <v>38554</v>
      </c>
      <c r="H2120" s="1">
        <v>39006</v>
      </c>
      <c r="I2120" t="s">
        <v>12</v>
      </c>
      <c r="J2120" t="s">
        <v>12890</v>
      </c>
    </row>
    <row r="2121" spans="1:10" x14ac:dyDescent="0.25">
      <c r="A2121">
        <v>271729</v>
      </c>
      <c r="B2121" t="s">
        <v>2233</v>
      </c>
      <c r="C2121" t="str">
        <f>"9780195072273"</f>
        <v>9780195072273</v>
      </c>
      <c r="D2121" t="str">
        <f>"9780195361070"</f>
        <v>9780195361070</v>
      </c>
      <c r="E2121" t="s">
        <v>1270</v>
      </c>
      <c r="F2121" t="s">
        <v>1270</v>
      </c>
      <c r="G2121" s="1">
        <v>33759</v>
      </c>
      <c r="H2121" s="1">
        <v>40082</v>
      </c>
      <c r="I2121" t="s">
        <v>12</v>
      </c>
      <c r="J2121" t="s">
        <v>12891</v>
      </c>
    </row>
    <row r="2122" spans="1:10" x14ac:dyDescent="0.25">
      <c r="A2122">
        <v>271757</v>
      </c>
      <c r="B2122" t="s">
        <v>2234</v>
      </c>
      <c r="C2122" t="str">
        <f>"9780195177664"</f>
        <v>9780195177664</v>
      </c>
      <c r="D2122" t="str">
        <f>"9780195346442"</f>
        <v>9780195346442</v>
      </c>
      <c r="E2122" t="s">
        <v>1270</v>
      </c>
      <c r="F2122" t="s">
        <v>1270</v>
      </c>
      <c r="G2122" s="1">
        <v>38792</v>
      </c>
      <c r="H2122" s="1">
        <v>40082</v>
      </c>
      <c r="I2122" t="s">
        <v>12</v>
      </c>
      <c r="J2122" t="s">
        <v>12892</v>
      </c>
    </row>
    <row r="2123" spans="1:10" x14ac:dyDescent="0.25">
      <c r="A2123">
        <v>271791</v>
      </c>
      <c r="B2123" t="s">
        <v>2235</v>
      </c>
      <c r="C2123" t="str">
        <f>"9780195109290"</f>
        <v>9780195109290</v>
      </c>
      <c r="D2123" t="str">
        <f>"9780195355161"</f>
        <v>9780195355161</v>
      </c>
      <c r="E2123" t="s">
        <v>1270</v>
      </c>
      <c r="F2123" t="s">
        <v>1270</v>
      </c>
      <c r="G2123" s="1">
        <v>36398</v>
      </c>
      <c r="H2123" s="1">
        <v>39006</v>
      </c>
      <c r="I2123" t="s">
        <v>12</v>
      </c>
      <c r="J2123" t="s">
        <v>12893</v>
      </c>
    </row>
    <row r="2124" spans="1:10" x14ac:dyDescent="0.25">
      <c r="A2124">
        <v>271794</v>
      </c>
      <c r="B2124" t="s">
        <v>2236</v>
      </c>
      <c r="C2124" t="str">
        <f>"9780195179576"</f>
        <v>9780195179576</v>
      </c>
      <c r="D2124" t="str">
        <f>"9780199726646"</f>
        <v>9780199726646</v>
      </c>
      <c r="E2124" t="s">
        <v>1270</v>
      </c>
      <c r="F2124" t="s">
        <v>1270</v>
      </c>
      <c r="G2124" s="1">
        <v>38930</v>
      </c>
      <c r="H2124" s="1">
        <v>39006</v>
      </c>
      <c r="I2124" t="s">
        <v>12</v>
      </c>
      <c r="J2124" t="s">
        <v>12894</v>
      </c>
    </row>
    <row r="2125" spans="1:10" x14ac:dyDescent="0.25">
      <c r="A2125">
        <v>271822</v>
      </c>
      <c r="B2125" t="s">
        <v>2237</v>
      </c>
      <c r="C2125" t="str">
        <f>"9780195085914"</f>
        <v>9780195085914</v>
      </c>
      <c r="D2125" t="str">
        <f>"9780195358902"</f>
        <v>9780195358902</v>
      </c>
      <c r="E2125" t="s">
        <v>1270</v>
      </c>
      <c r="F2125" t="s">
        <v>1270</v>
      </c>
      <c r="G2125" s="1">
        <v>34795</v>
      </c>
      <c r="H2125" s="1">
        <v>40082</v>
      </c>
      <c r="I2125" t="s">
        <v>12</v>
      </c>
      <c r="J2125" t="s">
        <v>12895</v>
      </c>
    </row>
    <row r="2126" spans="1:10" x14ac:dyDescent="0.25">
      <c r="A2126">
        <v>271826</v>
      </c>
      <c r="B2126" t="s">
        <v>2238</v>
      </c>
      <c r="C2126" t="str">
        <f>"9780195131505"</f>
        <v>9780195131505</v>
      </c>
      <c r="D2126" t="str">
        <f>"9780195351231"</f>
        <v>9780195351231</v>
      </c>
      <c r="E2126" t="s">
        <v>1133</v>
      </c>
      <c r="F2126" t="s">
        <v>1273</v>
      </c>
      <c r="G2126" s="1">
        <v>36526</v>
      </c>
      <c r="H2126" s="1">
        <v>40082</v>
      </c>
      <c r="I2126" t="s">
        <v>12</v>
      </c>
      <c r="J2126" t="s">
        <v>12896</v>
      </c>
    </row>
    <row r="2127" spans="1:10" x14ac:dyDescent="0.25">
      <c r="A2127">
        <v>271859</v>
      </c>
      <c r="B2127" t="s">
        <v>2239</v>
      </c>
      <c r="C2127" t="str">
        <f>"9781865086859"</f>
        <v>9781865086859</v>
      </c>
      <c r="D2127" t="str">
        <f>"9781741150025"</f>
        <v>9781741150025</v>
      </c>
      <c r="E2127" t="s">
        <v>979</v>
      </c>
      <c r="F2127" t="s">
        <v>979</v>
      </c>
      <c r="G2127" s="1">
        <v>37469</v>
      </c>
      <c r="H2127" s="1">
        <v>39071</v>
      </c>
      <c r="I2127" t="s">
        <v>12</v>
      </c>
      <c r="J2127" t="s">
        <v>12897</v>
      </c>
    </row>
    <row r="2128" spans="1:10" x14ac:dyDescent="0.25">
      <c r="A2128">
        <v>271865</v>
      </c>
      <c r="B2128" t="s">
        <v>2240</v>
      </c>
      <c r="C2128" t="str">
        <f>"9781741750072"</f>
        <v>9781741750072</v>
      </c>
      <c r="D2128" t="str">
        <f>"9781741760569"</f>
        <v>9781741760569</v>
      </c>
      <c r="E2128" t="s">
        <v>979</v>
      </c>
      <c r="F2128" t="s">
        <v>979</v>
      </c>
      <c r="G2128" s="1">
        <v>38930</v>
      </c>
      <c r="H2128" s="1">
        <v>38973</v>
      </c>
      <c r="I2128" t="s">
        <v>12</v>
      </c>
      <c r="J2128" t="s">
        <v>12898</v>
      </c>
    </row>
    <row r="2129" spans="1:10" x14ac:dyDescent="0.25">
      <c r="A2129">
        <v>271866</v>
      </c>
      <c r="B2129" t="s">
        <v>2241</v>
      </c>
      <c r="C2129" t="str">
        <f>"9781741750089"</f>
        <v>9781741750089</v>
      </c>
      <c r="D2129" t="str">
        <f>"9781741760576"</f>
        <v>9781741760576</v>
      </c>
      <c r="E2129" t="s">
        <v>979</v>
      </c>
      <c r="F2129" t="s">
        <v>979</v>
      </c>
      <c r="G2129" s="1">
        <v>38930</v>
      </c>
      <c r="H2129" s="1">
        <v>38974</v>
      </c>
      <c r="I2129" t="s">
        <v>12</v>
      </c>
      <c r="J2129" t="s">
        <v>12899</v>
      </c>
    </row>
    <row r="2130" spans="1:10" x14ac:dyDescent="0.25">
      <c r="A2130">
        <v>271929</v>
      </c>
      <c r="B2130" t="s">
        <v>2242</v>
      </c>
      <c r="C2130" t="str">
        <f>"9781403920966"</f>
        <v>9781403920966</v>
      </c>
      <c r="D2130" t="str">
        <f>"9780230523470"</f>
        <v>9780230523470</v>
      </c>
      <c r="E2130" t="s">
        <v>875</v>
      </c>
      <c r="F2130" t="s">
        <v>875</v>
      </c>
      <c r="G2130" s="1">
        <v>38666</v>
      </c>
      <c r="H2130" s="1">
        <v>38975</v>
      </c>
      <c r="I2130" t="s">
        <v>12</v>
      </c>
      <c r="J2130" t="s">
        <v>12900</v>
      </c>
    </row>
    <row r="2131" spans="1:10" x14ac:dyDescent="0.25">
      <c r="A2131">
        <v>272067</v>
      </c>
      <c r="B2131" t="s">
        <v>2243</v>
      </c>
      <c r="C2131" t="str">
        <f>"9781903047460"</f>
        <v>9781903047460</v>
      </c>
      <c r="D2131" t="str">
        <f>"9781433703508"</f>
        <v>9781433703508</v>
      </c>
      <c r="E2131" t="s">
        <v>2244</v>
      </c>
      <c r="F2131" t="s">
        <v>2244</v>
      </c>
      <c r="G2131" s="1">
        <v>38974</v>
      </c>
      <c r="H2131" s="1">
        <v>39050</v>
      </c>
      <c r="I2131" t="s">
        <v>12</v>
      </c>
      <c r="J2131" t="s">
        <v>12901</v>
      </c>
    </row>
    <row r="2132" spans="1:10" x14ac:dyDescent="0.25">
      <c r="A2132">
        <v>272073</v>
      </c>
      <c r="B2132" t="s">
        <v>2245</v>
      </c>
      <c r="C2132" t="str">
        <f>"9781599043760"</f>
        <v>9781599043760</v>
      </c>
      <c r="D2132" t="str">
        <f>"9781599043784"</f>
        <v>9781599043784</v>
      </c>
      <c r="E2132" t="s">
        <v>623</v>
      </c>
      <c r="F2132" t="s">
        <v>624</v>
      </c>
      <c r="G2132" s="1">
        <v>39048</v>
      </c>
      <c r="H2132" s="1">
        <v>39069</v>
      </c>
      <c r="I2132" t="s">
        <v>12</v>
      </c>
      <c r="J2132" t="s">
        <v>12902</v>
      </c>
    </row>
    <row r="2133" spans="1:10" x14ac:dyDescent="0.25">
      <c r="A2133">
        <v>272074</v>
      </c>
      <c r="B2133" t="s">
        <v>2246</v>
      </c>
      <c r="C2133" t="str">
        <f>"9781591408512"</f>
        <v>9781591408512</v>
      </c>
      <c r="D2133" t="str">
        <f>"9781591408536"</f>
        <v>9781591408536</v>
      </c>
      <c r="E2133" t="s">
        <v>623</v>
      </c>
      <c r="F2133" t="s">
        <v>624</v>
      </c>
      <c r="G2133" s="1">
        <v>39051</v>
      </c>
      <c r="H2133" s="1">
        <v>39083</v>
      </c>
      <c r="I2133" t="s">
        <v>12</v>
      </c>
      <c r="J2133" t="s">
        <v>12903</v>
      </c>
    </row>
    <row r="2134" spans="1:10" x14ac:dyDescent="0.25">
      <c r="A2134">
        <v>272076</v>
      </c>
      <c r="B2134" t="s">
        <v>2247</v>
      </c>
      <c r="C2134" t="str">
        <f>"9781599043012"</f>
        <v>9781599043012</v>
      </c>
      <c r="D2134" t="str">
        <f>"9781599043036"</f>
        <v>9781599043036</v>
      </c>
      <c r="E2134" t="s">
        <v>623</v>
      </c>
      <c r="F2134" t="s">
        <v>624</v>
      </c>
      <c r="G2134" s="1">
        <v>39056</v>
      </c>
      <c r="H2134" s="1">
        <v>39069</v>
      </c>
      <c r="I2134" t="s">
        <v>12</v>
      </c>
      <c r="J2134" t="s">
        <v>12904</v>
      </c>
    </row>
    <row r="2135" spans="1:10" x14ac:dyDescent="0.25">
      <c r="A2135">
        <v>272077</v>
      </c>
      <c r="B2135" t="s">
        <v>2248</v>
      </c>
      <c r="C2135" t="str">
        <f>"9781599042312"</f>
        <v>9781599042312</v>
      </c>
      <c r="D2135" t="str">
        <f>"9781599042336"</f>
        <v>9781599042336</v>
      </c>
      <c r="E2135" t="s">
        <v>623</v>
      </c>
      <c r="F2135" t="s">
        <v>624</v>
      </c>
      <c r="G2135" s="1">
        <v>39056</v>
      </c>
      <c r="H2135" s="1">
        <v>39071</v>
      </c>
      <c r="I2135" t="s">
        <v>12</v>
      </c>
      <c r="J2135" t="s">
        <v>12905</v>
      </c>
    </row>
    <row r="2136" spans="1:10" x14ac:dyDescent="0.25">
      <c r="A2136">
        <v>272078</v>
      </c>
      <c r="B2136" t="s">
        <v>2249</v>
      </c>
      <c r="C2136" t="str">
        <f>"9781599042343"</f>
        <v>9781599042343</v>
      </c>
      <c r="D2136" t="str">
        <f>"9781599042367"</f>
        <v>9781599042367</v>
      </c>
      <c r="E2136" t="s">
        <v>623</v>
      </c>
      <c r="F2136" t="s">
        <v>624</v>
      </c>
      <c r="G2136" s="1">
        <v>39051</v>
      </c>
      <c r="H2136" s="1">
        <v>39070</v>
      </c>
      <c r="I2136" t="s">
        <v>12</v>
      </c>
      <c r="J2136" t="s">
        <v>12906</v>
      </c>
    </row>
    <row r="2137" spans="1:10" x14ac:dyDescent="0.25">
      <c r="A2137">
        <v>272079</v>
      </c>
      <c r="B2137" t="s">
        <v>2250</v>
      </c>
      <c r="C2137" t="str">
        <f>"9781599041476"</f>
        <v>9781599041476</v>
      </c>
      <c r="D2137" t="str">
        <f>"9781599041490"</f>
        <v>9781599041490</v>
      </c>
      <c r="E2137" t="s">
        <v>623</v>
      </c>
      <c r="F2137" t="s">
        <v>624</v>
      </c>
      <c r="G2137" s="1">
        <v>39048</v>
      </c>
      <c r="H2137" s="1">
        <v>39070</v>
      </c>
      <c r="I2137" t="s">
        <v>12</v>
      </c>
      <c r="J2137" t="s">
        <v>12907</v>
      </c>
    </row>
    <row r="2138" spans="1:10" x14ac:dyDescent="0.25">
      <c r="A2138">
        <v>272080</v>
      </c>
      <c r="B2138" t="s">
        <v>2251</v>
      </c>
      <c r="C2138" t="str">
        <f>"9781599043258"</f>
        <v>9781599043258</v>
      </c>
      <c r="D2138" t="str">
        <f>"9781599043272"</f>
        <v>9781599043272</v>
      </c>
      <c r="E2138" t="s">
        <v>623</v>
      </c>
      <c r="F2138" t="s">
        <v>624</v>
      </c>
      <c r="G2138" s="1">
        <v>39048</v>
      </c>
      <c r="H2138" s="1">
        <v>39069</v>
      </c>
      <c r="I2138" t="s">
        <v>12</v>
      </c>
      <c r="J2138" t="s">
        <v>12908</v>
      </c>
    </row>
    <row r="2139" spans="1:10" x14ac:dyDescent="0.25">
      <c r="A2139">
        <v>272082</v>
      </c>
      <c r="B2139" t="s">
        <v>2252</v>
      </c>
      <c r="C2139" t="str">
        <f>"9781591407928"</f>
        <v>9781591407928</v>
      </c>
      <c r="D2139" t="str">
        <f>"9781591407935"</f>
        <v>9781591407935</v>
      </c>
      <c r="E2139" t="s">
        <v>623</v>
      </c>
      <c r="F2139" t="s">
        <v>624</v>
      </c>
      <c r="G2139" s="1">
        <v>39071</v>
      </c>
      <c r="H2139" s="1">
        <v>39069</v>
      </c>
      <c r="I2139" t="s">
        <v>12</v>
      </c>
      <c r="J2139" t="s">
        <v>12909</v>
      </c>
    </row>
    <row r="2140" spans="1:10" x14ac:dyDescent="0.25">
      <c r="A2140">
        <v>272119</v>
      </c>
      <c r="B2140" t="s">
        <v>2253</v>
      </c>
      <c r="C2140" t="str">
        <f>"9780803613379"</f>
        <v>9780803613379</v>
      </c>
      <c r="D2140" t="str">
        <f>"9780803618022"</f>
        <v>9780803618022</v>
      </c>
      <c r="E2140" t="s">
        <v>1445</v>
      </c>
      <c r="F2140" t="s">
        <v>1445</v>
      </c>
      <c r="G2140" s="1">
        <v>38718</v>
      </c>
      <c r="H2140" s="1">
        <v>39114</v>
      </c>
      <c r="I2140" t="s">
        <v>12</v>
      </c>
      <c r="J2140" t="s">
        <v>12910</v>
      </c>
    </row>
    <row r="2141" spans="1:10" x14ac:dyDescent="0.25">
      <c r="A2141">
        <v>272123</v>
      </c>
      <c r="B2141" t="s">
        <v>2254</v>
      </c>
      <c r="C2141" t="str">
        <f>"9780803614024"</f>
        <v>9780803614024</v>
      </c>
      <c r="D2141" t="str">
        <f>"9780803618053"</f>
        <v>9780803618053</v>
      </c>
      <c r="E2141" t="s">
        <v>1445</v>
      </c>
      <c r="F2141" t="s">
        <v>1445</v>
      </c>
      <c r="G2141" s="1">
        <v>38718</v>
      </c>
      <c r="H2141" s="1">
        <v>38987</v>
      </c>
      <c r="I2141" t="s">
        <v>12</v>
      </c>
      <c r="J2141" t="s">
        <v>12911</v>
      </c>
    </row>
    <row r="2142" spans="1:10" x14ac:dyDescent="0.25">
      <c r="A2142">
        <v>272146</v>
      </c>
      <c r="B2142" t="s">
        <v>2255</v>
      </c>
      <c r="C2142" t="str">
        <f>"9781844073436"</f>
        <v>9781844073436</v>
      </c>
      <c r="D2142" t="str">
        <f>"9781552502242"</f>
        <v>9781552502242</v>
      </c>
      <c r="E2142" t="s">
        <v>1968</v>
      </c>
      <c r="F2142" t="s">
        <v>1969</v>
      </c>
      <c r="G2142" s="1">
        <v>38718</v>
      </c>
      <c r="H2142" s="1">
        <v>38983</v>
      </c>
      <c r="I2142" t="s">
        <v>12</v>
      </c>
      <c r="J2142" t="s">
        <v>12912</v>
      </c>
    </row>
    <row r="2143" spans="1:10" x14ac:dyDescent="0.25">
      <c r="A2143">
        <v>272229</v>
      </c>
      <c r="B2143" t="s">
        <v>2256</v>
      </c>
      <c r="C2143" t="str">
        <f>"9780979002106"</f>
        <v>9780979002106</v>
      </c>
      <c r="D2143" t="str">
        <f>"9780979002113"</f>
        <v>9780979002113</v>
      </c>
      <c r="E2143" t="s">
        <v>1051</v>
      </c>
      <c r="F2143" t="s">
        <v>1052</v>
      </c>
      <c r="G2143" s="1">
        <v>38961</v>
      </c>
      <c r="H2143" s="1">
        <v>39071</v>
      </c>
      <c r="I2143" t="s">
        <v>12</v>
      </c>
      <c r="J2143" t="s">
        <v>12913</v>
      </c>
    </row>
    <row r="2144" spans="1:10" x14ac:dyDescent="0.25">
      <c r="A2144">
        <v>272284</v>
      </c>
      <c r="B2144" t="s">
        <v>2257</v>
      </c>
      <c r="C2144" t="str">
        <f>"9780195189230"</f>
        <v>9780195189230</v>
      </c>
      <c r="D2144" t="str">
        <f>"9780198040781"</f>
        <v>9780198040781</v>
      </c>
      <c r="E2144" t="s">
        <v>1268</v>
      </c>
      <c r="F2144" t="s">
        <v>1268</v>
      </c>
      <c r="G2144" s="1">
        <v>38771</v>
      </c>
      <c r="H2144" s="1">
        <v>40082</v>
      </c>
      <c r="I2144" t="s">
        <v>12</v>
      </c>
      <c r="J2144" t="s">
        <v>12914</v>
      </c>
    </row>
    <row r="2145" spans="1:10" x14ac:dyDescent="0.25">
      <c r="A2145">
        <v>272294</v>
      </c>
      <c r="B2145" t="s">
        <v>2258</v>
      </c>
      <c r="C2145" t="str">
        <f>"9780195189629"</f>
        <v>9780195189629</v>
      </c>
      <c r="D2145" t="str">
        <f>"9780195345919"</f>
        <v>9780195345919</v>
      </c>
      <c r="E2145" t="s">
        <v>1268</v>
      </c>
      <c r="F2145" t="s">
        <v>1268</v>
      </c>
      <c r="G2145" s="1">
        <v>38827</v>
      </c>
      <c r="H2145" s="1">
        <v>40082</v>
      </c>
      <c r="I2145" t="s">
        <v>12</v>
      </c>
      <c r="J2145" t="s">
        <v>12915</v>
      </c>
    </row>
    <row r="2146" spans="1:10" x14ac:dyDescent="0.25">
      <c r="A2146">
        <v>272311</v>
      </c>
      <c r="B2146" t="s">
        <v>2259</v>
      </c>
      <c r="C2146" t="str">
        <f>"9780195173444"</f>
        <v>9780195173444</v>
      </c>
      <c r="D2146" t="str">
        <f>"9780198038665"</f>
        <v>9780198038665</v>
      </c>
      <c r="E2146" t="s">
        <v>1268</v>
      </c>
      <c r="F2146" t="s">
        <v>1268</v>
      </c>
      <c r="G2146" s="1">
        <v>38736</v>
      </c>
      <c r="H2146" s="1">
        <v>40082</v>
      </c>
      <c r="I2146" t="s">
        <v>12</v>
      </c>
      <c r="J2146" t="s">
        <v>12916</v>
      </c>
    </row>
    <row r="2147" spans="1:10" x14ac:dyDescent="0.25">
      <c r="A2147">
        <v>272356</v>
      </c>
      <c r="B2147" t="s">
        <v>2260</v>
      </c>
      <c r="C2147" t="str">
        <f>"9780195177831"</f>
        <v>9780195177831</v>
      </c>
      <c r="D2147" t="str">
        <f>"9780198039556"</f>
        <v>9780198039556</v>
      </c>
      <c r="E2147" t="s">
        <v>1270</v>
      </c>
      <c r="F2147" t="s">
        <v>1270</v>
      </c>
      <c r="G2147" s="1">
        <v>38778</v>
      </c>
      <c r="H2147" s="1">
        <v>40082</v>
      </c>
      <c r="I2147" t="s">
        <v>12</v>
      </c>
      <c r="J2147" t="s">
        <v>12917</v>
      </c>
    </row>
    <row r="2148" spans="1:10" x14ac:dyDescent="0.25">
      <c r="A2148">
        <v>272358</v>
      </c>
      <c r="B2148" t="s">
        <v>2261</v>
      </c>
      <c r="C2148" t="str">
        <f>"9780195179552"</f>
        <v>9780195179552</v>
      </c>
      <c r="D2148" t="str">
        <f>"9780195346282"</f>
        <v>9780195346282</v>
      </c>
      <c r="E2148" t="s">
        <v>1270</v>
      </c>
      <c r="F2148" t="s">
        <v>1270</v>
      </c>
      <c r="G2148" s="1">
        <v>38778</v>
      </c>
      <c r="H2148" s="1">
        <v>40082</v>
      </c>
      <c r="I2148" t="s">
        <v>12</v>
      </c>
      <c r="J2148" t="s">
        <v>12918</v>
      </c>
    </row>
    <row r="2149" spans="1:10" x14ac:dyDescent="0.25">
      <c r="A2149">
        <v>272482</v>
      </c>
      <c r="B2149" t="s">
        <v>2262</v>
      </c>
      <c r="C2149" t="str">
        <f>"9780195304381"</f>
        <v>9780195304381</v>
      </c>
      <c r="D2149" t="str">
        <f>"9780198041429"</f>
        <v>9780198041429</v>
      </c>
      <c r="E2149" t="s">
        <v>1268</v>
      </c>
      <c r="F2149" t="s">
        <v>1268</v>
      </c>
      <c r="G2149" s="1">
        <v>38953</v>
      </c>
      <c r="H2149" s="1">
        <v>40082</v>
      </c>
      <c r="I2149" t="s">
        <v>12</v>
      </c>
      <c r="J2149" t="s">
        <v>12919</v>
      </c>
    </row>
    <row r="2150" spans="1:10" x14ac:dyDescent="0.25">
      <c r="A2150">
        <v>272555</v>
      </c>
      <c r="B2150" t="s">
        <v>2263</v>
      </c>
      <c r="C2150" t="str">
        <f>"9780195125511"</f>
        <v>9780195125511</v>
      </c>
      <c r="D2150" t="str">
        <f>"9780195352269"</f>
        <v>9780195352269</v>
      </c>
      <c r="E2150" t="s">
        <v>1270</v>
      </c>
      <c r="F2150" t="s">
        <v>1270</v>
      </c>
      <c r="G2150" s="1">
        <v>36552</v>
      </c>
      <c r="H2150" s="1">
        <v>40082</v>
      </c>
      <c r="I2150" t="s">
        <v>12</v>
      </c>
      <c r="J2150" t="s">
        <v>12920</v>
      </c>
    </row>
    <row r="2151" spans="1:10" x14ac:dyDescent="0.25">
      <c r="A2151">
        <v>272557</v>
      </c>
      <c r="B2151" t="s">
        <v>2264</v>
      </c>
      <c r="C2151" t="str">
        <f>"9780195182217"</f>
        <v>9780195182217</v>
      </c>
      <c r="D2151" t="str">
        <f>"9780198040200"</f>
        <v>9780198040200</v>
      </c>
      <c r="E2151" t="s">
        <v>1270</v>
      </c>
      <c r="F2151" t="s">
        <v>1270</v>
      </c>
      <c r="G2151" s="1">
        <v>38666</v>
      </c>
      <c r="H2151" s="1">
        <v>40082</v>
      </c>
      <c r="I2151" t="s">
        <v>12</v>
      </c>
      <c r="J2151" t="s">
        <v>12921</v>
      </c>
    </row>
    <row r="2152" spans="1:10" x14ac:dyDescent="0.25">
      <c r="A2152">
        <v>272625</v>
      </c>
      <c r="B2152" t="s">
        <v>2265</v>
      </c>
      <c r="C2152" t="str">
        <f>"9780195301458"</f>
        <v>9780195301458</v>
      </c>
      <c r="D2152" t="str">
        <f>"9780195345742"</f>
        <v>9780195345742</v>
      </c>
      <c r="E2152" t="s">
        <v>1270</v>
      </c>
      <c r="F2152" t="s">
        <v>1270</v>
      </c>
      <c r="G2152" s="1">
        <v>38939</v>
      </c>
      <c r="H2152" s="1">
        <v>40082</v>
      </c>
      <c r="I2152" t="s">
        <v>12</v>
      </c>
      <c r="J2152" t="s">
        <v>12922</v>
      </c>
    </row>
    <row r="2153" spans="1:10" x14ac:dyDescent="0.25">
      <c r="A2153">
        <v>272626</v>
      </c>
      <c r="B2153" t="s">
        <v>2266</v>
      </c>
      <c r="C2153" t="str">
        <f>"9780195110517"</f>
        <v>9780195110517</v>
      </c>
      <c r="D2153" t="str">
        <f>"9781602566446"</f>
        <v>9781602566446</v>
      </c>
      <c r="E2153" t="s">
        <v>1270</v>
      </c>
      <c r="F2153" t="s">
        <v>1270</v>
      </c>
      <c r="G2153" s="1">
        <v>35754</v>
      </c>
      <c r="H2153" s="1">
        <v>39006</v>
      </c>
      <c r="I2153" t="s">
        <v>12</v>
      </c>
      <c r="J2153" t="s">
        <v>12923</v>
      </c>
    </row>
    <row r="2154" spans="1:10" x14ac:dyDescent="0.25">
      <c r="A2154">
        <v>272678</v>
      </c>
      <c r="B2154" t="s">
        <v>2267</v>
      </c>
      <c r="C2154" t="str">
        <f>"9780195041194"</f>
        <v>9780195041194</v>
      </c>
      <c r="D2154" t="str">
        <f>"9781601296078"</f>
        <v>9781601296078</v>
      </c>
      <c r="E2154" t="s">
        <v>1270</v>
      </c>
      <c r="F2154" t="s">
        <v>1270</v>
      </c>
      <c r="G2154" s="1">
        <v>31561</v>
      </c>
      <c r="H2154" s="1">
        <v>39006</v>
      </c>
      <c r="I2154" t="s">
        <v>12</v>
      </c>
      <c r="J2154" t="s">
        <v>12924</v>
      </c>
    </row>
    <row r="2155" spans="1:10" x14ac:dyDescent="0.25">
      <c r="A2155">
        <v>272697</v>
      </c>
      <c r="B2155" t="s">
        <v>2268</v>
      </c>
      <c r="C2155" t="str">
        <f>"9780195176940"</f>
        <v>9780195176940</v>
      </c>
      <c r="D2155" t="str">
        <f>"9780198039310"</f>
        <v>9780198039310</v>
      </c>
      <c r="E2155" t="s">
        <v>1270</v>
      </c>
      <c r="F2155" t="s">
        <v>1270</v>
      </c>
      <c r="G2155" s="1">
        <v>38456</v>
      </c>
      <c r="H2155" s="1">
        <v>40082</v>
      </c>
      <c r="I2155" t="s">
        <v>12</v>
      </c>
      <c r="J2155" t="s">
        <v>12925</v>
      </c>
    </row>
    <row r="2156" spans="1:10" x14ac:dyDescent="0.25">
      <c r="A2156">
        <v>272740</v>
      </c>
      <c r="B2156" t="s">
        <v>2269</v>
      </c>
      <c r="C2156" t="str">
        <f>"9780195301625"</f>
        <v>9780195301625</v>
      </c>
      <c r="D2156" t="str">
        <f>"9780195345735"</f>
        <v>9780195345735</v>
      </c>
      <c r="E2156" t="s">
        <v>1270</v>
      </c>
      <c r="F2156" t="s">
        <v>1270</v>
      </c>
      <c r="G2156" s="1">
        <v>38736</v>
      </c>
      <c r="H2156" s="1">
        <v>40082</v>
      </c>
      <c r="I2156" t="s">
        <v>12</v>
      </c>
      <c r="J2156" t="s">
        <v>12926</v>
      </c>
    </row>
    <row r="2157" spans="1:10" x14ac:dyDescent="0.25">
      <c r="A2157">
        <v>272774</v>
      </c>
      <c r="B2157" t="s">
        <v>2270</v>
      </c>
      <c r="C2157" t="str">
        <f>"9780195115246"</f>
        <v>9780195115246</v>
      </c>
      <c r="D2157" t="str">
        <f>"9780195354065"</f>
        <v>9780195354065</v>
      </c>
      <c r="E2157" t="s">
        <v>1133</v>
      </c>
      <c r="F2157" t="s">
        <v>1273</v>
      </c>
      <c r="G2157" s="1">
        <v>32786</v>
      </c>
      <c r="H2157" s="1">
        <v>40082</v>
      </c>
      <c r="I2157" t="s">
        <v>12</v>
      </c>
      <c r="J2157" t="s">
        <v>12927</v>
      </c>
    </row>
    <row r="2158" spans="1:10" x14ac:dyDescent="0.25">
      <c r="A2158">
        <v>272788</v>
      </c>
      <c r="B2158" t="s">
        <v>2271</v>
      </c>
      <c r="C2158" t="str">
        <f>"9780195307924"</f>
        <v>9780195307924</v>
      </c>
      <c r="D2158" t="str">
        <f>"9780198042051"</f>
        <v>9780198042051</v>
      </c>
      <c r="E2158" t="s">
        <v>1268</v>
      </c>
      <c r="F2158" t="s">
        <v>1268</v>
      </c>
      <c r="G2158" s="1">
        <v>38944</v>
      </c>
      <c r="H2158" s="1">
        <v>40082</v>
      </c>
      <c r="I2158" t="s">
        <v>12</v>
      </c>
      <c r="J2158" t="s">
        <v>12928</v>
      </c>
    </row>
    <row r="2159" spans="1:10" x14ac:dyDescent="0.25">
      <c r="A2159">
        <v>272860</v>
      </c>
      <c r="B2159" t="s">
        <v>2272</v>
      </c>
      <c r="C2159" t="str">
        <f>"9780195079722"</f>
        <v>9780195079722</v>
      </c>
      <c r="D2159" t="str">
        <f>"9780195359114"</f>
        <v>9780195359114</v>
      </c>
      <c r="E2159" t="s">
        <v>1270</v>
      </c>
      <c r="F2159" t="s">
        <v>1270</v>
      </c>
      <c r="G2159" s="1">
        <v>34298</v>
      </c>
      <c r="H2159" s="1">
        <v>40082</v>
      </c>
      <c r="I2159" t="s">
        <v>12</v>
      </c>
      <c r="J2159" t="s">
        <v>12929</v>
      </c>
    </row>
    <row r="2160" spans="1:10" x14ac:dyDescent="0.25">
      <c r="A2160">
        <v>272918</v>
      </c>
      <c r="B2160" t="s">
        <v>2273</v>
      </c>
      <c r="C2160" t="str">
        <f>"9780195089677"</f>
        <v>9780195089677</v>
      </c>
      <c r="D2160" t="str">
        <f>"9780198025030"</f>
        <v>9780198025030</v>
      </c>
      <c r="E2160" t="s">
        <v>1268</v>
      </c>
      <c r="F2160" t="s">
        <v>1268</v>
      </c>
      <c r="G2160" s="1">
        <v>35663</v>
      </c>
      <c r="H2160" s="1">
        <v>40082</v>
      </c>
      <c r="I2160" t="s">
        <v>12</v>
      </c>
      <c r="J2160" t="s">
        <v>12930</v>
      </c>
    </row>
    <row r="2161" spans="1:10" x14ac:dyDescent="0.25">
      <c r="A2161">
        <v>272929</v>
      </c>
      <c r="B2161" t="s">
        <v>2274</v>
      </c>
      <c r="C2161" t="str">
        <f>"9780195041071"</f>
        <v>9780195041071</v>
      </c>
      <c r="D2161" t="str">
        <f>"9780198021155"</f>
        <v>9780198021155</v>
      </c>
      <c r="E2161" t="s">
        <v>1270</v>
      </c>
      <c r="F2161" t="s">
        <v>1270</v>
      </c>
      <c r="G2161" s="1">
        <v>32919</v>
      </c>
      <c r="H2161" s="1">
        <v>39006</v>
      </c>
      <c r="I2161" t="s">
        <v>12</v>
      </c>
      <c r="J2161" t="s">
        <v>12931</v>
      </c>
    </row>
    <row r="2162" spans="1:10" x14ac:dyDescent="0.25">
      <c r="A2162">
        <v>272991</v>
      </c>
      <c r="B2162" t="s">
        <v>2275</v>
      </c>
      <c r="C2162" t="str">
        <f>"9780195082524"</f>
        <v>9780195082524</v>
      </c>
      <c r="D2162" t="str">
        <f>"9780195359565"</f>
        <v>9780195359565</v>
      </c>
      <c r="E2162" t="s">
        <v>1270</v>
      </c>
      <c r="F2162" t="s">
        <v>1270</v>
      </c>
      <c r="G2162" s="1">
        <v>34550</v>
      </c>
      <c r="H2162" s="1">
        <v>40082</v>
      </c>
      <c r="I2162" t="s">
        <v>12</v>
      </c>
      <c r="J2162" t="s">
        <v>12932</v>
      </c>
    </row>
    <row r="2163" spans="1:10" x14ac:dyDescent="0.25">
      <c r="A2163">
        <v>273167</v>
      </c>
      <c r="B2163" t="s">
        <v>2276</v>
      </c>
      <c r="C2163" t="str">
        <f>"9780195129083"</f>
        <v>9780195129083</v>
      </c>
      <c r="D2163" t="str">
        <f>"9780195351644"</f>
        <v>9780195351644</v>
      </c>
      <c r="E2163" t="s">
        <v>1133</v>
      </c>
      <c r="F2163" t="s">
        <v>1273</v>
      </c>
      <c r="G2163" s="1">
        <v>30770</v>
      </c>
      <c r="H2163" s="1">
        <v>41172</v>
      </c>
      <c r="I2163" t="s">
        <v>12</v>
      </c>
      <c r="J2163" t="s">
        <v>12933</v>
      </c>
    </row>
    <row r="2164" spans="1:10" x14ac:dyDescent="0.25">
      <c r="A2164">
        <v>273182</v>
      </c>
      <c r="B2164" t="s">
        <v>2277</v>
      </c>
      <c r="C2164" t="str">
        <f>"9780195175844"</f>
        <v>9780195175844</v>
      </c>
      <c r="D2164" t="str">
        <f>"9780198039136"</f>
        <v>9780198039136</v>
      </c>
      <c r="E2164" t="s">
        <v>1270</v>
      </c>
      <c r="F2164" t="s">
        <v>1270</v>
      </c>
      <c r="G2164" s="1">
        <v>38372</v>
      </c>
      <c r="H2164" s="1">
        <v>39006</v>
      </c>
      <c r="I2164" t="s">
        <v>12</v>
      </c>
      <c r="J2164" t="s">
        <v>12934</v>
      </c>
    </row>
    <row r="2165" spans="1:10" x14ac:dyDescent="0.25">
      <c r="A2165">
        <v>273382</v>
      </c>
      <c r="B2165" t="s">
        <v>2278</v>
      </c>
      <c r="C2165" t="str">
        <f>"9780195300086"</f>
        <v>9780195300086</v>
      </c>
      <c r="D2165" t="str">
        <f>"9780198041023"</f>
        <v>9780198041023</v>
      </c>
      <c r="E2165" t="s">
        <v>1268</v>
      </c>
      <c r="F2165" t="s">
        <v>1268</v>
      </c>
      <c r="G2165" s="1">
        <v>39090</v>
      </c>
      <c r="H2165" s="1">
        <v>40082</v>
      </c>
      <c r="I2165" t="s">
        <v>12</v>
      </c>
      <c r="J2165" t="s">
        <v>12935</v>
      </c>
    </row>
    <row r="2166" spans="1:10" x14ac:dyDescent="0.25">
      <c r="A2166">
        <v>273418</v>
      </c>
      <c r="B2166" t="s">
        <v>2279</v>
      </c>
      <c r="C2166" t="str">
        <f>"9780195119442"</f>
        <v>9780195119442</v>
      </c>
      <c r="D2166" t="str">
        <f>"9780195353235"</f>
        <v>9780195353235</v>
      </c>
      <c r="E2166" t="s">
        <v>1270</v>
      </c>
      <c r="F2166" t="s">
        <v>1270</v>
      </c>
      <c r="G2166" s="1">
        <v>35894</v>
      </c>
      <c r="H2166" s="1">
        <v>40082</v>
      </c>
      <c r="I2166" t="s">
        <v>12</v>
      </c>
      <c r="J2166" t="s">
        <v>12936</v>
      </c>
    </row>
    <row r="2167" spans="1:10" x14ac:dyDescent="0.25">
      <c r="A2167">
        <v>273528</v>
      </c>
      <c r="B2167" t="s">
        <v>2280</v>
      </c>
      <c r="C2167" t="str">
        <f>"9780815715344"</f>
        <v>9780815715344</v>
      </c>
      <c r="D2167" t="str">
        <f>"9780815796190"</f>
        <v>9780815796190</v>
      </c>
      <c r="E2167" t="s">
        <v>2013</v>
      </c>
      <c r="F2167" t="s">
        <v>2013</v>
      </c>
      <c r="G2167" s="1">
        <v>37929</v>
      </c>
      <c r="H2167" s="1">
        <v>38989</v>
      </c>
      <c r="I2167" t="s">
        <v>12</v>
      </c>
      <c r="J2167" t="s">
        <v>12937</v>
      </c>
    </row>
    <row r="2168" spans="1:10" x14ac:dyDescent="0.25">
      <c r="A2168">
        <v>273549</v>
      </c>
      <c r="B2168" t="s">
        <v>2281</v>
      </c>
      <c r="C2168" t="str">
        <f>"9780815795162"</f>
        <v>9780815795162</v>
      </c>
      <c r="D2168" t="str">
        <f>"9780815796688"</f>
        <v>9780815796688</v>
      </c>
      <c r="E2168" t="s">
        <v>2013</v>
      </c>
      <c r="F2168" t="s">
        <v>2013</v>
      </c>
      <c r="G2168" s="1">
        <v>38250</v>
      </c>
      <c r="H2168" s="1">
        <v>38988</v>
      </c>
      <c r="I2168" t="s">
        <v>12</v>
      </c>
      <c r="J2168" t="s">
        <v>12938</v>
      </c>
    </row>
    <row r="2169" spans="1:10" x14ac:dyDescent="0.25">
      <c r="A2169">
        <v>273618</v>
      </c>
      <c r="B2169" t="s">
        <v>2282</v>
      </c>
      <c r="C2169" t="str">
        <f>"9780521371377"</f>
        <v>9780521371377</v>
      </c>
      <c r="D2169" t="str">
        <f>"9780511240386"</f>
        <v>9780511240386</v>
      </c>
      <c r="E2169" t="s">
        <v>18</v>
      </c>
      <c r="F2169" t="s">
        <v>18</v>
      </c>
      <c r="G2169" s="1">
        <v>38939</v>
      </c>
      <c r="H2169" s="1">
        <v>38989</v>
      </c>
      <c r="I2169" t="s">
        <v>12</v>
      </c>
      <c r="J2169" t="s">
        <v>12939</v>
      </c>
    </row>
    <row r="2170" spans="1:10" x14ac:dyDescent="0.25">
      <c r="A2170">
        <v>273625</v>
      </c>
      <c r="B2170" t="s">
        <v>2283</v>
      </c>
      <c r="C2170" t="str">
        <f>"9780521782692"</f>
        <v>9780521782692</v>
      </c>
      <c r="D2170" t="str">
        <f>"9780511240447"</f>
        <v>9780511240447</v>
      </c>
      <c r="E2170" t="s">
        <v>18</v>
      </c>
      <c r="F2170" t="s">
        <v>18</v>
      </c>
      <c r="G2170" s="1">
        <v>38930</v>
      </c>
      <c r="H2170" s="1">
        <v>38989</v>
      </c>
      <c r="I2170" t="s">
        <v>12</v>
      </c>
      <c r="J2170" t="s">
        <v>12940</v>
      </c>
    </row>
    <row r="2171" spans="1:10" x14ac:dyDescent="0.25">
      <c r="A2171">
        <v>273630</v>
      </c>
      <c r="B2171" t="s">
        <v>2284</v>
      </c>
      <c r="C2171" t="str">
        <f>"9780521820448"</f>
        <v>9780521820448</v>
      </c>
      <c r="D2171" t="str">
        <f>"9780511240485"</f>
        <v>9780511240485</v>
      </c>
      <c r="E2171" t="s">
        <v>18</v>
      </c>
      <c r="F2171" t="s">
        <v>18</v>
      </c>
      <c r="G2171" s="1">
        <v>38936</v>
      </c>
      <c r="H2171" s="1">
        <v>38989</v>
      </c>
      <c r="I2171" t="s">
        <v>12</v>
      </c>
      <c r="J2171" t="s">
        <v>12941</v>
      </c>
    </row>
    <row r="2172" spans="1:10" x14ac:dyDescent="0.25">
      <c r="A2172">
        <v>273646</v>
      </c>
      <c r="B2172" t="s">
        <v>2285</v>
      </c>
      <c r="C2172" t="str">
        <f>"9780521843447"</f>
        <v>9780521843447</v>
      </c>
      <c r="D2172" t="str">
        <f>"9780511240607"</f>
        <v>9780511240607</v>
      </c>
      <c r="E2172" t="s">
        <v>18</v>
      </c>
      <c r="F2172" t="s">
        <v>18</v>
      </c>
      <c r="G2172" s="1">
        <v>39052</v>
      </c>
      <c r="H2172" s="1">
        <v>38989</v>
      </c>
      <c r="I2172" t="s">
        <v>12</v>
      </c>
      <c r="J2172" t="s">
        <v>12942</v>
      </c>
    </row>
    <row r="2173" spans="1:10" x14ac:dyDescent="0.25">
      <c r="A2173">
        <v>273648</v>
      </c>
      <c r="B2173" t="s">
        <v>2286</v>
      </c>
      <c r="C2173" t="str">
        <f>"9780521846189"</f>
        <v>9780521846189</v>
      </c>
      <c r="D2173" t="str">
        <f>"9780511240638"</f>
        <v>9780511240638</v>
      </c>
      <c r="E2173" t="s">
        <v>18</v>
      </c>
      <c r="F2173" t="s">
        <v>18</v>
      </c>
      <c r="G2173" s="1">
        <v>38930</v>
      </c>
      <c r="H2173" s="1">
        <v>38989</v>
      </c>
      <c r="I2173" t="s">
        <v>12</v>
      </c>
      <c r="J2173" t="s">
        <v>12943</v>
      </c>
    </row>
    <row r="2174" spans="1:10" x14ac:dyDescent="0.25">
      <c r="A2174">
        <v>273654</v>
      </c>
      <c r="B2174" t="s">
        <v>2287</v>
      </c>
      <c r="C2174" t="str">
        <f>"9780521848220"</f>
        <v>9780521848220</v>
      </c>
      <c r="D2174" t="str">
        <f>"9780511240683"</f>
        <v>9780511240683</v>
      </c>
      <c r="E2174" t="s">
        <v>18</v>
      </c>
      <c r="F2174" t="s">
        <v>18</v>
      </c>
      <c r="G2174" s="1">
        <v>38930</v>
      </c>
      <c r="H2174" s="1">
        <v>38989</v>
      </c>
      <c r="I2174" t="s">
        <v>12</v>
      </c>
      <c r="J2174" t="s">
        <v>12944</v>
      </c>
    </row>
    <row r="2175" spans="1:10" x14ac:dyDescent="0.25">
      <c r="A2175">
        <v>273655</v>
      </c>
      <c r="B2175" t="s">
        <v>2288</v>
      </c>
      <c r="C2175" t="str">
        <f>"9780521849326"</f>
        <v>9780521849326</v>
      </c>
      <c r="D2175" t="str">
        <f>"9780511240690"</f>
        <v>9780511240690</v>
      </c>
      <c r="E2175" t="s">
        <v>18</v>
      </c>
      <c r="F2175" t="s">
        <v>18</v>
      </c>
      <c r="G2175" s="1">
        <v>38869</v>
      </c>
      <c r="H2175" s="1">
        <v>38989</v>
      </c>
      <c r="I2175" t="s">
        <v>12</v>
      </c>
      <c r="J2175" t="s">
        <v>12945</v>
      </c>
    </row>
    <row r="2176" spans="1:10" x14ac:dyDescent="0.25">
      <c r="A2176">
        <v>273659</v>
      </c>
      <c r="B2176" t="s">
        <v>2289</v>
      </c>
      <c r="C2176" t="str">
        <f>"9780521856294"</f>
        <v>9780521856294</v>
      </c>
      <c r="D2176" t="str">
        <f>"9780511240744"</f>
        <v>9780511240744</v>
      </c>
      <c r="E2176" t="s">
        <v>18</v>
      </c>
      <c r="F2176" t="s">
        <v>18</v>
      </c>
      <c r="G2176" s="1">
        <v>38869</v>
      </c>
      <c r="H2176" s="1">
        <v>38989</v>
      </c>
      <c r="I2176" t="s">
        <v>12</v>
      </c>
      <c r="J2176" t="s">
        <v>12946</v>
      </c>
    </row>
    <row r="2177" spans="1:10" x14ac:dyDescent="0.25">
      <c r="A2177">
        <v>273662</v>
      </c>
      <c r="B2177" t="s">
        <v>2290</v>
      </c>
      <c r="C2177" t="str">
        <f>"9780521858069"</f>
        <v>9780521858069</v>
      </c>
      <c r="D2177" t="str">
        <f>"9780511240768"</f>
        <v>9780511240768</v>
      </c>
      <c r="E2177" t="s">
        <v>18</v>
      </c>
      <c r="F2177" t="s">
        <v>18</v>
      </c>
      <c r="G2177" s="1">
        <v>38974</v>
      </c>
      <c r="H2177" s="1">
        <v>38989</v>
      </c>
      <c r="I2177" t="s">
        <v>12</v>
      </c>
      <c r="J2177" t="s">
        <v>12947</v>
      </c>
    </row>
    <row r="2178" spans="1:10" x14ac:dyDescent="0.25">
      <c r="A2178">
        <v>273663</v>
      </c>
      <c r="B2178" t="s">
        <v>2291</v>
      </c>
      <c r="C2178" t="str">
        <f>"9780521858540"</f>
        <v>9780521858540</v>
      </c>
      <c r="D2178" t="str">
        <f>"9780511240775"</f>
        <v>9780511240775</v>
      </c>
      <c r="E2178" t="s">
        <v>18</v>
      </c>
      <c r="F2178" t="s">
        <v>18</v>
      </c>
      <c r="G2178" s="1">
        <v>38939</v>
      </c>
      <c r="H2178" s="1">
        <v>38989</v>
      </c>
      <c r="I2178" t="s">
        <v>12</v>
      </c>
      <c r="J2178" t="s">
        <v>12948</v>
      </c>
    </row>
    <row r="2179" spans="1:10" x14ac:dyDescent="0.25">
      <c r="A2179">
        <v>273667</v>
      </c>
      <c r="B2179" t="s">
        <v>2292</v>
      </c>
      <c r="C2179" t="str">
        <f>"9780521862059"</f>
        <v>9780521862059</v>
      </c>
      <c r="D2179" t="str">
        <f>"9780511240812"</f>
        <v>9780511240812</v>
      </c>
      <c r="E2179" t="s">
        <v>18</v>
      </c>
      <c r="F2179" t="s">
        <v>18</v>
      </c>
      <c r="G2179" s="1">
        <v>38838</v>
      </c>
      <c r="H2179" s="1">
        <v>38989</v>
      </c>
      <c r="I2179" t="s">
        <v>12</v>
      </c>
      <c r="J2179" t="s">
        <v>12949</v>
      </c>
    </row>
    <row r="2180" spans="1:10" x14ac:dyDescent="0.25">
      <c r="A2180">
        <v>273678</v>
      </c>
      <c r="B2180" t="s">
        <v>2293</v>
      </c>
      <c r="C2180" t="str">
        <f>"9780415372701"</f>
        <v>9780415372701</v>
      </c>
      <c r="D2180" t="str">
        <f>"9780203966198"</f>
        <v>9780203966198</v>
      </c>
      <c r="E2180" t="s">
        <v>15</v>
      </c>
      <c r="F2180" t="s">
        <v>16</v>
      </c>
      <c r="G2180" s="1">
        <v>39007</v>
      </c>
      <c r="H2180" s="1">
        <v>38990</v>
      </c>
      <c r="I2180" t="s">
        <v>12</v>
      </c>
      <c r="J2180" t="s">
        <v>12950</v>
      </c>
    </row>
    <row r="2181" spans="1:10" x14ac:dyDescent="0.25">
      <c r="A2181">
        <v>273680</v>
      </c>
      <c r="B2181" t="s">
        <v>2294</v>
      </c>
      <c r="C2181" t="str">
        <f>"9780415351942"</f>
        <v>9780415351942</v>
      </c>
      <c r="D2181" t="str">
        <f>"9780203698648"</f>
        <v>9780203698648</v>
      </c>
      <c r="E2181" t="s">
        <v>15</v>
      </c>
      <c r="F2181" t="s">
        <v>16</v>
      </c>
      <c r="G2181" s="1">
        <v>38702</v>
      </c>
      <c r="H2181" s="1">
        <v>38990</v>
      </c>
      <c r="I2181" t="s">
        <v>12</v>
      </c>
      <c r="J2181" t="s">
        <v>12951</v>
      </c>
    </row>
    <row r="2182" spans="1:10" x14ac:dyDescent="0.25">
      <c r="A2182">
        <v>273681</v>
      </c>
      <c r="B2182" t="s">
        <v>2295</v>
      </c>
      <c r="C2182" t="str">
        <f>"9780415381277"</f>
        <v>9780415381277</v>
      </c>
      <c r="D2182" t="str">
        <f>"9780203969953"</f>
        <v>9780203969953</v>
      </c>
      <c r="E2182" t="s">
        <v>15</v>
      </c>
      <c r="F2182" t="s">
        <v>16</v>
      </c>
      <c r="G2182" s="1">
        <v>38863</v>
      </c>
      <c r="H2182" s="1">
        <v>38990</v>
      </c>
      <c r="I2182" t="s">
        <v>12</v>
      </c>
      <c r="J2182" t="s">
        <v>12952</v>
      </c>
    </row>
    <row r="2183" spans="1:10" x14ac:dyDescent="0.25">
      <c r="A2183">
        <v>273687</v>
      </c>
      <c r="B2183" t="s">
        <v>2296</v>
      </c>
      <c r="C2183" t="str">
        <f>"9780415394703"</f>
        <v>9780415394703</v>
      </c>
      <c r="D2183" t="str">
        <f>"9780203966884"</f>
        <v>9780203966884</v>
      </c>
      <c r="E2183" t="s">
        <v>15</v>
      </c>
      <c r="F2183" t="s">
        <v>16</v>
      </c>
      <c r="G2183" s="1">
        <v>39006</v>
      </c>
      <c r="H2183" s="1">
        <v>39089</v>
      </c>
      <c r="I2183" t="s">
        <v>12</v>
      </c>
      <c r="J2183" t="s">
        <v>12953</v>
      </c>
    </row>
    <row r="2184" spans="1:10" x14ac:dyDescent="0.25">
      <c r="A2184">
        <v>273690</v>
      </c>
      <c r="B2184" t="s">
        <v>2297</v>
      </c>
      <c r="C2184" t="str">
        <f>"9780415394000"</f>
        <v>9780415394000</v>
      </c>
      <c r="D2184" t="str">
        <f>"9780203969809"</f>
        <v>9780203969809</v>
      </c>
      <c r="E2184" t="s">
        <v>15</v>
      </c>
      <c r="F2184" t="s">
        <v>16</v>
      </c>
      <c r="G2184" s="1">
        <v>38937</v>
      </c>
      <c r="H2184" s="1">
        <v>38990</v>
      </c>
      <c r="I2184" t="s">
        <v>12</v>
      </c>
      <c r="J2184" t="s">
        <v>12954</v>
      </c>
    </row>
    <row r="2185" spans="1:10" x14ac:dyDescent="0.25">
      <c r="A2185">
        <v>273691</v>
      </c>
      <c r="B2185" t="s">
        <v>2298</v>
      </c>
      <c r="C2185" t="str">
        <f>"9780415366359"</f>
        <v>9780415366359</v>
      </c>
      <c r="D2185" t="str">
        <f>"9780203087893"</f>
        <v>9780203087893</v>
      </c>
      <c r="E2185" t="s">
        <v>15</v>
      </c>
      <c r="F2185" t="s">
        <v>16</v>
      </c>
      <c r="G2185" s="1">
        <v>38838</v>
      </c>
      <c r="H2185" s="1">
        <v>38990</v>
      </c>
      <c r="I2185" t="s">
        <v>12</v>
      </c>
      <c r="J2185" t="s">
        <v>12955</v>
      </c>
    </row>
    <row r="2186" spans="1:10" x14ac:dyDescent="0.25">
      <c r="A2186">
        <v>273702</v>
      </c>
      <c r="B2186" t="s">
        <v>2299</v>
      </c>
      <c r="C2186" t="str">
        <f>"9780415354127"</f>
        <v>9780415354127</v>
      </c>
      <c r="D2186" t="str">
        <f>"9780203000847"</f>
        <v>9780203000847</v>
      </c>
      <c r="E2186" t="s">
        <v>15</v>
      </c>
      <c r="F2186" t="s">
        <v>16</v>
      </c>
      <c r="G2186" s="1">
        <v>38922</v>
      </c>
      <c r="H2186" s="1">
        <v>38990</v>
      </c>
      <c r="I2186" t="s">
        <v>12</v>
      </c>
      <c r="J2186" t="s">
        <v>12956</v>
      </c>
    </row>
    <row r="2187" spans="1:10" x14ac:dyDescent="0.25">
      <c r="A2187">
        <v>273703</v>
      </c>
      <c r="B2187" t="s">
        <v>2300</v>
      </c>
      <c r="C2187" t="str">
        <f>"9780415701266"</f>
        <v>9780415701266</v>
      </c>
      <c r="D2187" t="str">
        <f>"9780203799529"</f>
        <v>9780203799529</v>
      </c>
      <c r="E2187" t="s">
        <v>15</v>
      </c>
      <c r="F2187" t="s">
        <v>16</v>
      </c>
      <c r="G2187" s="1">
        <v>38925</v>
      </c>
      <c r="H2187" s="1">
        <v>38990</v>
      </c>
      <c r="I2187" t="s">
        <v>12</v>
      </c>
      <c r="J2187" t="s">
        <v>12957</v>
      </c>
    </row>
    <row r="2188" spans="1:10" x14ac:dyDescent="0.25">
      <c r="A2188">
        <v>273705</v>
      </c>
      <c r="B2188" t="s">
        <v>2301</v>
      </c>
      <c r="C2188" t="str">
        <f>"9780415380263"</f>
        <v>9780415380263</v>
      </c>
      <c r="D2188" t="str">
        <f>"9780203969793"</f>
        <v>9780203969793</v>
      </c>
      <c r="E2188" t="s">
        <v>15</v>
      </c>
      <c r="F2188" t="s">
        <v>16</v>
      </c>
      <c r="G2188" s="1">
        <v>38881</v>
      </c>
      <c r="H2188" s="1">
        <v>38990</v>
      </c>
      <c r="I2188" t="s">
        <v>12</v>
      </c>
      <c r="J2188" t="s">
        <v>12958</v>
      </c>
    </row>
    <row r="2189" spans="1:10" x14ac:dyDescent="0.25">
      <c r="A2189">
        <v>273707</v>
      </c>
      <c r="B2189" t="s">
        <v>2302</v>
      </c>
      <c r="C2189" t="str">
        <f>"9780415349147"</f>
        <v>9780415349147</v>
      </c>
      <c r="D2189" t="str">
        <f>"9780203640890"</f>
        <v>9780203640890</v>
      </c>
      <c r="E2189" t="s">
        <v>15</v>
      </c>
      <c r="F2189" t="s">
        <v>16</v>
      </c>
      <c r="G2189" s="1">
        <v>38923</v>
      </c>
      <c r="H2189" s="1">
        <v>39089</v>
      </c>
      <c r="I2189" t="s">
        <v>12</v>
      </c>
      <c r="J2189" t="s">
        <v>12959</v>
      </c>
    </row>
    <row r="2190" spans="1:10" x14ac:dyDescent="0.25">
      <c r="A2190">
        <v>273708</v>
      </c>
      <c r="B2190" t="s">
        <v>2303</v>
      </c>
      <c r="C2190" t="str">
        <f>"9780415366199"</f>
        <v>9780415366199</v>
      </c>
      <c r="D2190" t="str">
        <f>"9780203018798"</f>
        <v>9780203018798</v>
      </c>
      <c r="E2190" t="s">
        <v>144</v>
      </c>
      <c r="F2190" t="s">
        <v>16</v>
      </c>
      <c r="G2190" s="1">
        <v>38985</v>
      </c>
      <c r="H2190" s="1">
        <v>38990</v>
      </c>
      <c r="I2190" t="s">
        <v>12</v>
      </c>
      <c r="J2190" t="s">
        <v>12960</v>
      </c>
    </row>
    <row r="2191" spans="1:10" x14ac:dyDescent="0.25">
      <c r="A2191">
        <v>273710</v>
      </c>
      <c r="B2191" t="s">
        <v>2304</v>
      </c>
      <c r="C2191" t="str">
        <f>"9780415358965"</f>
        <v>9780415358965</v>
      </c>
      <c r="D2191" t="str">
        <f>"9780203006924"</f>
        <v>9780203006924</v>
      </c>
      <c r="E2191" t="s">
        <v>15</v>
      </c>
      <c r="F2191" t="s">
        <v>16</v>
      </c>
      <c r="G2191" s="1">
        <v>38975</v>
      </c>
      <c r="H2191" s="1">
        <v>39030</v>
      </c>
      <c r="I2191" t="s">
        <v>12</v>
      </c>
      <c r="J2191" t="s">
        <v>12961</v>
      </c>
    </row>
    <row r="2192" spans="1:10" x14ac:dyDescent="0.25">
      <c r="A2192">
        <v>273712</v>
      </c>
      <c r="B2192" t="s">
        <v>2305</v>
      </c>
      <c r="C2192" t="str">
        <f>"9780415393133"</f>
        <v>9780415393133</v>
      </c>
      <c r="D2192" t="str">
        <f>"9780203967874"</f>
        <v>9780203967874</v>
      </c>
      <c r="E2192" t="s">
        <v>15</v>
      </c>
      <c r="F2192" t="s">
        <v>139</v>
      </c>
      <c r="G2192" s="1">
        <v>38987</v>
      </c>
      <c r="H2192" s="1">
        <v>38990</v>
      </c>
      <c r="I2192" t="s">
        <v>12</v>
      </c>
      <c r="J2192" t="s">
        <v>12962</v>
      </c>
    </row>
    <row r="2193" spans="1:10" x14ac:dyDescent="0.25">
      <c r="A2193">
        <v>273714</v>
      </c>
      <c r="B2193" t="s">
        <v>2306</v>
      </c>
      <c r="C2193" t="str">
        <f>"9780415391559"</f>
        <v>9780415391559</v>
      </c>
      <c r="D2193" t="str">
        <f>"9780203087015"</f>
        <v>9780203087015</v>
      </c>
      <c r="E2193" t="s">
        <v>15</v>
      </c>
      <c r="F2193" t="s">
        <v>16</v>
      </c>
      <c r="G2193" s="1">
        <v>38923</v>
      </c>
      <c r="H2193" s="1">
        <v>39067</v>
      </c>
      <c r="I2193" t="s">
        <v>12</v>
      </c>
      <c r="J2193" t="s">
        <v>12963</v>
      </c>
    </row>
    <row r="2194" spans="1:10" x14ac:dyDescent="0.25">
      <c r="A2194">
        <v>273718</v>
      </c>
      <c r="B2194" t="s">
        <v>2307</v>
      </c>
      <c r="C2194" t="str">
        <f>"9780415365611"</f>
        <v>9780415365611</v>
      </c>
      <c r="D2194" t="str">
        <f>"9780203018170"</f>
        <v>9780203018170</v>
      </c>
      <c r="E2194" t="s">
        <v>15</v>
      </c>
      <c r="F2194" t="s">
        <v>16</v>
      </c>
      <c r="G2194" s="1">
        <v>38966</v>
      </c>
      <c r="H2194" s="1">
        <v>38990</v>
      </c>
      <c r="I2194" t="s">
        <v>12</v>
      </c>
      <c r="J2194" t="s">
        <v>12964</v>
      </c>
    </row>
    <row r="2195" spans="1:10" x14ac:dyDescent="0.25">
      <c r="A2195">
        <v>273719</v>
      </c>
      <c r="B2195" t="s">
        <v>2308</v>
      </c>
      <c r="C2195" t="str">
        <f>"9780415395847"</f>
        <v>9780415395847</v>
      </c>
      <c r="D2195" t="str">
        <f>"9780203967027"</f>
        <v>9780203967027</v>
      </c>
      <c r="E2195" t="s">
        <v>15</v>
      </c>
      <c r="F2195" t="s">
        <v>16</v>
      </c>
      <c r="G2195" s="1">
        <v>38987</v>
      </c>
      <c r="H2195" s="1">
        <v>38990</v>
      </c>
      <c r="I2195" t="s">
        <v>12</v>
      </c>
      <c r="J2195" t="s">
        <v>12965</v>
      </c>
    </row>
    <row r="2196" spans="1:10" x14ac:dyDescent="0.25">
      <c r="A2196">
        <v>273722</v>
      </c>
      <c r="B2196" t="s">
        <v>2309</v>
      </c>
      <c r="C2196" t="str">
        <f>"9780415376235"</f>
        <v>9780415376235</v>
      </c>
      <c r="D2196" t="str">
        <f>"9780203086124"</f>
        <v>9780203086124</v>
      </c>
      <c r="E2196" t="s">
        <v>15</v>
      </c>
      <c r="F2196" t="s">
        <v>16</v>
      </c>
      <c r="G2196" s="1">
        <v>38881</v>
      </c>
      <c r="H2196" s="1">
        <v>38990</v>
      </c>
      <c r="I2196" t="s">
        <v>12</v>
      </c>
      <c r="J2196" t="s">
        <v>12966</v>
      </c>
    </row>
    <row r="2197" spans="1:10" x14ac:dyDescent="0.25">
      <c r="A2197">
        <v>273727</v>
      </c>
      <c r="B2197" t="s">
        <v>2310</v>
      </c>
      <c r="C2197" t="str">
        <f>"9780415366861"</f>
        <v>9780415366861</v>
      </c>
      <c r="D2197" t="str">
        <f>"9780203019580"</f>
        <v>9780203019580</v>
      </c>
      <c r="E2197" t="s">
        <v>15</v>
      </c>
      <c r="F2197" t="s">
        <v>16</v>
      </c>
      <c r="G2197" s="1">
        <v>38852</v>
      </c>
      <c r="H2197" s="1">
        <v>39067</v>
      </c>
      <c r="I2197" t="s">
        <v>12</v>
      </c>
      <c r="J2197" t="s">
        <v>12967</v>
      </c>
    </row>
    <row r="2198" spans="1:10" x14ac:dyDescent="0.25">
      <c r="A2198">
        <v>273732</v>
      </c>
      <c r="B2198" t="s">
        <v>2311</v>
      </c>
      <c r="C2198" t="str">
        <f>"9780415701631"</f>
        <v>9780415701631</v>
      </c>
      <c r="D2198" t="str">
        <f>"9780203700006"</f>
        <v>9780203700006</v>
      </c>
      <c r="E2198" t="s">
        <v>15</v>
      </c>
      <c r="F2198" t="s">
        <v>16</v>
      </c>
      <c r="G2198" s="1">
        <v>38923</v>
      </c>
      <c r="H2198" s="1">
        <v>38990</v>
      </c>
      <c r="I2198" t="s">
        <v>12</v>
      </c>
      <c r="J2198" t="s">
        <v>12968</v>
      </c>
    </row>
    <row r="2199" spans="1:10" x14ac:dyDescent="0.25">
      <c r="A2199">
        <v>273733</v>
      </c>
      <c r="B2199" t="s">
        <v>2312</v>
      </c>
      <c r="C2199" t="str">
        <f>"9780415365345"</f>
        <v>9780415365345</v>
      </c>
      <c r="D2199" t="str">
        <f>"9780203016671"</f>
        <v>9780203016671</v>
      </c>
      <c r="E2199" t="s">
        <v>15</v>
      </c>
      <c r="F2199" t="s">
        <v>16</v>
      </c>
      <c r="G2199" s="1">
        <v>38979</v>
      </c>
      <c r="H2199" s="1">
        <v>39122</v>
      </c>
      <c r="I2199" t="s">
        <v>12</v>
      </c>
      <c r="J2199" t="s">
        <v>12969</v>
      </c>
    </row>
    <row r="2200" spans="1:10" x14ac:dyDescent="0.25">
      <c r="A2200">
        <v>273735</v>
      </c>
      <c r="B2200" t="s">
        <v>2313</v>
      </c>
      <c r="C2200" t="str">
        <f>"9780415394611"</f>
        <v>9780415394611</v>
      </c>
      <c r="D2200" t="str">
        <f>"9780203967782"</f>
        <v>9780203967782</v>
      </c>
      <c r="E2200" t="s">
        <v>15</v>
      </c>
      <c r="F2200" t="s">
        <v>16</v>
      </c>
      <c r="G2200" s="1">
        <v>38881</v>
      </c>
      <c r="H2200" s="1">
        <v>38990</v>
      </c>
      <c r="I2200" t="s">
        <v>12</v>
      </c>
      <c r="J2200" t="s">
        <v>12970</v>
      </c>
    </row>
    <row r="2201" spans="1:10" x14ac:dyDescent="0.25">
      <c r="A2201">
        <v>273737</v>
      </c>
      <c r="B2201" t="s">
        <v>2314</v>
      </c>
      <c r="C2201" t="str">
        <f>"9780415393423"</f>
        <v>9780415393423</v>
      </c>
      <c r="D2201" t="str">
        <f>"9780203965788"</f>
        <v>9780203965788</v>
      </c>
      <c r="E2201" t="s">
        <v>15</v>
      </c>
      <c r="F2201" t="s">
        <v>16</v>
      </c>
      <c r="G2201" s="1">
        <v>38952</v>
      </c>
      <c r="H2201" s="1">
        <v>38990</v>
      </c>
      <c r="I2201" t="s">
        <v>12</v>
      </c>
      <c r="J2201" t="s">
        <v>12971</v>
      </c>
    </row>
    <row r="2202" spans="1:10" x14ac:dyDescent="0.25">
      <c r="A2202">
        <v>273743</v>
      </c>
      <c r="B2202" t="s">
        <v>2315</v>
      </c>
      <c r="C2202" t="str">
        <f>"9780415376204"</f>
        <v>9780415376204</v>
      </c>
      <c r="D2202" t="str">
        <f>"9780203967355"</f>
        <v>9780203967355</v>
      </c>
      <c r="E2202" t="s">
        <v>15</v>
      </c>
      <c r="F2202" t="s">
        <v>16</v>
      </c>
      <c r="G2202" s="1">
        <v>38924</v>
      </c>
      <c r="H2202" s="1">
        <v>38990</v>
      </c>
      <c r="I2202" t="s">
        <v>12</v>
      </c>
      <c r="J2202" t="s">
        <v>12972</v>
      </c>
    </row>
    <row r="2203" spans="1:10" x14ac:dyDescent="0.25">
      <c r="A2203">
        <v>273747</v>
      </c>
      <c r="B2203" t="s">
        <v>2316</v>
      </c>
      <c r="C2203" t="str">
        <f>"9780415354417"</f>
        <v>9780415354417</v>
      </c>
      <c r="D2203" t="str">
        <f>"9780203001110"</f>
        <v>9780203001110</v>
      </c>
      <c r="E2203" t="s">
        <v>15</v>
      </c>
      <c r="F2203" t="s">
        <v>16</v>
      </c>
      <c r="G2203" s="1">
        <v>38883</v>
      </c>
      <c r="H2203" s="1">
        <v>38990</v>
      </c>
      <c r="I2203" t="s">
        <v>12</v>
      </c>
      <c r="J2203" t="s">
        <v>12973</v>
      </c>
    </row>
    <row r="2204" spans="1:10" x14ac:dyDescent="0.25">
      <c r="A2204">
        <v>273756</v>
      </c>
      <c r="B2204" t="s">
        <v>2317</v>
      </c>
      <c r="C2204" t="str">
        <f>"9780415385862"</f>
        <v>9780415385862</v>
      </c>
      <c r="D2204" t="str">
        <f>"9780203965269"</f>
        <v>9780203965269</v>
      </c>
      <c r="E2204" t="s">
        <v>15</v>
      </c>
      <c r="F2204" t="s">
        <v>16</v>
      </c>
      <c r="G2204" s="1">
        <v>38826</v>
      </c>
      <c r="H2204" s="1">
        <v>38990</v>
      </c>
      <c r="I2204" t="s">
        <v>12</v>
      </c>
      <c r="J2204" t="s">
        <v>12974</v>
      </c>
    </row>
    <row r="2205" spans="1:10" x14ac:dyDescent="0.25">
      <c r="A2205">
        <v>273768</v>
      </c>
      <c r="B2205" t="s">
        <v>2318</v>
      </c>
      <c r="C2205" t="str">
        <f>"9780415320221"</f>
        <v>9780415320221</v>
      </c>
      <c r="D2205" t="str">
        <f>"9780203087701"</f>
        <v>9780203087701</v>
      </c>
      <c r="E2205" t="s">
        <v>15</v>
      </c>
      <c r="F2205" t="s">
        <v>16</v>
      </c>
      <c r="G2205" s="1">
        <v>38922</v>
      </c>
      <c r="H2205" s="1">
        <v>39107</v>
      </c>
      <c r="I2205" t="s">
        <v>12</v>
      </c>
      <c r="J2205" t="s">
        <v>12975</v>
      </c>
    </row>
    <row r="2206" spans="1:10" x14ac:dyDescent="0.25">
      <c r="A2206">
        <v>273769</v>
      </c>
      <c r="B2206" t="s">
        <v>2319</v>
      </c>
      <c r="C2206" t="str">
        <f>"9780415399470"</f>
        <v>9780415399470</v>
      </c>
      <c r="D2206" t="str">
        <f>"9780203966709"</f>
        <v>9780203966709</v>
      </c>
      <c r="E2206" t="s">
        <v>16</v>
      </c>
      <c r="F2206" t="s">
        <v>16</v>
      </c>
      <c r="G2206" s="1">
        <v>38939</v>
      </c>
      <c r="H2206" s="1">
        <v>39170</v>
      </c>
      <c r="I2206" t="s">
        <v>12</v>
      </c>
      <c r="J2206" t="s">
        <v>12976</v>
      </c>
    </row>
    <row r="2207" spans="1:10" x14ac:dyDescent="0.25">
      <c r="A2207">
        <v>273770</v>
      </c>
      <c r="B2207" t="s">
        <v>2320</v>
      </c>
      <c r="C2207" t="str">
        <f>"9780415344944"</f>
        <v>9780415344944</v>
      </c>
      <c r="D2207" t="str">
        <f>"9780203503768"</f>
        <v>9780203503768</v>
      </c>
      <c r="E2207" t="s">
        <v>15</v>
      </c>
      <c r="F2207" t="s">
        <v>16</v>
      </c>
      <c r="G2207" s="1">
        <v>38922</v>
      </c>
      <c r="H2207" s="1">
        <v>38990</v>
      </c>
      <c r="I2207" t="s">
        <v>12</v>
      </c>
      <c r="J2207" t="s">
        <v>12977</v>
      </c>
    </row>
    <row r="2208" spans="1:10" x14ac:dyDescent="0.25">
      <c r="A2208">
        <v>273773</v>
      </c>
      <c r="B2208" t="s">
        <v>2321</v>
      </c>
      <c r="C2208" t="str">
        <f>"9780415364669"</f>
        <v>9780415364669</v>
      </c>
      <c r="D2208" t="str">
        <f>"9780203015704"</f>
        <v>9780203015704</v>
      </c>
      <c r="E2208" t="s">
        <v>15</v>
      </c>
      <c r="F2208" t="s">
        <v>16</v>
      </c>
      <c r="G2208" s="1">
        <v>38882</v>
      </c>
      <c r="H2208" s="1">
        <v>39008</v>
      </c>
      <c r="I2208" t="s">
        <v>12</v>
      </c>
      <c r="J2208" t="s">
        <v>12978</v>
      </c>
    </row>
    <row r="2209" spans="1:10" x14ac:dyDescent="0.25">
      <c r="A2209">
        <v>273774</v>
      </c>
      <c r="B2209" t="s">
        <v>2322</v>
      </c>
      <c r="C2209" t="str">
        <f>"9780415364706"</f>
        <v>9780415364706</v>
      </c>
      <c r="D2209" t="str">
        <f>"9780203015742"</f>
        <v>9780203015742</v>
      </c>
      <c r="E2209" t="s">
        <v>15</v>
      </c>
      <c r="F2209" t="s">
        <v>16</v>
      </c>
      <c r="G2209" s="1">
        <v>38867</v>
      </c>
      <c r="H2209" s="1">
        <v>38990</v>
      </c>
      <c r="I2209" t="s">
        <v>12</v>
      </c>
      <c r="J2209" t="s">
        <v>12979</v>
      </c>
    </row>
    <row r="2210" spans="1:10" x14ac:dyDescent="0.25">
      <c r="A2210">
        <v>273775</v>
      </c>
      <c r="B2210" t="s">
        <v>2323</v>
      </c>
      <c r="C2210" t="str">
        <f>"9780415371483"</f>
        <v>9780415371483</v>
      </c>
      <c r="D2210" t="str">
        <f>"9780203087329"</f>
        <v>9780203087329</v>
      </c>
      <c r="E2210" t="s">
        <v>15</v>
      </c>
      <c r="F2210" t="s">
        <v>16</v>
      </c>
      <c r="G2210" s="1">
        <v>38852</v>
      </c>
      <c r="H2210" s="1">
        <v>38990</v>
      </c>
      <c r="I2210" t="s">
        <v>12</v>
      </c>
      <c r="J2210" t="s">
        <v>12980</v>
      </c>
    </row>
    <row r="2211" spans="1:10" x14ac:dyDescent="0.25">
      <c r="A2211">
        <v>273776</v>
      </c>
      <c r="B2211" t="s">
        <v>2324</v>
      </c>
      <c r="C2211" t="str">
        <f>"9780415975735"</f>
        <v>9780415975735</v>
      </c>
      <c r="D2211" t="str">
        <f>"9780203969663"</f>
        <v>9780203969663</v>
      </c>
      <c r="E2211" t="s">
        <v>15</v>
      </c>
      <c r="F2211" t="s">
        <v>16</v>
      </c>
      <c r="G2211" s="1">
        <v>39303</v>
      </c>
      <c r="H2211" s="1">
        <v>38990</v>
      </c>
      <c r="I2211" t="s">
        <v>12</v>
      </c>
      <c r="J2211" t="s">
        <v>12981</v>
      </c>
    </row>
    <row r="2212" spans="1:10" x14ac:dyDescent="0.25">
      <c r="A2212">
        <v>273780</v>
      </c>
      <c r="B2212" t="s">
        <v>2325</v>
      </c>
      <c r="C2212" t="str">
        <f>"9780415397261"</f>
        <v>9780415397261</v>
      </c>
      <c r="D2212" t="str">
        <f>"9780203965450"</f>
        <v>9780203965450</v>
      </c>
      <c r="E2212" t="s">
        <v>15</v>
      </c>
      <c r="F2212" t="s">
        <v>16</v>
      </c>
      <c r="G2212" s="1">
        <v>38923</v>
      </c>
      <c r="H2212" s="1">
        <v>39071</v>
      </c>
      <c r="I2212" t="s">
        <v>12</v>
      </c>
      <c r="J2212" t="s">
        <v>12982</v>
      </c>
    </row>
    <row r="2213" spans="1:10" x14ac:dyDescent="0.25">
      <c r="A2213">
        <v>273782</v>
      </c>
      <c r="B2213" t="s">
        <v>2326</v>
      </c>
      <c r="C2213" t="str">
        <f>"9780415371742"</f>
        <v>9780415371742</v>
      </c>
      <c r="D2213" t="str">
        <f>"9780203967454"</f>
        <v>9780203967454</v>
      </c>
      <c r="E2213" t="s">
        <v>15</v>
      </c>
      <c r="F2213" t="s">
        <v>16</v>
      </c>
      <c r="G2213" s="1">
        <v>38782</v>
      </c>
      <c r="H2213" s="1">
        <v>38990</v>
      </c>
      <c r="I2213" t="s">
        <v>12</v>
      </c>
      <c r="J2213" t="s">
        <v>12983</v>
      </c>
    </row>
    <row r="2214" spans="1:10" x14ac:dyDescent="0.25">
      <c r="A2214">
        <v>273787</v>
      </c>
      <c r="B2214" t="s">
        <v>2327</v>
      </c>
      <c r="C2214" t="str">
        <f>"9780415365987"</f>
        <v>9780415365987</v>
      </c>
      <c r="D2214" t="str">
        <f>"9780203018460"</f>
        <v>9780203018460</v>
      </c>
      <c r="E2214" t="s">
        <v>15</v>
      </c>
      <c r="F2214" t="s">
        <v>16</v>
      </c>
      <c r="G2214" s="1">
        <v>38931</v>
      </c>
      <c r="H2214" s="1">
        <v>38990</v>
      </c>
      <c r="I2214" t="s">
        <v>12</v>
      </c>
      <c r="J2214" t="s">
        <v>12984</v>
      </c>
    </row>
    <row r="2215" spans="1:10" x14ac:dyDescent="0.25">
      <c r="A2215">
        <v>273795</v>
      </c>
      <c r="B2215" t="s">
        <v>2328</v>
      </c>
      <c r="C2215" t="str">
        <f>"9780415286442"</f>
        <v>9780415286442</v>
      </c>
      <c r="D2215" t="str">
        <f>"9781482288230"</f>
        <v>9781482288230</v>
      </c>
      <c r="E2215" t="s">
        <v>15</v>
      </c>
      <c r="F2215" t="s">
        <v>139</v>
      </c>
      <c r="G2215" s="1">
        <v>38867</v>
      </c>
      <c r="H2215" s="1">
        <v>38990</v>
      </c>
      <c r="I2215" t="s">
        <v>12</v>
      </c>
      <c r="J2215" t="s">
        <v>12985</v>
      </c>
    </row>
    <row r="2216" spans="1:10" x14ac:dyDescent="0.25">
      <c r="A2216">
        <v>273796</v>
      </c>
      <c r="B2216" t="s">
        <v>2329</v>
      </c>
      <c r="C2216" t="str">
        <f>"9780415299749"</f>
        <v>9780415299749</v>
      </c>
      <c r="D2216" t="str">
        <f>"9780203965580"</f>
        <v>9780203965580</v>
      </c>
      <c r="E2216" t="s">
        <v>16</v>
      </c>
      <c r="F2216" t="s">
        <v>16</v>
      </c>
      <c r="G2216" s="1">
        <v>38792</v>
      </c>
      <c r="H2216" s="1">
        <v>38990</v>
      </c>
      <c r="I2216" t="s">
        <v>12</v>
      </c>
      <c r="J2216" t="s">
        <v>12986</v>
      </c>
    </row>
    <row r="2217" spans="1:10" x14ac:dyDescent="0.25">
      <c r="A2217">
        <v>273797</v>
      </c>
      <c r="B2217" t="s">
        <v>2330</v>
      </c>
      <c r="C2217" t="str">
        <f>"9780415701624"</f>
        <v>9780415701624</v>
      </c>
      <c r="D2217" t="str">
        <f>"9780203799246"</f>
        <v>9780203799246</v>
      </c>
      <c r="E2217" t="s">
        <v>15</v>
      </c>
      <c r="F2217" t="s">
        <v>16</v>
      </c>
      <c r="G2217" s="1">
        <v>38923</v>
      </c>
      <c r="H2217" s="1">
        <v>38990</v>
      </c>
      <c r="I2217" t="s">
        <v>12</v>
      </c>
      <c r="J2217" t="s">
        <v>12987</v>
      </c>
    </row>
    <row r="2218" spans="1:10" x14ac:dyDescent="0.25">
      <c r="A2218">
        <v>273800</v>
      </c>
      <c r="B2218" t="s">
        <v>2331</v>
      </c>
      <c r="C2218" t="str">
        <f>"9780415400534"</f>
        <v>9780415400534</v>
      </c>
      <c r="D2218" t="str">
        <f>"9780203966945"</f>
        <v>9780203966945</v>
      </c>
      <c r="E2218" t="s">
        <v>15</v>
      </c>
      <c r="F2218" t="s">
        <v>16</v>
      </c>
      <c r="G2218" s="1">
        <v>38947</v>
      </c>
      <c r="H2218" s="1">
        <v>38990</v>
      </c>
      <c r="I2218" t="s">
        <v>12</v>
      </c>
      <c r="J2218" t="s">
        <v>12988</v>
      </c>
    </row>
    <row r="2219" spans="1:10" x14ac:dyDescent="0.25">
      <c r="A2219">
        <v>273801</v>
      </c>
      <c r="B2219" t="s">
        <v>2332</v>
      </c>
      <c r="C2219" t="str">
        <f>"9780415770255"</f>
        <v>9780415770255</v>
      </c>
      <c r="D2219" t="str">
        <f>"9780203086674"</f>
        <v>9780203086674</v>
      </c>
      <c r="E2219" t="s">
        <v>15</v>
      </c>
      <c r="F2219" t="s">
        <v>16</v>
      </c>
      <c r="G2219" s="1">
        <v>38922</v>
      </c>
      <c r="H2219" s="1">
        <v>39116</v>
      </c>
      <c r="I2219" t="s">
        <v>12</v>
      </c>
      <c r="J2219" t="s">
        <v>12989</v>
      </c>
    </row>
    <row r="2220" spans="1:10" x14ac:dyDescent="0.25">
      <c r="A2220">
        <v>273805</v>
      </c>
      <c r="B2220" t="s">
        <v>2333</v>
      </c>
      <c r="C2220" t="str">
        <f>"9780415374309"</f>
        <v>9780415374309</v>
      </c>
      <c r="D2220" t="str">
        <f>"9780203966273"</f>
        <v>9780203966273</v>
      </c>
      <c r="E2220" t="s">
        <v>15</v>
      </c>
      <c r="F2220" t="s">
        <v>16</v>
      </c>
      <c r="G2220" s="1">
        <v>38947</v>
      </c>
      <c r="H2220" s="1">
        <v>38990</v>
      </c>
      <c r="I2220" t="s">
        <v>12</v>
      </c>
      <c r="J2220" t="s">
        <v>12990</v>
      </c>
    </row>
    <row r="2221" spans="1:10" x14ac:dyDescent="0.25">
      <c r="A2221">
        <v>273807</v>
      </c>
      <c r="B2221" t="s">
        <v>2334</v>
      </c>
      <c r="C2221" t="str">
        <f>"9780415359733"</f>
        <v>9780415359733</v>
      </c>
      <c r="D2221" t="str">
        <f>"9780203007662"</f>
        <v>9780203007662</v>
      </c>
      <c r="E2221" t="s">
        <v>15</v>
      </c>
      <c r="F2221" t="s">
        <v>16</v>
      </c>
      <c r="G2221" s="1">
        <v>38698</v>
      </c>
      <c r="H2221" s="1">
        <v>38990</v>
      </c>
      <c r="I2221" t="s">
        <v>12</v>
      </c>
      <c r="J2221" t="s">
        <v>12991</v>
      </c>
    </row>
    <row r="2222" spans="1:10" x14ac:dyDescent="0.25">
      <c r="A2222">
        <v>273808</v>
      </c>
      <c r="B2222" t="s">
        <v>2335</v>
      </c>
      <c r="C2222" t="str">
        <f>"9781583911235"</f>
        <v>9781583911235</v>
      </c>
      <c r="D2222" t="str">
        <f>"9780203965252"</f>
        <v>9780203965252</v>
      </c>
      <c r="E2222" t="s">
        <v>15</v>
      </c>
      <c r="F2222" t="s">
        <v>16</v>
      </c>
      <c r="G2222" s="1">
        <v>38806</v>
      </c>
      <c r="H2222" s="1">
        <v>38990</v>
      </c>
      <c r="I2222" t="s">
        <v>12</v>
      </c>
      <c r="J2222" t="s">
        <v>12992</v>
      </c>
    </row>
    <row r="2223" spans="1:10" x14ac:dyDescent="0.25">
      <c r="A2223">
        <v>273814</v>
      </c>
      <c r="B2223" t="s">
        <v>2336</v>
      </c>
      <c r="C2223" t="str">
        <f>"9780415385381"</f>
        <v>9780415385381</v>
      </c>
      <c r="D2223" t="str">
        <f>"9780203967447"</f>
        <v>9780203967447</v>
      </c>
      <c r="E2223" t="s">
        <v>15</v>
      </c>
      <c r="F2223" t="s">
        <v>16</v>
      </c>
      <c r="G2223" s="1">
        <v>38985</v>
      </c>
      <c r="H2223" s="1">
        <v>38990</v>
      </c>
      <c r="I2223" t="s">
        <v>12</v>
      </c>
      <c r="J2223" t="s">
        <v>12993</v>
      </c>
    </row>
    <row r="2224" spans="1:10" x14ac:dyDescent="0.25">
      <c r="A2224">
        <v>273818</v>
      </c>
      <c r="B2224" t="s">
        <v>2337</v>
      </c>
      <c r="C2224" t="str">
        <f>"9780415398190"</f>
        <v>9780415398190</v>
      </c>
      <c r="D2224" t="str">
        <f>"9780203088586"</f>
        <v>9780203088586</v>
      </c>
      <c r="E2224" t="s">
        <v>15</v>
      </c>
      <c r="F2224" t="s">
        <v>16</v>
      </c>
      <c r="G2224" s="1">
        <v>38862</v>
      </c>
      <c r="H2224" s="1">
        <v>38990</v>
      </c>
      <c r="I2224" t="s">
        <v>12</v>
      </c>
      <c r="J2224" t="s">
        <v>12994</v>
      </c>
    </row>
    <row r="2225" spans="1:10" x14ac:dyDescent="0.25">
      <c r="A2225">
        <v>273819</v>
      </c>
      <c r="B2225" t="s">
        <v>2338</v>
      </c>
      <c r="C2225" t="str">
        <f>"9780415365536"</f>
        <v>9780415365536</v>
      </c>
      <c r="D2225" t="str">
        <f>"9780203017319"</f>
        <v>9780203017319</v>
      </c>
      <c r="E2225" t="s">
        <v>15</v>
      </c>
      <c r="F2225" t="s">
        <v>16</v>
      </c>
      <c r="G2225" s="1">
        <v>38978</v>
      </c>
      <c r="H2225" s="1">
        <v>38990</v>
      </c>
      <c r="I2225" t="s">
        <v>12</v>
      </c>
      <c r="J2225" t="s">
        <v>12995</v>
      </c>
    </row>
    <row r="2226" spans="1:10" x14ac:dyDescent="0.25">
      <c r="A2226">
        <v>273823</v>
      </c>
      <c r="B2226" t="s">
        <v>2339</v>
      </c>
      <c r="C2226" t="str">
        <f>"9780415378277"</f>
        <v>9780415378277</v>
      </c>
      <c r="D2226" t="str">
        <f>"9780203966679"</f>
        <v>9780203966679</v>
      </c>
      <c r="E2226" t="s">
        <v>15</v>
      </c>
      <c r="F2226" t="s">
        <v>16</v>
      </c>
      <c r="G2226" s="1">
        <v>39021</v>
      </c>
      <c r="H2226" s="1">
        <v>38990</v>
      </c>
      <c r="I2226" t="s">
        <v>12</v>
      </c>
      <c r="J2226" t="s">
        <v>12996</v>
      </c>
    </row>
    <row r="2227" spans="1:10" x14ac:dyDescent="0.25">
      <c r="A2227">
        <v>273826</v>
      </c>
      <c r="B2227" t="s">
        <v>2340</v>
      </c>
      <c r="C2227" t="str">
        <f>"9780415399708"</f>
        <v>9780415399708</v>
      </c>
      <c r="D2227" t="str">
        <f>"9780203967102"</f>
        <v>9780203967102</v>
      </c>
      <c r="E2227" t="s">
        <v>15</v>
      </c>
      <c r="F2227" t="s">
        <v>16</v>
      </c>
      <c r="G2227" s="1">
        <v>38966</v>
      </c>
      <c r="H2227" s="1">
        <v>38990</v>
      </c>
      <c r="I2227" t="s">
        <v>12</v>
      </c>
      <c r="J2227" t="s">
        <v>12997</v>
      </c>
    </row>
    <row r="2228" spans="1:10" x14ac:dyDescent="0.25">
      <c r="A2228">
        <v>273828</v>
      </c>
      <c r="B2228" t="s">
        <v>2341</v>
      </c>
      <c r="C2228" t="str">
        <f>"9780415402354"</f>
        <v>9780415402354</v>
      </c>
      <c r="D2228" t="str">
        <f>"9780203965023"</f>
        <v>9780203965023</v>
      </c>
      <c r="E2228" t="s">
        <v>15</v>
      </c>
      <c r="F2228" t="s">
        <v>16</v>
      </c>
      <c r="G2228" s="1">
        <v>38950</v>
      </c>
      <c r="H2228" s="1">
        <v>38990</v>
      </c>
      <c r="I2228" t="s">
        <v>12</v>
      </c>
      <c r="J2228" t="s">
        <v>12998</v>
      </c>
    </row>
    <row r="2229" spans="1:10" x14ac:dyDescent="0.25">
      <c r="A2229">
        <v>273833</v>
      </c>
      <c r="B2229" t="s">
        <v>2342</v>
      </c>
      <c r="C2229" t="str">
        <f>"9780415341424"</f>
        <v>9780415341424</v>
      </c>
      <c r="D2229" t="str">
        <f>"9780203480106"</f>
        <v>9780203480106</v>
      </c>
      <c r="E2229" t="s">
        <v>144</v>
      </c>
      <c r="F2229" t="s">
        <v>153</v>
      </c>
      <c r="G2229" s="1">
        <v>38922</v>
      </c>
      <c r="H2229" s="1">
        <v>38990</v>
      </c>
      <c r="I2229" t="s">
        <v>12</v>
      </c>
      <c r="J2229" t="s">
        <v>12999</v>
      </c>
    </row>
    <row r="2230" spans="1:10" x14ac:dyDescent="0.25">
      <c r="A2230">
        <v>273841</v>
      </c>
      <c r="B2230" t="s">
        <v>2343</v>
      </c>
      <c r="C2230" t="str">
        <f>"9780700714612"</f>
        <v>9780700714612</v>
      </c>
      <c r="D2230" t="str">
        <f>"9780203967898"</f>
        <v>9780203967898</v>
      </c>
      <c r="E2230" t="s">
        <v>15</v>
      </c>
      <c r="F2230" t="s">
        <v>16</v>
      </c>
      <c r="G2230" s="1">
        <v>38905</v>
      </c>
      <c r="H2230" s="1">
        <v>38990</v>
      </c>
      <c r="I2230" t="s">
        <v>12</v>
      </c>
      <c r="J2230" t="s">
        <v>13000</v>
      </c>
    </row>
    <row r="2231" spans="1:10" x14ac:dyDescent="0.25">
      <c r="A2231">
        <v>273844</v>
      </c>
      <c r="B2231" t="s">
        <v>2344</v>
      </c>
      <c r="C2231" t="str">
        <f>"9780415318778"</f>
        <v>9780415318778</v>
      </c>
      <c r="D2231" t="str">
        <f>"9780203601723"</f>
        <v>9780203601723</v>
      </c>
      <c r="E2231" t="s">
        <v>16</v>
      </c>
      <c r="F2231" t="s">
        <v>16</v>
      </c>
      <c r="G2231" s="1">
        <v>38966</v>
      </c>
      <c r="H2231" s="1">
        <v>38990</v>
      </c>
      <c r="I2231" t="s">
        <v>12</v>
      </c>
      <c r="J2231" t="s">
        <v>13001</v>
      </c>
    </row>
    <row r="2232" spans="1:10" x14ac:dyDescent="0.25">
      <c r="A2232">
        <v>273865</v>
      </c>
      <c r="B2232" t="s">
        <v>2345</v>
      </c>
      <c r="C2232" t="str">
        <f>"9780415390903"</f>
        <v>9780415390903</v>
      </c>
      <c r="D2232" t="str">
        <f>"9780203965085"</f>
        <v>9780203965085</v>
      </c>
      <c r="E2232" t="s">
        <v>15</v>
      </c>
      <c r="F2232" t="s">
        <v>16</v>
      </c>
      <c r="G2232" s="1">
        <v>38826</v>
      </c>
      <c r="H2232" s="1">
        <v>38990</v>
      </c>
      <c r="I2232" t="s">
        <v>12</v>
      </c>
      <c r="J2232" t="s">
        <v>13002</v>
      </c>
    </row>
    <row r="2233" spans="1:10" x14ac:dyDescent="0.25">
      <c r="A2233">
        <v>273866</v>
      </c>
      <c r="B2233" t="s">
        <v>2346</v>
      </c>
      <c r="C2233" t="str">
        <f>"9780415275293"</f>
        <v>9780415275293</v>
      </c>
      <c r="D2233" t="str">
        <f>"9780203086216"</f>
        <v>9780203086216</v>
      </c>
      <c r="E2233" t="s">
        <v>15</v>
      </c>
      <c r="F2233" t="s">
        <v>16</v>
      </c>
      <c r="G2233" s="1">
        <v>38923</v>
      </c>
      <c r="H2233" s="1">
        <v>38990</v>
      </c>
      <c r="I2233" t="s">
        <v>12</v>
      </c>
      <c r="J2233" t="s">
        <v>13003</v>
      </c>
    </row>
    <row r="2234" spans="1:10" x14ac:dyDescent="0.25">
      <c r="A2234">
        <v>273872</v>
      </c>
      <c r="B2234" t="s">
        <v>2347</v>
      </c>
      <c r="C2234" t="str">
        <f>"9780415364645"</f>
        <v>9780415364645</v>
      </c>
      <c r="D2234" t="str">
        <f>"9780203015698"</f>
        <v>9780203015698</v>
      </c>
      <c r="E2234" t="s">
        <v>15</v>
      </c>
      <c r="F2234" t="s">
        <v>16</v>
      </c>
      <c r="G2234" s="1">
        <v>38881</v>
      </c>
      <c r="H2234" s="1">
        <v>38990</v>
      </c>
      <c r="I2234" t="s">
        <v>12</v>
      </c>
      <c r="J2234" t="s">
        <v>13004</v>
      </c>
    </row>
    <row r="2235" spans="1:10" x14ac:dyDescent="0.25">
      <c r="A2235">
        <v>273874</v>
      </c>
      <c r="B2235" t="s">
        <v>2348</v>
      </c>
      <c r="C2235" t="str">
        <f>"9780415701952"</f>
        <v>9780415701952</v>
      </c>
      <c r="D2235" t="str">
        <f>"9780203088227"</f>
        <v>9780203088227</v>
      </c>
      <c r="E2235" t="s">
        <v>15</v>
      </c>
      <c r="F2235" t="s">
        <v>16</v>
      </c>
      <c r="G2235" s="1">
        <v>38905</v>
      </c>
      <c r="H2235" s="1">
        <v>38990</v>
      </c>
      <c r="I2235" t="s">
        <v>12</v>
      </c>
      <c r="J2235" t="s">
        <v>13005</v>
      </c>
    </row>
    <row r="2236" spans="1:10" x14ac:dyDescent="0.25">
      <c r="A2236">
        <v>273937</v>
      </c>
      <c r="B2236" t="s">
        <v>2349</v>
      </c>
      <c r="C2236" t="str">
        <f>"9781933019451"</f>
        <v>9781933019451</v>
      </c>
      <c r="D2236" t="str">
        <f>"9781933019925"</f>
        <v>9781933019925</v>
      </c>
      <c r="E2236" t="s">
        <v>2350</v>
      </c>
      <c r="F2236" t="s">
        <v>2350</v>
      </c>
      <c r="G2236" s="1">
        <v>38975</v>
      </c>
      <c r="H2236" s="1">
        <v>39071</v>
      </c>
      <c r="I2236" t="s">
        <v>12</v>
      </c>
      <c r="J2236" t="s">
        <v>13006</v>
      </c>
    </row>
    <row r="2237" spans="1:10" x14ac:dyDescent="0.25">
      <c r="A2237">
        <v>273939</v>
      </c>
      <c r="B2237" t="s">
        <v>2351</v>
      </c>
      <c r="C2237" t="str">
        <f>"9781593573607"</f>
        <v>9781593573607</v>
      </c>
      <c r="D2237" t="str">
        <f>"9781593574031"</f>
        <v>9781593574031</v>
      </c>
      <c r="E2237" t="s">
        <v>1142</v>
      </c>
      <c r="F2237" t="s">
        <v>1143</v>
      </c>
      <c r="G2237" s="1">
        <v>38961</v>
      </c>
      <c r="H2237" s="1">
        <v>39050</v>
      </c>
      <c r="I2237" t="s">
        <v>12</v>
      </c>
      <c r="J2237" t="s">
        <v>13007</v>
      </c>
    </row>
    <row r="2238" spans="1:10" x14ac:dyDescent="0.25">
      <c r="A2238">
        <v>273944</v>
      </c>
      <c r="B2238" t="s">
        <v>2352</v>
      </c>
      <c r="C2238" t="str">
        <f>"9781593573201"</f>
        <v>9781593573201</v>
      </c>
      <c r="D2238" t="str">
        <f>"9781593574086"</f>
        <v>9781593574086</v>
      </c>
      <c r="E2238" t="s">
        <v>1142</v>
      </c>
      <c r="F2238" t="s">
        <v>1143</v>
      </c>
      <c r="G2238" s="1">
        <v>39022</v>
      </c>
      <c r="H2238" s="1">
        <v>39052</v>
      </c>
      <c r="I2238" t="s">
        <v>12</v>
      </c>
      <c r="J2238" t="s">
        <v>13008</v>
      </c>
    </row>
    <row r="2239" spans="1:10" x14ac:dyDescent="0.25">
      <c r="A2239">
        <v>274071</v>
      </c>
      <c r="B2239" t="s">
        <v>2353</v>
      </c>
      <c r="C2239" t="str">
        <f>"9780849393860"</f>
        <v>9780849393860</v>
      </c>
      <c r="D2239" t="str">
        <f>"9781420009378"</f>
        <v>9781420009378</v>
      </c>
      <c r="E2239" t="s">
        <v>144</v>
      </c>
      <c r="F2239" t="s">
        <v>144</v>
      </c>
      <c r="G2239" s="1">
        <v>38888</v>
      </c>
      <c r="H2239" s="1">
        <v>39068</v>
      </c>
      <c r="I2239" t="s">
        <v>12</v>
      </c>
      <c r="J2239" t="s">
        <v>13009</v>
      </c>
    </row>
    <row r="2240" spans="1:10" x14ac:dyDescent="0.25">
      <c r="A2240">
        <v>274072</v>
      </c>
      <c r="B2240" t="s">
        <v>2354</v>
      </c>
      <c r="C2240" t="str">
        <f>"9780849393877"</f>
        <v>9780849393877</v>
      </c>
      <c r="D2240" t="str">
        <f>"9781420009385"</f>
        <v>9781420009385</v>
      </c>
      <c r="E2240" t="s">
        <v>15</v>
      </c>
      <c r="F2240" t="s">
        <v>139</v>
      </c>
      <c r="G2240" s="1">
        <v>38888</v>
      </c>
      <c r="H2240" s="1">
        <v>39071</v>
      </c>
      <c r="I2240" t="s">
        <v>12</v>
      </c>
      <c r="J2240" t="s">
        <v>13010</v>
      </c>
    </row>
    <row r="2241" spans="1:10" x14ac:dyDescent="0.25">
      <c r="A2241">
        <v>274226</v>
      </c>
      <c r="B2241" t="s">
        <v>2355</v>
      </c>
      <c r="C2241" t="str">
        <f>"9780762313310"</f>
        <v>9780762313310</v>
      </c>
      <c r="D2241" t="str">
        <f>"9781849504300"</f>
        <v>9781849504300</v>
      </c>
      <c r="E2241" t="s">
        <v>1116</v>
      </c>
      <c r="F2241" t="s">
        <v>2163</v>
      </c>
      <c r="G2241" s="1">
        <v>38961</v>
      </c>
      <c r="H2241" s="1">
        <v>39016</v>
      </c>
      <c r="I2241" t="s">
        <v>12</v>
      </c>
      <c r="J2241" t="s">
        <v>13011</v>
      </c>
    </row>
    <row r="2242" spans="1:10" x14ac:dyDescent="0.25">
      <c r="A2242">
        <v>274240</v>
      </c>
      <c r="B2242" t="s">
        <v>2356</v>
      </c>
      <c r="C2242" t="str">
        <f>"9780762313655"</f>
        <v>9780762313655</v>
      </c>
      <c r="D2242" t="str">
        <f>"9780080463575"</f>
        <v>9780080463575</v>
      </c>
      <c r="E2242" t="s">
        <v>1116</v>
      </c>
      <c r="F2242" t="s">
        <v>2163</v>
      </c>
      <c r="G2242" s="1">
        <v>38991</v>
      </c>
      <c r="H2242" s="1">
        <v>39016</v>
      </c>
      <c r="I2242" t="s">
        <v>12</v>
      </c>
      <c r="J2242" t="s">
        <v>13012</v>
      </c>
    </row>
    <row r="2243" spans="1:10" x14ac:dyDescent="0.25">
      <c r="A2243">
        <v>274369</v>
      </c>
      <c r="B2243" t="s">
        <v>2357</v>
      </c>
      <c r="C2243" t="str">
        <f>""</f>
        <v/>
      </c>
      <c r="D2243" t="str">
        <f>"9781859865248"</f>
        <v>9781859865248</v>
      </c>
      <c r="E2243" t="s">
        <v>2075</v>
      </c>
      <c r="F2243" t="s">
        <v>2075</v>
      </c>
      <c r="G2243" s="1">
        <v>38958</v>
      </c>
      <c r="H2243" s="1">
        <v>39947</v>
      </c>
      <c r="I2243" t="s">
        <v>12</v>
      </c>
      <c r="J2243" t="s">
        <v>13013</v>
      </c>
    </row>
    <row r="2244" spans="1:10" x14ac:dyDescent="0.25">
      <c r="A2244">
        <v>274403</v>
      </c>
      <c r="B2244" t="s">
        <v>2358</v>
      </c>
      <c r="C2244" t="str">
        <f>"9780415232883"</f>
        <v>9780415232883</v>
      </c>
      <c r="D2244" t="str">
        <f>"9780203086391"</f>
        <v>9780203086391</v>
      </c>
      <c r="E2244" t="s">
        <v>15</v>
      </c>
      <c r="F2244" t="s">
        <v>16</v>
      </c>
      <c r="G2244" s="1">
        <v>38881</v>
      </c>
      <c r="H2244" s="1">
        <v>39004</v>
      </c>
      <c r="I2244" t="s">
        <v>12</v>
      </c>
      <c r="J2244" t="s">
        <v>13014</v>
      </c>
    </row>
    <row r="2245" spans="1:10" x14ac:dyDescent="0.25">
      <c r="A2245">
        <v>274411</v>
      </c>
      <c r="B2245" t="s">
        <v>2359</v>
      </c>
      <c r="C2245" t="str">
        <f>"9780415314220"</f>
        <v>9780415314220</v>
      </c>
      <c r="D2245" t="str">
        <f>"9780203503201"</f>
        <v>9780203503201</v>
      </c>
      <c r="E2245" t="s">
        <v>15</v>
      </c>
      <c r="F2245" t="s">
        <v>16</v>
      </c>
      <c r="G2245" s="1">
        <v>38881</v>
      </c>
      <c r="H2245" s="1">
        <v>39004</v>
      </c>
      <c r="I2245" t="s">
        <v>12</v>
      </c>
      <c r="J2245" t="s">
        <v>13015</v>
      </c>
    </row>
    <row r="2246" spans="1:10" x14ac:dyDescent="0.25">
      <c r="A2246">
        <v>274421</v>
      </c>
      <c r="B2246" t="s">
        <v>2360</v>
      </c>
      <c r="C2246" t="str">
        <f>"9780415335584"</f>
        <v>9780415335584</v>
      </c>
      <c r="D2246" t="str">
        <f>"9780203420225"</f>
        <v>9780203420225</v>
      </c>
      <c r="E2246" t="s">
        <v>15</v>
      </c>
      <c r="F2246" t="s">
        <v>16</v>
      </c>
      <c r="G2246" s="1">
        <v>38755</v>
      </c>
      <c r="H2246" s="1">
        <v>39004</v>
      </c>
      <c r="I2246" t="s">
        <v>12</v>
      </c>
      <c r="J2246" t="s">
        <v>13016</v>
      </c>
    </row>
    <row r="2247" spans="1:10" x14ac:dyDescent="0.25">
      <c r="A2247">
        <v>274422</v>
      </c>
      <c r="B2247" t="s">
        <v>2361</v>
      </c>
      <c r="C2247" t="str">
        <f>"9780415338493"</f>
        <v>9780415338493</v>
      </c>
      <c r="D2247" t="str">
        <f>"9780203441497"</f>
        <v>9780203441497</v>
      </c>
      <c r="E2247" t="s">
        <v>15</v>
      </c>
      <c r="F2247" t="s">
        <v>16</v>
      </c>
      <c r="G2247" s="1">
        <v>39020</v>
      </c>
      <c r="H2247" s="1">
        <v>39004</v>
      </c>
      <c r="I2247" t="s">
        <v>12</v>
      </c>
      <c r="J2247" t="s">
        <v>13017</v>
      </c>
    </row>
    <row r="2248" spans="1:10" x14ac:dyDescent="0.25">
      <c r="A2248">
        <v>274428</v>
      </c>
      <c r="B2248" t="s">
        <v>2362</v>
      </c>
      <c r="C2248" t="str">
        <f>"9780415348768"</f>
        <v>9780415348768</v>
      </c>
      <c r="D2248" t="str">
        <f>"9780203641019"</f>
        <v>9780203641019</v>
      </c>
      <c r="E2248" t="s">
        <v>16</v>
      </c>
      <c r="F2248" t="s">
        <v>16</v>
      </c>
      <c r="G2248" s="1">
        <v>38806</v>
      </c>
      <c r="H2248" s="1">
        <v>39004</v>
      </c>
      <c r="I2248" t="s">
        <v>12</v>
      </c>
      <c r="J2248" t="s">
        <v>13018</v>
      </c>
    </row>
    <row r="2249" spans="1:10" x14ac:dyDescent="0.25">
      <c r="A2249">
        <v>274429</v>
      </c>
      <c r="B2249" t="s">
        <v>2363</v>
      </c>
      <c r="C2249" t="str">
        <f>"9780415349482"</f>
        <v>9780415349482</v>
      </c>
      <c r="D2249" t="str">
        <f>"9780203695166"</f>
        <v>9780203695166</v>
      </c>
      <c r="E2249" t="s">
        <v>15</v>
      </c>
      <c r="F2249" t="s">
        <v>16</v>
      </c>
      <c r="G2249" s="1">
        <v>38666</v>
      </c>
      <c r="H2249" s="1">
        <v>39004</v>
      </c>
      <c r="I2249" t="s">
        <v>12</v>
      </c>
      <c r="J2249" t="s">
        <v>13019</v>
      </c>
    </row>
    <row r="2250" spans="1:10" x14ac:dyDescent="0.25">
      <c r="A2250">
        <v>274432</v>
      </c>
      <c r="B2250" t="s">
        <v>2364</v>
      </c>
      <c r="C2250" t="str">
        <f>"9780415351416"</f>
        <v>9780415351416</v>
      </c>
      <c r="D2250" t="str">
        <f>"9780203696903"</f>
        <v>9780203696903</v>
      </c>
      <c r="E2250" t="s">
        <v>15</v>
      </c>
      <c r="F2250" t="s">
        <v>16</v>
      </c>
      <c r="G2250" s="1">
        <v>38862</v>
      </c>
      <c r="H2250" s="1">
        <v>39004</v>
      </c>
      <c r="I2250" t="s">
        <v>12</v>
      </c>
      <c r="J2250" t="s">
        <v>13020</v>
      </c>
    </row>
    <row r="2251" spans="1:10" x14ac:dyDescent="0.25">
      <c r="A2251">
        <v>274438</v>
      </c>
      <c r="B2251" t="s">
        <v>2365</v>
      </c>
      <c r="C2251" t="str">
        <f>"9780415354455"</f>
        <v>9780415354455</v>
      </c>
      <c r="D2251" t="str">
        <f>"9780203001073"</f>
        <v>9780203001073</v>
      </c>
      <c r="E2251" t="s">
        <v>15</v>
      </c>
      <c r="F2251" t="s">
        <v>16</v>
      </c>
      <c r="G2251" s="1">
        <v>38813</v>
      </c>
      <c r="H2251" s="1">
        <v>39004</v>
      </c>
      <c r="I2251" t="s">
        <v>12</v>
      </c>
      <c r="J2251" t="s">
        <v>13021</v>
      </c>
    </row>
    <row r="2252" spans="1:10" x14ac:dyDescent="0.25">
      <c r="A2252">
        <v>274444</v>
      </c>
      <c r="B2252" t="s">
        <v>2366</v>
      </c>
      <c r="C2252" t="str">
        <f>"9780415357418"</f>
        <v>9780415357418</v>
      </c>
      <c r="D2252" t="str">
        <f>"9780203003435"</f>
        <v>9780203003435</v>
      </c>
      <c r="E2252" t="s">
        <v>15</v>
      </c>
      <c r="F2252" t="s">
        <v>16</v>
      </c>
      <c r="G2252" s="1">
        <v>39021</v>
      </c>
      <c r="H2252" s="1">
        <v>39004</v>
      </c>
      <c r="I2252" t="s">
        <v>12</v>
      </c>
      <c r="J2252" t="s">
        <v>13022</v>
      </c>
    </row>
    <row r="2253" spans="1:10" x14ac:dyDescent="0.25">
      <c r="A2253">
        <v>274447</v>
      </c>
      <c r="B2253" t="s">
        <v>2367</v>
      </c>
      <c r="C2253" t="str">
        <f>"9780415358576"</f>
        <v>9780415358576</v>
      </c>
      <c r="D2253" t="str">
        <f>"9780203004784"</f>
        <v>9780203004784</v>
      </c>
      <c r="E2253" t="s">
        <v>15</v>
      </c>
      <c r="F2253" t="s">
        <v>139</v>
      </c>
      <c r="G2253" s="1">
        <v>39020</v>
      </c>
      <c r="H2253" s="1">
        <v>39004</v>
      </c>
      <c r="I2253" t="s">
        <v>12</v>
      </c>
      <c r="J2253" t="s">
        <v>13023</v>
      </c>
    </row>
    <row r="2254" spans="1:10" x14ac:dyDescent="0.25">
      <c r="A2254">
        <v>274452</v>
      </c>
      <c r="B2254" t="s">
        <v>2368</v>
      </c>
      <c r="C2254" t="str">
        <f>"9780415361866"</f>
        <v>9780415361866</v>
      </c>
      <c r="D2254" t="str">
        <f>"9780203012345"</f>
        <v>9780203012345</v>
      </c>
      <c r="E2254" t="s">
        <v>15</v>
      </c>
      <c r="F2254" t="s">
        <v>16</v>
      </c>
      <c r="G2254" s="1">
        <v>39021</v>
      </c>
      <c r="H2254" s="1">
        <v>39004</v>
      </c>
      <c r="I2254" t="s">
        <v>12</v>
      </c>
      <c r="J2254" t="s">
        <v>13024</v>
      </c>
    </row>
    <row r="2255" spans="1:10" x14ac:dyDescent="0.25">
      <c r="A2255">
        <v>274454</v>
      </c>
      <c r="B2255" t="s">
        <v>2369</v>
      </c>
      <c r="C2255" t="str">
        <f>"9780415362801"</f>
        <v>9780415362801</v>
      </c>
      <c r="D2255" t="str">
        <f>"9780203012987"</f>
        <v>9780203012987</v>
      </c>
      <c r="E2255" t="s">
        <v>15</v>
      </c>
      <c r="F2255" t="s">
        <v>16</v>
      </c>
      <c r="G2255" s="1">
        <v>38973</v>
      </c>
      <c r="H2255" s="1">
        <v>39004</v>
      </c>
      <c r="I2255" t="s">
        <v>12</v>
      </c>
      <c r="J2255" t="s">
        <v>13025</v>
      </c>
    </row>
    <row r="2256" spans="1:10" x14ac:dyDescent="0.25">
      <c r="A2256">
        <v>274461</v>
      </c>
      <c r="B2256" t="s">
        <v>2370</v>
      </c>
      <c r="C2256" t="str">
        <f>"9780415365338"</f>
        <v>9780415365338</v>
      </c>
      <c r="D2256" t="str">
        <f>"9780203016503"</f>
        <v>9780203016503</v>
      </c>
      <c r="E2256" t="s">
        <v>15</v>
      </c>
      <c r="F2256" t="s">
        <v>16</v>
      </c>
      <c r="G2256" s="1">
        <v>38924</v>
      </c>
      <c r="H2256" s="1">
        <v>39004</v>
      </c>
      <c r="I2256" t="s">
        <v>12</v>
      </c>
      <c r="J2256" t="s">
        <v>13026</v>
      </c>
    </row>
    <row r="2257" spans="1:10" x14ac:dyDescent="0.25">
      <c r="A2257">
        <v>274464</v>
      </c>
      <c r="B2257" t="s">
        <v>2371</v>
      </c>
      <c r="C2257" t="str">
        <f>"9780415366694"</f>
        <v>9780415366694</v>
      </c>
      <c r="D2257" t="str">
        <f>"9780203019405"</f>
        <v>9780203019405</v>
      </c>
      <c r="E2257" t="s">
        <v>15</v>
      </c>
      <c r="F2257" t="s">
        <v>16</v>
      </c>
      <c r="G2257" s="1">
        <v>39043</v>
      </c>
      <c r="H2257" s="1">
        <v>39004</v>
      </c>
      <c r="I2257" t="s">
        <v>12</v>
      </c>
      <c r="J2257" t="s">
        <v>13027</v>
      </c>
    </row>
    <row r="2258" spans="1:10" x14ac:dyDescent="0.25">
      <c r="A2258">
        <v>274466</v>
      </c>
      <c r="B2258" t="s">
        <v>2372</v>
      </c>
      <c r="C2258" t="str">
        <f>"9780415370530"</f>
        <v>9780415370530</v>
      </c>
      <c r="D2258" t="str">
        <f>"9780203030370"</f>
        <v>9780203030370</v>
      </c>
      <c r="E2258" t="s">
        <v>15</v>
      </c>
      <c r="F2258" t="s">
        <v>139</v>
      </c>
      <c r="G2258" s="1">
        <v>39043</v>
      </c>
      <c r="H2258" s="1">
        <v>39004</v>
      </c>
      <c r="I2258" t="s">
        <v>12</v>
      </c>
      <c r="J2258" t="s">
        <v>13028</v>
      </c>
    </row>
    <row r="2259" spans="1:10" x14ac:dyDescent="0.25">
      <c r="A2259">
        <v>274469</v>
      </c>
      <c r="B2259" t="s">
        <v>2373</v>
      </c>
      <c r="C2259" t="str">
        <f>"9780415384193"</f>
        <v>9780415384193</v>
      </c>
      <c r="D2259" t="str">
        <f>"9780203087909"</f>
        <v>9780203087909</v>
      </c>
      <c r="E2259" t="s">
        <v>16</v>
      </c>
      <c r="F2259" t="s">
        <v>16</v>
      </c>
      <c r="G2259" s="1">
        <v>38786</v>
      </c>
      <c r="H2259" s="1">
        <v>39851</v>
      </c>
      <c r="I2259" t="s">
        <v>12</v>
      </c>
      <c r="J2259" t="s">
        <v>13029</v>
      </c>
    </row>
    <row r="2260" spans="1:10" x14ac:dyDescent="0.25">
      <c r="A2260">
        <v>274474</v>
      </c>
      <c r="B2260" t="s">
        <v>2374</v>
      </c>
      <c r="C2260" t="str">
        <f>"9780415391603"</f>
        <v>9780415391603</v>
      </c>
      <c r="D2260" t="str">
        <f>"9780203087176"</f>
        <v>9780203087176</v>
      </c>
      <c r="E2260" t="s">
        <v>15</v>
      </c>
      <c r="F2260" t="s">
        <v>16</v>
      </c>
      <c r="G2260" s="1">
        <v>38982</v>
      </c>
      <c r="H2260" s="1">
        <v>39004</v>
      </c>
      <c r="I2260" t="s">
        <v>12</v>
      </c>
      <c r="J2260" t="s">
        <v>13030</v>
      </c>
    </row>
    <row r="2261" spans="1:10" x14ac:dyDescent="0.25">
      <c r="A2261">
        <v>274476</v>
      </c>
      <c r="B2261" t="s">
        <v>2375</v>
      </c>
      <c r="C2261" t="str">
        <f>"9780415396349"</f>
        <v>9780415396349</v>
      </c>
      <c r="D2261" t="str">
        <f>"9780203088364"</f>
        <v>9780203088364</v>
      </c>
      <c r="E2261" t="s">
        <v>15</v>
      </c>
      <c r="F2261" t="s">
        <v>16</v>
      </c>
      <c r="G2261" s="1">
        <v>38979</v>
      </c>
      <c r="H2261" s="1">
        <v>39004</v>
      </c>
      <c r="I2261" t="s">
        <v>12</v>
      </c>
      <c r="J2261" t="s">
        <v>13031</v>
      </c>
    </row>
    <row r="2262" spans="1:10" x14ac:dyDescent="0.25">
      <c r="A2262">
        <v>274480</v>
      </c>
      <c r="B2262" t="s">
        <v>2376</v>
      </c>
      <c r="C2262" t="str">
        <f>"9781583917671"</f>
        <v>9781583917671</v>
      </c>
      <c r="D2262" t="str">
        <f>"9780203087947"</f>
        <v>9780203087947</v>
      </c>
      <c r="E2262" t="s">
        <v>15</v>
      </c>
      <c r="F2262" t="s">
        <v>16</v>
      </c>
      <c r="G2262" s="1">
        <v>38881</v>
      </c>
      <c r="H2262" s="1">
        <v>39004</v>
      </c>
      <c r="I2262" t="s">
        <v>12</v>
      </c>
      <c r="J2262" t="s">
        <v>13032</v>
      </c>
    </row>
    <row r="2263" spans="1:10" x14ac:dyDescent="0.25">
      <c r="A2263">
        <v>274481</v>
      </c>
      <c r="B2263" t="s">
        <v>2377</v>
      </c>
      <c r="C2263" t="str">
        <f>"9781583918845"</f>
        <v>9781583918845</v>
      </c>
      <c r="D2263" t="str">
        <f>"9780203624609"</f>
        <v>9780203624609</v>
      </c>
      <c r="E2263" t="s">
        <v>15</v>
      </c>
      <c r="F2263" t="s">
        <v>16</v>
      </c>
      <c r="G2263" s="1">
        <v>38863</v>
      </c>
      <c r="H2263" s="1">
        <v>39004</v>
      </c>
      <c r="I2263" t="s">
        <v>12</v>
      </c>
      <c r="J2263" t="s">
        <v>13033</v>
      </c>
    </row>
    <row r="2264" spans="1:10" x14ac:dyDescent="0.25">
      <c r="A2264">
        <v>274482</v>
      </c>
      <c r="B2264" t="s">
        <v>2378</v>
      </c>
      <c r="C2264" t="str">
        <f>"9781841695723"</f>
        <v>9781841695723</v>
      </c>
      <c r="D2264" t="str">
        <f>"9780203965238"</f>
        <v>9780203965238</v>
      </c>
      <c r="E2264" t="s">
        <v>144</v>
      </c>
      <c r="F2264" t="s">
        <v>153</v>
      </c>
      <c r="G2264" s="1">
        <v>38835</v>
      </c>
      <c r="H2264" s="1">
        <v>39004</v>
      </c>
      <c r="I2264" t="s">
        <v>12</v>
      </c>
      <c r="J2264" t="s">
        <v>13034</v>
      </c>
    </row>
    <row r="2265" spans="1:10" x14ac:dyDescent="0.25">
      <c r="A2265">
        <v>274484</v>
      </c>
      <c r="B2265" t="s">
        <v>2379</v>
      </c>
      <c r="C2265" t="str">
        <f>"9781853599118"</f>
        <v>9781853599118</v>
      </c>
      <c r="D2265" t="str">
        <f>"9781853599125"</f>
        <v>9781853599125</v>
      </c>
      <c r="E2265" t="s">
        <v>886</v>
      </c>
      <c r="F2265" t="s">
        <v>887</v>
      </c>
      <c r="G2265" s="1">
        <v>38947</v>
      </c>
      <c r="H2265" s="1">
        <v>39070</v>
      </c>
      <c r="I2265" t="s">
        <v>12</v>
      </c>
      <c r="J2265" t="s">
        <v>13035</v>
      </c>
    </row>
    <row r="2266" spans="1:10" x14ac:dyDescent="0.25">
      <c r="A2266">
        <v>274485</v>
      </c>
      <c r="B2266" t="s">
        <v>2380</v>
      </c>
      <c r="C2266" t="str">
        <f>"9781845410438"</f>
        <v>9781845410438</v>
      </c>
      <c r="D2266" t="str">
        <f>"9781845410452"</f>
        <v>9781845410452</v>
      </c>
      <c r="E2266" t="s">
        <v>886</v>
      </c>
      <c r="F2266" t="s">
        <v>886</v>
      </c>
      <c r="G2266" s="1">
        <v>38972</v>
      </c>
      <c r="H2266" s="1">
        <v>39068</v>
      </c>
      <c r="I2266" t="s">
        <v>12</v>
      </c>
      <c r="J2266" t="s">
        <v>13036</v>
      </c>
    </row>
    <row r="2267" spans="1:10" x14ac:dyDescent="0.25">
      <c r="A2267">
        <v>274486</v>
      </c>
      <c r="B2267" t="s">
        <v>2381</v>
      </c>
      <c r="C2267" t="str">
        <f>"9781853599132"</f>
        <v>9781853599132</v>
      </c>
      <c r="D2267" t="str">
        <f>"9781853599156"</f>
        <v>9781853599156</v>
      </c>
      <c r="E2267" t="s">
        <v>886</v>
      </c>
      <c r="F2267" t="s">
        <v>887</v>
      </c>
      <c r="G2267" s="1">
        <v>38972</v>
      </c>
      <c r="H2267" s="1">
        <v>39016</v>
      </c>
      <c r="I2267" t="s">
        <v>12</v>
      </c>
      <c r="J2267" t="s">
        <v>13037</v>
      </c>
    </row>
    <row r="2268" spans="1:10" x14ac:dyDescent="0.25">
      <c r="A2268">
        <v>274488</v>
      </c>
      <c r="B2268" t="s">
        <v>2382</v>
      </c>
      <c r="C2268" t="str">
        <f>"9781845410506"</f>
        <v>9781845410506</v>
      </c>
      <c r="D2268" t="str">
        <f>"9781845410520"</f>
        <v>9781845410520</v>
      </c>
      <c r="E2268" t="s">
        <v>886</v>
      </c>
      <c r="F2268" t="s">
        <v>886</v>
      </c>
      <c r="G2268" s="1">
        <v>39031</v>
      </c>
      <c r="H2268" s="1">
        <v>39066</v>
      </c>
      <c r="I2268" t="s">
        <v>12</v>
      </c>
      <c r="J2268" t="s">
        <v>13038</v>
      </c>
    </row>
    <row r="2269" spans="1:10" x14ac:dyDescent="0.25">
      <c r="A2269">
        <v>274493</v>
      </c>
      <c r="B2269" t="s">
        <v>2383</v>
      </c>
      <c r="C2269" t="str">
        <f>"9781845410476"</f>
        <v>9781845410476</v>
      </c>
      <c r="D2269" t="str">
        <f>"9781845410490"</f>
        <v>9781845410490</v>
      </c>
      <c r="E2269" t="s">
        <v>886</v>
      </c>
      <c r="F2269" t="s">
        <v>886</v>
      </c>
      <c r="G2269" s="1">
        <v>39002</v>
      </c>
      <c r="H2269" s="1">
        <v>39016</v>
      </c>
      <c r="I2269" t="s">
        <v>12</v>
      </c>
      <c r="J2269" t="s">
        <v>13039</v>
      </c>
    </row>
    <row r="2270" spans="1:10" x14ac:dyDescent="0.25">
      <c r="A2270">
        <v>274494</v>
      </c>
      <c r="B2270" t="s">
        <v>2384</v>
      </c>
      <c r="C2270" t="str">
        <f>"9781853599194"</f>
        <v>9781853599194</v>
      </c>
      <c r="D2270" t="str">
        <f>"9781853599200"</f>
        <v>9781853599200</v>
      </c>
      <c r="E2270" t="s">
        <v>886</v>
      </c>
      <c r="F2270" t="s">
        <v>887</v>
      </c>
      <c r="G2270" s="1">
        <v>39002</v>
      </c>
      <c r="H2270" s="1">
        <v>39016</v>
      </c>
      <c r="I2270" t="s">
        <v>12</v>
      </c>
      <c r="J2270" t="s">
        <v>13040</v>
      </c>
    </row>
    <row r="2271" spans="1:10" x14ac:dyDescent="0.25">
      <c r="A2271">
        <v>274495</v>
      </c>
      <c r="B2271" t="s">
        <v>2385</v>
      </c>
      <c r="C2271" t="str">
        <f>"9781853599217"</f>
        <v>9781853599217</v>
      </c>
      <c r="D2271" t="str">
        <f>"9781853599224"</f>
        <v>9781853599224</v>
      </c>
      <c r="E2271" t="s">
        <v>886</v>
      </c>
      <c r="F2271" t="s">
        <v>887</v>
      </c>
      <c r="G2271" s="1">
        <v>39003</v>
      </c>
      <c r="H2271" s="1">
        <v>39016</v>
      </c>
      <c r="I2271" t="s">
        <v>12</v>
      </c>
      <c r="J2271" t="s">
        <v>13041</v>
      </c>
    </row>
    <row r="2272" spans="1:10" x14ac:dyDescent="0.25">
      <c r="A2272">
        <v>274583</v>
      </c>
      <c r="B2272" t="s">
        <v>2386</v>
      </c>
      <c r="C2272" t="str">
        <f>"9780521857628"</f>
        <v>9780521857628</v>
      </c>
      <c r="D2272" t="str">
        <f>"9780511244643"</f>
        <v>9780511244643</v>
      </c>
      <c r="E2272" t="s">
        <v>18</v>
      </c>
      <c r="F2272" t="s">
        <v>18</v>
      </c>
      <c r="G2272" s="1">
        <v>38961</v>
      </c>
      <c r="H2272" s="1">
        <v>39028</v>
      </c>
      <c r="I2272" t="s">
        <v>12</v>
      </c>
      <c r="J2272" t="s">
        <v>13042</v>
      </c>
    </row>
    <row r="2273" spans="1:10" x14ac:dyDescent="0.25">
      <c r="A2273">
        <v>274677</v>
      </c>
      <c r="B2273" t="s">
        <v>2387</v>
      </c>
      <c r="C2273" t="str">
        <f>"9780240808451"</f>
        <v>9780240808451</v>
      </c>
      <c r="D2273" t="str">
        <f>"9780080464725"</f>
        <v>9780080464725</v>
      </c>
      <c r="E2273" t="s">
        <v>15</v>
      </c>
      <c r="F2273" t="s">
        <v>1122</v>
      </c>
      <c r="G2273" s="1">
        <v>38930</v>
      </c>
      <c r="H2273" s="1">
        <v>39016</v>
      </c>
      <c r="I2273" t="s">
        <v>12</v>
      </c>
      <c r="J2273" t="s">
        <v>13043</v>
      </c>
    </row>
    <row r="2274" spans="1:10" x14ac:dyDescent="0.25">
      <c r="A2274">
        <v>274680</v>
      </c>
      <c r="B2274" t="s">
        <v>2388</v>
      </c>
      <c r="C2274" t="str">
        <f>"9780444508706"</f>
        <v>9780444508706</v>
      </c>
      <c r="D2274" t="str">
        <f>"9780080464756"</f>
        <v>9780080464756</v>
      </c>
      <c r="E2274" t="s">
        <v>1119</v>
      </c>
      <c r="F2274" t="s">
        <v>2175</v>
      </c>
      <c r="G2274" s="1">
        <v>38973</v>
      </c>
      <c r="H2274" s="1">
        <v>39016</v>
      </c>
      <c r="I2274" t="s">
        <v>12</v>
      </c>
      <c r="J2274" t="s">
        <v>13044</v>
      </c>
    </row>
    <row r="2275" spans="1:10" x14ac:dyDescent="0.25">
      <c r="A2275">
        <v>274697</v>
      </c>
      <c r="B2275" t="s">
        <v>2389</v>
      </c>
      <c r="C2275" t="str">
        <f>"9780240808093"</f>
        <v>9780240808093</v>
      </c>
      <c r="D2275" t="str">
        <f>"9780080464930"</f>
        <v>9780080464930</v>
      </c>
      <c r="E2275" t="s">
        <v>15</v>
      </c>
      <c r="F2275" t="s">
        <v>1122</v>
      </c>
      <c r="G2275" s="1">
        <v>38961</v>
      </c>
      <c r="H2275" s="1">
        <v>39016</v>
      </c>
      <c r="I2275" t="s">
        <v>12</v>
      </c>
      <c r="J2275" t="s">
        <v>13045</v>
      </c>
    </row>
    <row r="2276" spans="1:10" x14ac:dyDescent="0.25">
      <c r="A2276">
        <v>274707</v>
      </c>
      <c r="B2276" t="s">
        <v>2390</v>
      </c>
      <c r="C2276" t="str">
        <f>"9780123705174"</f>
        <v>9780123705174</v>
      </c>
      <c r="D2276" t="str">
        <f>"9780080465036"</f>
        <v>9780080465036</v>
      </c>
      <c r="E2276" t="s">
        <v>1119</v>
      </c>
      <c r="F2276" t="s">
        <v>2125</v>
      </c>
      <c r="G2276" s="1">
        <v>38987</v>
      </c>
      <c r="H2276" s="1">
        <v>39016</v>
      </c>
      <c r="I2276" t="s">
        <v>12</v>
      </c>
      <c r="J2276" t="s">
        <v>13046</v>
      </c>
    </row>
    <row r="2277" spans="1:10" x14ac:dyDescent="0.25">
      <c r="A2277">
        <v>274708</v>
      </c>
      <c r="B2277" t="s">
        <v>2391</v>
      </c>
      <c r="C2277" t="str">
        <f>"9780240808130"</f>
        <v>9780240808130</v>
      </c>
      <c r="D2277" t="str">
        <f>"9780080465043"</f>
        <v>9780080465043</v>
      </c>
      <c r="E2277" t="s">
        <v>15</v>
      </c>
      <c r="F2277" t="s">
        <v>1122</v>
      </c>
      <c r="G2277" s="1">
        <v>39052</v>
      </c>
      <c r="H2277" s="1">
        <v>39016</v>
      </c>
      <c r="I2277" t="s">
        <v>12</v>
      </c>
      <c r="J2277" t="s">
        <v>13047</v>
      </c>
    </row>
    <row r="2278" spans="1:10" x14ac:dyDescent="0.25">
      <c r="A2278">
        <v>274709</v>
      </c>
      <c r="B2278" t="s">
        <v>2392</v>
      </c>
      <c r="C2278" t="str">
        <f>"9780240808062"</f>
        <v>9780240808062</v>
      </c>
      <c r="D2278" t="str">
        <f>"9780080465050"</f>
        <v>9780080465050</v>
      </c>
      <c r="E2278" t="s">
        <v>15</v>
      </c>
      <c r="F2278" t="s">
        <v>16</v>
      </c>
      <c r="G2278" s="1">
        <v>38981</v>
      </c>
      <c r="H2278" s="1">
        <v>39053</v>
      </c>
      <c r="I2278" t="s">
        <v>12</v>
      </c>
      <c r="J2278" t="s">
        <v>13048</v>
      </c>
    </row>
    <row r="2279" spans="1:10" x14ac:dyDescent="0.25">
      <c r="A2279">
        <v>274711</v>
      </c>
      <c r="B2279" t="s">
        <v>2393</v>
      </c>
      <c r="C2279" t="str">
        <f>"9780240806815"</f>
        <v>9780240806815</v>
      </c>
      <c r="D2279" t="str">
        <f>"9780080465081"</f>
        <v>9780080465081</v>
      </c>
      <c r="E2279" t="s">
        <v>15</v>
      </c>
      <c r="F2279" t="s">
        <v>16</v>
      </c>
      <c r="G2279" s="1">
        <v>38769</v>
      </c>
      <c r="H2279" s="1">
        <v>39016</v>
      </c>
      <c r="I2279" t="s">
        <v>12</v>
      </c>
      <c r="J2279" t="s">
        <v>13049</v>
      </c>
    </row>
    <row r="2280" spans="1:10" x14ac:dyDescent="0.25">
      <c r="A2280">
        <v>274837</v>
      </c>
      <c r="B2280" t="s">
        <v>2394</v>
      </c>
      <c r="C2280" t="str">
        <f>"9780521838559"</f>
        <v>9780521838559</v>
      </c>
      <c r="D2280" t="str">
        <f>"9780511244414"</f>
        <v>9780511244414</v>
      </c>
      <c r="E2280" t="s">
        <v>18</v>
      </c>
      <c r="F2280" t="s">
        <v>18</v>
      </c>
      <c r="G2280" s="1">
        <v>38961</v>
      </c>
      <c r="H2280" s="1">
        <v>39028</v>
      </c>
      <c r="I2280" t="s">
        <v>12</v>
      </c>
      <c r="J2280" t="s">
        <v>13050</v>
      </c>
    </row>
    <row r="2281" spans="1:10" x14ac:dyDescent="0.25">
      <c r="A2281">
        <v>274845</v>
      </c>
      <c r="B2281" t="s">
        <v>2395</v>
      </c>
      <c r="C2281" t="str">
        <f>"9780521848435"</f>
        <v>9780521848435</v>
      </c>
      <c r="D2281" t="str">
        <f>"9780511244490"</f>
        <v>9780511244490</v>
      </c>
      <c r="E2281" t="s">
        <v>18</v>
      </c>
      <c r="F2281" t="s">
        <v>18</v>
      </c>
      <c r="G2281" s="1">
        <v>38960</v>
      </c>
      <c r="H2281" s="1">
        <v>39015</v>
      </c>
      <c r="I2281" t="s">
        <v>12</v>
      </c>
      <c r="J2281" t="s">
        <v>13051</v>
      </c>
    </row>
    <row r="2282" spans="1:10" x14ac:dyDescent="0.25">
      <c r="A2282">
        <v>274854</v>
      </c>
      <c r="B2282" t="s">
        <v>2396</v>
      </c>
      <c r="C2282" t="str">
        <f>"9780521855839"</f>
        <v>9780521855839</v>
      </c>
      <c r="D2282" t="str">
        <f>"9780511244575"</f>
        <v>9780511244575</v>
      </c>
      <c r="E2282" t="s">
        <v>18</v>
      </c>
      <c r="F2282" t="s">
        <v>18</v>
      </c>
      <c r="G2282" s="1">
        <v>38974</v>
      </c>
      <c r="H2282" s="1">
        <v>39028</v>
      </c>
      <c r="I2282" t="s">
        <v>12</v>
      </c>
      <c r="J2282" t="s">
        <v>13052</v>
      </c>
    </row>
    <row r="2283" spans="1:10" x14ac:dyDescent="0.25">
      <c r="A2283">
        <v>274866</v>
      </c>
      <c r="B2283" t="s">
        <v>2397</v>
      </c>
      <c r="C2283" t="str">
        <f>"9780521858830"</f>
        <v>9780521858830</v>
      </c>
      <c r="D2283" t="str">
        <f>"9780511244698"</f>
        <v>9780511244698</v>
      </c>
      <c r="E2283" t="s">
        <v>18</v>
      </c>
      <c r="F2283" t="s">
        <v>18</v>
      </c>
      <c r="G2283" s="1">
        <v>38930</v>
      </c>
      <c r="H2283" s="1">
        <v>39028</v>
      </c>
      <c r="I2283" t="s">
        <v>12</v>
      </c>
      <c r="J2283" t="s">
        <v>13053</v>
      </c>
    </row>
    <row r="2284" spans="1:10" x14ac:dyDescent="0.25">
      <c r="A2284">
        <v>274869</v>
      </c>
      <c r="B2284" t="s">
        <v>2398</v>
      </c>
      <c r="C2284" t="str">
        <f>"9780521860215"</f>
        <v>9780521860215</v>
      </c>
      <c r="D2284" t="str">
        <f>"9780511244728"</f>
        <v>9780511244728</v>
      </c>
      <c r="E2284" t="s">
        <v>18</v>
      </c>
      <c r="F2284" t="s">
        <v>18</v>
      </c>
      <c r="G2284" s="1">
        <v>38930</v>
      </c>
      <c r="H2284" s="1">
        <v>39029</v>
      </c>
      <c r="I2284" t="s">
        <v>12</v>
      </c>
      <c r="J2284" t="s">
        <v>13054</v>
      </c>
    </row>
    <row r="2285" spans="1:10" x14ac:dyDescent="0.25">
      <c r="A2285">
        <v>274872</v>
      </c>
      <c r="B2285" t="s">
        <v>2399</v>
      </c>
      <c r="C2285" t="str">
        <f>"9780521860918"</f>
        <v>9780521860918</v>
      </c>
      <c r="D2285" t="str">
        <f>"9780511244759"</f>
        <v>9780511244759</v>
      </c>
      <c r="E2285" t="s">
        <v>18</v>
      </c>
      <c r="F2285" t="s">
        <v>18</v>
      </c>
      <c r="G2285" s="1">
        <v>38985</v>
      </c>
      <c r="H2285" s="1">
        <v>39029</v>
      </c>
      <c r="I2285" t="s">
        <v>12</v>
      </c>
      <c r="J2285" t="s">
        <v>13055</v>
      </c>
    </row>
    <row r="2286" spans="1:10" x14ac:dyDescent="0.25">
      <c r="A2286">
        <v>274874</v>
      </c>
      <c r="B2286" t="s">
        <v>2400</v>
      </c>
      <c r="C2286" t="str">
        <f>"9780521861823"</f>
        <v>9780521861823</v>
      </c>
      <c r="D2286" t="str">
        <f>"9780511244773"</f>
        <v>9780511244773</v>
      </c>
      <c r="E2286" t="s">
        <v>18</v>
      </c>
      <c r="F2286" t="s">
        <v>18</v>
      </c>
      <c r="G2286" s="1">
        <v>38964</v>
      </c>
      <c r="H2286" s="1">
        <v>39029</v>
      </c>
      <c r="I2286" t="s">
        <v>12</v>
      </c>
      <c r="J2286" t="s">
        <v>13056</v>
      </c>
    </row>
    <row r="2287" spans="1:10" x14ac:dyDescent="0.25">
      <c r="A2287">
        <v>274888</v>
      </c>
      <c r="B2287" t="s">
        <v>2401</v>
      </c>
      <c r="C2287" t="str">
        <f>"9780521864695"</f>
        <v>9780521864695</v>
      </c>
      <c r="D2287" t="str">
        <f>"9780511244926"</f>
        <v>9780511244926</v>
      </c>
      <c r="E2287" t="s">
        <v>18</v>
      </c>
      <c r="F2287" t="s">
        <v>18</v>
      </c>
      <c r="G2287" s="1">
        <v>38974</v>
      </c>
      <c r="H2287" s="1">
        <v>39029</v>
      </c>
      <c r="I2287" t="s">
        <v>12</v>
      </c>
      <c r="J2287" t="s">
        <v>13057</v>
      </c>
    </row>
    <row r="2288" spans="1:10" x14ac:dyDescent="0.25">
      <c r="A2288">
        <v>274891</v>
      </c>
      <c r="B2288" t="s">
        <v>2402</v>
      </c>
      <c r="C2288" t="str">
        <f>"9780521864985"</f>
        <v>9780521864985</v>
      </c>
      <c r="D2288" t="str">
        <f>"9780511244957"</f>
        <v>9780511244957</v>
      </c>
      <c r="E2288" t="s">
        <v>18</v>
      </c>
      <c r="F2288" t="s">
        <v>18</v>
      </c>
      <c r="G2288" s="1">
        <v>38960</v>
      </c>
      <c r="H2288" s="1">
        <v>39015</v>
      </c>
      <c r="I2288" t="s">
        <v>12</v>
      </c>
      <c r="J2288" t="s">
        <v>13058</v>
      </c>
    </row>
    <row r="2289" spans="1:10" x14ac:dyDescent="0.25">
      <c r="A2289">
        <v>274893</v>
      </c>
      <c r="B2289" t="s">
        <v>2403</v>
      </c>
      <c r="C2289" t="str">
        <f>"9780521866118"</f>
        <v>9780521866118</v>
      </c>
      <c r="D2289" t="str">
        <f>"9780511244971"</f>
        <v>9780511244971</v>
      </c>
      <c r="E2289" t="s">
        <v>18</v>
      </c>
      <c r="F2289" t="s">
        <v>18</v>
      </c>
      <c r="G2289" s="1">
        <v>38961</v>
      </c>
      <c r="H2289" s="1">
        <v>39015</v>
      </c>
      <c r="I2289" t="s">
        <v>12</v>
      </c>
      <c r="J2289" t="s">
        <v>13059</v>
      </c>
    </row>
    <row r="2290" spans="1:10" x14ac:dyDescent="0.25">
      <c r="A2290">
        <v>274901</v>
      </c>
      <c r="B2290" t="s">
        <v>2404</v>
      </c>
      <c r="C2290" t="str">
        <f>"9780521868594"</f>
        <v>9780521868594</v>
      </c>
      <c r="D2290" t="str">
        <f>"9780511245053"</f>
        <v>9780511245053</v>
      </c>
      <c r="E2290" t="s">
        <v>18</v>
      </c>
      <c r="F2290" t="s">
        <v>18</v>
      </c>
      <c r="G2290" s="1">
        <v>38960</v>
      </c>
      <c r="H2290" s="1">
        <v>39029</v>
      </c>
      <c r="I2290" t="s">
        <v>12</v>
      </c>
      <c r="J2290" t="s">
        <v>13060</v>
      </c>
    </row>
    <row r="2291" spans="1:10" x14ac:dyDescent="0.25">
      <c r="A2291">
        <v>275134</v>
      </c>
      <c r="B2291" t="s">
        <v>2405</v>
      </c>
      <c r="C2291" t="str">
        <f>"9780521851121"</f>
        <v>9780521851121</v>
      </c>
      <c r="D2291" t="str">
        <f>"9780511248825"</f>
        <v>9780511248825</v>
      </c>
      <c r="E2291" t="s">
        <v>18</v>
      </c>
      <c r="F2291" t="s">
        <v>18</v>
      </c>
      <c r="G2291" s="1">
        <v>38991</v>
      </c>
      <c r="H2291" s="1">
        <v>39083</v>
      </c>
      <c r="I2291" t="s">
        <v>12</v>
      </c>
      <c r="J2291" t="s">
        <v>13061</v>
      </c>
    </row>
    <row r="2292" spans="1:10" x14ac:dyDescent="0.25">
      <c r="A2292">
        <v>275141</v>
      </c>
      <c r="B2292" t="s">
        <v>2406</v>
      </c>
      <c r="C2292" t="str">
        <f>"9780521858465"</f>
        <v>9780521858465</v>
      </c>
      <c r="D2292" t="str">
        <f>"9780511248917"</f>
        <v>9780511248917</v>
      </c>
      <c r="E2292" t="s">
        <v>18</v>
      </c>
      <c r="F2292" t="s">
        <v>18</v>
      </c>
      <c r="G2292" s="1">
        <v>38943</v>
      </c>
      <c r="H2292" s="1">
        <v>39083</v>
      </c>
      <c r="I2292" t="s">
        <v>12</v>
      </c>
      <c r="J2292" t="s">
        <v>13062</v>
      </c>
    </row>
    <row r="2293" spans="1:10" x14ac:dyDescent="0.25">
      <c r="A2293">
        <v>275144</v>
      </c>
      <c r="B2293" t="s">
        <v>2407</v>
      </c>
      <c r="C2293" t="str">
        <f>"9780521859493"</f>
        <v>9780521859493</v>
      </c>
      <c r="D2293" t="str">
        <f>"9780511248948"</f>
        <v>9780511248948</v>
      </c>
      <c r="E2293" t="s">
        <v>18</v>
      </c>
      <c r="F2293" t="s">
        <v>18</v>
      </c>
      <c r="G2293" s="1">
        <v>38991</v>
      </c>
      <c r="H2293" s="1">
        <v>39083</v>
      </c>
      <c r="I2293" t="s">
        <v>12</v>
      </c>
      <c r="J2293" t="s">
        <v>13063</v>
      </c>
    </row>
    <row r="2294" spans="1:10" x14ac:dyDescent="0.25">
      <c r="A2294">
        <v>275149</v>
      </c>
      <c r="B2294" t="s">
        <v>2408</v>
      </c>
      <c r="C2294" t="str">
        <f>"9780521860406"</f>
        <v>9780521860406</v>
      </c>
      <c r="D2294" t="str">
        <f>"9780511248993"</f>
        <v>9780511248993</v>
      </c>
      <c r="E2294" t="s">
        <v>18</v>
      </c>
      <c r="F2294" t="s">
        <v>18</v>
      </c>
      <c r="G2294" s="1">
        <v>39009</v>
      </c>
      <c r="H2294" s="1">
        <v>39029</v>
      </c>
      <c r="I2294" t="s">
        <v>12</v>
      </c>
      <c r="J2294" t="s">
        <v>13064</v>
      </c>
    </row>
    <row r="2295" spans="1:10" x14ac:dyDescent="0.25">
      <c r="A2295">
        <v>275150</v>
      </c>
      <c r="B2295" t="s">
        <v>2409</v>
      </c>
      <c r="C2295" t="str">
        <f>"9780521860758"</f>
        <v>9780521860758</v>
      </c>
      <c r="D2295" t="str">
        <f>"9780511249006"</f>
        <v>9780511249006</v>
      </c>
      <c r="E2295" t="s">
        <v>18</v>
      </c>
      <c r="F2295" t="s">
        <v>18</v>
      </c>
      <c r="G2295" s="1">
        <v>38991</v>
      </c>
      <c r="H2295" s="1">
        <v>39029</v>
      </c>
      <c r="I2295" t="s">
        <v>12</v>
      </c>
      <c r="J2295" t="s">
        <v>13065</v>
      </c>
    </row>
    <row r="2296" spans="1:10" x14ac:dyDescent="0.25">
      <c r="A2296">
        <v>275161</v>
      </c>
      <c r="B2296" t="s">
        <v>2410</v>
      </c>
      <c r="C2296" t="str">
        <f>"9780521869522"</f>
        <v>9780521869522</v>
      </c>
      <c r="D2296" t="str">
        <f>"9780511249136"</f>
        <v>9780511249136</v>
      </c>
      <c r="E2296" t="s">
        <v>18</v>
      </c>
      <c r="F2296" t="s">
        <v>18</v>
      </c>
      <c r="G2296" s="1">
        <v>38961</v>
      </c>
      <c r="H2296" s="1">
        <v>39029</v>
      </c>
      <c r="I2296" t="s">
        <v>12</v>
      </c>
      <c r="J2296" t="s">
        <v>13066</v>
      </c>
    </row>
    <row r="2297" spans="1:10" x14ac:dyDescent="0.25">
      <c r="A2297">
        <v>275183</v>
      </c>
      <c r="B2297" t="s">
        <v>2411</v>
      </c>
      <c r="C2297" t="str">
        <f>"9780521815178"</f>
        <v>9780521815178</v>
      </c>
      <c r="D2297" t="str">
        <f>"9780511229169"</f>
        <v>9780511229169</v>
      </c>
      <c r="E2297" t="s">
        <v>18</v>
      </c>
      <c r="F2297" t="s">
        <v>18</v>
      </c>
      <c r="G2297" s="1">
        <v>38169</v>
      </c>
      <c r="H2297" s="1">
        <v>39028</v>
      </c>
      <c r="I2297" t="s">
        <v>12</v>
      </c>
      <c r="J2297" t="s">
        <v>13067</v>
      </c>
    </row>
    <row r="2298" spans="1:10" x14ac:dyDescent="0.25">
      <c r="A2298">
        <v>275190</v>
      </c>
      <c r="B2298" t="s">
        <v>2412</v>
      </c>
      <c r="C2298" t="str">
        <f>"9780521822565"</f>
        <v>9780521822565</v>
      </c>
      <c r="D2298" t="str">
        <f>"9780511228674"</f>
        <v>9780511228674</v>
      </c>
      <c r="E2298" t="s">
        <v>18</v>
      </c>
      <c r="F2298" t="s">
        <v>18</v>
      </c>
      <c r="G2298" s="1">
        <v>38231</v>
      </c>
      <c r="H2298" s="1">
        <v>39083</v>
      </c>
      <c r="I2298" t="s">
        <v>12</v>
      </c>
      <c r="J2298" t="s">
        <v>13068</v>
      </c>
    </row>
    <row r="2299" spans="1:10" x14ac:dyDescent="0.25">
      <c r="A2299">
        <v>275243</v>
      </c>
      <c r="B2299" t="s">
        <v>2413</v>
      </c>
      <c r="C2299" t="str">
        <f>"9780521843034"</f>
        <v>9780521843034</v>
      </c>
      <c r="D2299" t="str">
        <f>"9780511229060"</f>
        <v>9780511229060</v>
      </c>
      <c r="E2299" t="s">
        <v>18</v>
      </c>
      <c r="F2299" t="s">
        <v>18</v>
      </c>
      <c r="G2299" s="1">
        <v>38281</v>
      </c>
      <c r="H2299" s="1">
        <v>39028</v>
      </c>
      <c r="I2299" t="s">
        <v>12</v>
      </c>
      <c r="J2299" t="s">
        <v>13069</v>
      </c>
    </row>
    <row r="2300" spans="1:10" x14ac:dyDescent="0.25">
      <c r="A2300">
        <v>275317</v>
      </c>
      <c r="B2300" t="s">
        <v>2414</v>
      </c>
      <c r="C2300" t="str">
        <f>"9781597490566"</f>
        <v>9781597490566</v>
      </c>
      <c r="D2300" t="str">
        <f>"9780080475592"</f>
        <v>9780080475592</v>
      </c>
      <c r="E2300" t="s">
        <v>2415</v>
      </c>
      <c r="F2300" t="s">
        <v>2416</v>
      </c>
      <c r="G2300" s="1">
        <v>39029</v>
      </c>
      <c r="H2300" s="1">
        <v>39044</v>
      </c>
      <c r="I2300" t="s">
        <v>12</v>
      </c>
      <c r="J2300" t="s">
        <v>13070</v>
      </c>
    </row>
    <row r="2301" spans="1:10" x14ac:dyDescent="0.25">
      <c r="A2301">
        <v>275318</v>
      </c>
      <c r="B2301" t="s">
        <v>2417</v>
      </c>
      <c r="C2301" t="str">
        <f>"9781597491099"</f>
        <v>9781597491099</v>
      </c>
      <c r="D2301" t="str">
        <f>"9780080507743"</f>
        <v>9780080507743</v>
      </c>
      <c r="E2301" t="s">
        <v>2415</v>
      </c>
      <c r="F2301" t="s">
        <v>2416</v>
      </c>
      <c r="G2301" s="1">
        <v>39027</v>
      </c>
      <c r="H2301" s="1">
        <v>39012</v>
      </c>
      <c r="I2301" t="s">
        <v>12</v>
      </c>
      <c r="J2301" t="s">
        <v>13071</v>
      </c>
    </row>
    <row r="2302" spans="1:10" x14ac:dyDescent="0.25">
      <c r="A2302">
        <v>275386</v>
      </c>
      <c r="B2302" t="s">
        <v>2418</v>
      </c>
      <c r="C2302" t="str">
        <f>"9781597491112"</f>
        <v>9781597491112</v>
      </c>
      <c r="D2302" t="str">
        <f>"9780080520773"</f>
        <v>9780080520773</v>
      </c>
      <c r="E2302" t="s">
        <v>2415</v>
      </c>
      <c r="F2302" t="s">
        <v>2416</v>
      </c>
      <c r="G2302" s="1">
        <v>39029</v>
      </c>
      <c r="H2302" s="1">
        <v>40084</v>
      </c>
      <c r="I2302" t="s">
        <v>12</v>
      </c>
      <c r="J2302" t="s">
        <v>13072</v>
      </c>
    </row>
    <row r="2303" spans="1:10" x14ac:dyDescent="0.25">
      <c r="A2303">
        <v>275460</v>
      </c>
      <c r="B2303" t="s">
        <v>2419</v>
      </c>
      <c r="C2303" t="str">
        <f>"9781846630347"</f>
        <v>9781846630347</v>
      </c>
      <c r="D2303" t="str">
        <f>"9781846630354"</f>
        <v>9781846630354</v>
      </c>
      <c r="E2303" t="s">
        <v>1116</v>
      </c>
      <c r="F2303" t="s">
        <v>1117</v>
      </c>
      <c r="G2303" s="1">
        <v>38940</v>
      </c>
      <c r="H2303" s="1">
        <v>39044</v>
      </c>
      <c r="I2303" t="s">
        <v>12</v>
      </c>
      <c r="J2303" t="s">
        <v>13073</v>
      </c>
    </row>
    <row r="2304" spans="1:10" x14ac:dyDescent="0.25">
      <c r="A2304">
        <v>275464</v>
      </c>
      <c r="B2304" t="s">
        <v>2420</v>
      </c>
      <c r="C2304" t="str">
        <f>"9781846631429"</f>
        <v>9781846631429</v>
      </c>
      <c r="D2304" t="str">
        <f>"9781846631436"</f>
        <v>9781846631436</v>
      </c>
      <c r="E2304" t="s">
        <v>1116</v>
      </c>
      <c r="F2304" t="s">
        <v>1117</v>
      </c>
      <c r="G2304" s="1">
        <v>38975</v>
      </c>
      <c r="H2304" s="1">
        <v>39044</v>
      </c>
      <c r="I2304" t="s">
        <v>12</v>
      </c>
      <c r="J2304" t="s">
        <v>13074</v>
      </c>
    </row>
    <row r="2305" spans="1:10" x14ac:dyDescent="0.25">
      <c r="A2305">
        <v>275465</v>
      </c>
      <c r="B2305" t="s">
        <v>2421</v>
      </c>
      <c r="C2305" t="str">
        <f>"9781846630583"</f>
        <v>9781846630583</v>
      </c>
      <c r="D2305" t="str">
        <f>"9781846630590"</f>
        <v>9781846630590</v>
      </c>
      <c r="E2305" t="s">
        <v>1116</v>
      </c>
      <c r="F2305" t="s">
        <v>1117</v>
      </c>
      <c r="G2305" s="1">
        <v>38919</v>
      </c>
      <c r="H2305" s="1">
        <v>39044</v>
      </c>
      <c r="I2305" t="s">
        <v>12</v>
      </c>
      <c r="J2305" t="s">
        <v>13075</v>
      </c>
    </row>
    <row r="2306" spans="1:10" x14ac:dyDescent="0.25">
      <c r="A2306">
        <v>275468</v>
      </c>
      <c r="B2306" t="s">
        <v>2422</v>
      </c>
      <c r="C2306" t="str">
        <f>"9781846631467"</f>
        <v>9781846631467</v>
      </c>
      <c r="D2306" t="str">
        <f>"9781846631474"</f>
        <v>9781846631474</v>
      </c>
      <c r="E2306" t="s">
        <v>1116</v>
      </c>
      <c r="F2306" t="s">
        <v>1117</v>
      </c>
      <c r="G2306" s="1">
        <v>38947</v>
      </c>
      <c r="H2306" s="1">
        <v>39053</v>
      </c>
      <c r="I2306" t="s">
        <v>12</v>
      </c>
      <c r="J2306" t="s">
        <v>13076</v>
      </c>
    </row>
    <row r="2307" spans="1:10" x14ac:dyDescent="0.25">
      <c r="A2307">
        <v>275473</v>
      </c>
      <c r="B2307" t="s">
        <v>2423</v>
      </c>
      <c r="C2307" t="str">
        <f>"9781846630323"</f>
        <v>9781846630323</v>
      </c>
      <c r="D2307" t="str">
        <f>"9781846630330"</f>
        <v>9781846630330</v>
      </c>
      <c r="E2307" t="s">
        <v>1116</v>
      </c>
      <c r="F2307" t="s">
        <v>1117</v>
      </c>
      <c r="G2307" s="1">
        <v>38933</v>
      </c>
      <c r="H2307" s="1">
        <v>39044</v>
      </c>
      <c r="I2307" t="s">
        <v>12</v>
      </c>
      <c r="J2307" t="s">
        <v>13077</v>
      </c>
    </row>
    <row r="2308" spans="1:10" x14ac:dyDescent="0.25">
      <c r="A2308">
        <v>275474</v>
      </c>
      <c r="B2308" t="s">
        <v>2424</v>
      </c>
      <c r="C2308" t="str">
        <f>"9781846630965"</f>
        <v>9781846630965</v>
      </c>
      <c r="D2308" t="str">
        <f>"9781846630972"</f>
        <v>9781846630972</v>
      </c>
      <c r="E2308" t="s">
        <v>1116</v>
      </c>
      <c r="F2308" t="s">
        <v>1117</v>
      </c>
      <c r="G2308" s="1">
        <v>38989</v>
      </c>
      <c r="H2308" s="1">
        <v>39044</v>
      </c>
      <c r="I2308" t="s">
        <v>1504</v>
      </c>
      <c r="J2308" t="s">
        <v>13078</v>
      </c>
    </row>
    <row r="2309" spans="1:10" x14ac:dyDescent="0.25">
      <c r="A2309">
        <v>275480</v>
      </c>
      <c r="B2309" t="s">
        <v>2425</v>
      </c>
      <c r="C2309" t="str">
        <f>"9781846630446"</f>
        <v>9781846630446</v>
      </c>
      <c r="D2309" t="str">
        <f>"9781846630453"</f>
        <v>9781846630453</v>
      </c>
      <c r="E2309" t="s">
        <v>1116</v>
      </c>
      <c r="F2309" t="s">
        <v>1117</v>
      </c>
      <c r="G2309" s="1">
        <v>38926</v>
      </c>
      <c r="H2309" s="1">
        <v>39044</v>
      </c>
      <c r="I2309" t="s">
        <v>12</v>
      </c>
      <c r="J2309" t="s">
        <v>13079</v>
      </c>
    </row>
    <row r="2310" spans="1:10" x14ac:dyDescent="0.25">
      <c r="A2310">
        <v>275481</v>
      </c>
      <c r="B2310" t="s">
        <v>2426</v>
      </c>
      <c r="C2310" t="str">
        <f>"9781846630729"</f>
        <v>9781846630729</v>
      </c>
      <c r="D2310" t="str">
        <f>"9781846630736"</f>
        <v>9781846630736</v>
      </c>
      <c r="E2310" t="s">
        <v>1116</v>
      </c>
      <c r="F2310" t="s">
        <v>1117</v>
      </c>
      <c r="G2310" s="1">
        <v>38919</v>
      </c>
      <c r="H2310" s="1">
        <v>39044</v>
      </c>
      <c r="I2310" t="s">
        <v>12</v>
      </c>
      <c r="J2310" t="s">
        <v>13080</v>
      </c>
    </row>
    <row r="2311" spans="1:10" x14ac:dyDescent="0.25">
      <c r="A2311">
        <v>275483</v>
      </c>
      <c r="B2311" t="s">
        <v>2427</v>
      </c>
      <c r="C2311" t="str">
        <f>"9781846631085"</f>
        <v>9781846631085</v>
      </c>
      <c r="D2311" t="str">
        <f>"9781846631092"</f>
        <v>9781846631092</v>
      </c>
      <c r="E2311" t="s">
        <v>1116</v>
      </c>
      <c r="F2311" t="s">
        <v>1117</v>
      </c>
      <c r="G2311" s="1">
        <v>38933</v>
      </c>
      <c r="H2311" s="1">
        <v>39044</v>
      </c>
      <c r="I2311" t="s">
        <v>12</v>
      </c>
      <c r="J2311" t="s">
        <v>13081</v>
      </c>
    </row>
    <row r="2312" spans="1:10" x14ac:dyDescent="0.25">
      <c r="A2312">
        <v>275484</v>
      </c>
      <c r="B2312" t="s">
        <v>2428</v>
      </c>
      <c r="C2312" t="str">
        <f>"9781846630767"</f>
        <v>9781846630767</v>
      </c>
      <c r="D2312" t="str">
        <f>"9781846630774"</f>
        <v>9781846630774</v>
      </c>
      <c r="E2312" t="s">
        <v>1116</v>
      </c>
      <c r="F2312" t="s">
        <v>1117</v>
      </c>
      <c r="G2312" s="1">
        <v>38919</v>
      </c>
      <c r="H2312" s="1">
        <v>39043</v>
      </c>
      <c r="I2312" t="s">
        <v>12</v>
      </c>
      <c r="J2312" t="s">
        <v>13082</v>
      </c>
    </row>
    <row r="2313" spans="1:10" x14ac:dyDescent="0.25">
      <c r="A2313">
        <v>275485</v>
      </c>
      <c r="B2313" t="s">
        <v>2429</v>
      </c>
      <c r="C2313" t="str">
        <f>"9781846630828"</f>
        <v>9781846630828</v>
      </c>
      <c r="D2313" t="str">
        <f>"9781846630835"</f>
        <v>9781846630835</v>
      </c>
      <c r="E2313" t="s">
        <v>1116</v>
      </c>
      <c r="F2313" t="s">
        <v>1117</v>
      </c>
      <c r="G2313" s="1">
        <v>38982</v>
      </c>
      <c r="H2313" s="1">
        <v>39044</v>
      </c>
      <c r="I2313" t="s">
        <v>12</v>
      </c>
      <c r="J2313" t="s">
        <v>13083</v>
      </c>
    </row>
    <row r="2314" spans="1:10" x14ac:dyDescent="0.25">
      <c r="A2314">
        <v>275486</v>
      </c>
      <c r="B2314" t="s">
        <v>2430</v>
      </c>
      <c r="C2314" t="str">
        <f>"9781846631764"</f>
        <v>9781846631764</v>
      </c>
      <c r="D2314" t="str">
        <f>"9781846631771"</f>
        <v>9781846631771</v>
      </c>
      <c r="E2314" t="s">
        <v>1116</v>
      </c>
      <c r="F2314" t="s">
        <v>1117</v>
      </c>
      <c r="G2314" s="1">
        <v>38982</v>
      </c>
      <c r="H2314" s="1">
        <v>39381</v>
      </c>
      <c r="I2314" t="s">
        <v>12</v>
      </c>
      <c r="J2314" t="s">
        <v>13084</v>
      </c>
    </row>
    <row r="2315" spans="1:10" x14ac:dyDescent="0.25">
      <c r="A2315">
        <v>275487</v>
      </c>
      <c r="B2315" t="s">
        <v>2431</v>
      </c>
      <c r="C2315" t="str">
        <f>"9781846630668"</f>
        <v>9781846630668</v>
      </c>
      <c r="D2315" t="str">
        <f>"9781846630675"</f>
        <v>9781846630675</v>
      </c>
      <c r="E2315" t="s">
        <v>1116</v>
      </c>
      <c r="F2315" t="s">
        <v>1117</v>
      </c>
      <c r="G2315" s="1">
        <v>38905</v>
      </c>
      <c r="H2315" s="1">
        <v>39053</v>
      </c>
      <c r="I2315" t="s">
        <v>12</v>
      </c>
      <c r="J2315" t="s">
        <v>13085</v>
      </c>
    </row>
    <row r="2316" spans="1:10" x14ac:dyDescent="0.25">
      <c r="A2316">
        <v>275488</v>
      </c>
      <c r="B2316" t="s">
        <v>2432</v>
      </c>
      <c r="C2316" t="str">
        <f>"9781846631504"</f>
        <v>9781846631504</v>
      </c>
      <c r="D2316" t="str">
        <f>"9781846631511"</f>
        <v>9781846631511</v>
      </c>
      <c r="E2316" t="s">
        <v>1116</v>
      </c>
      <c r="F2316" t="s">
        <v>1117</v>
      </c>
      <c r="G2316" s="1">
        <v>38961</v>
      </c>
      <c r="H2316" s="1">
        <v>39044</v>
      </c>
      <c r="I2316" t="s">
        <v>12</v>
      </c>
      <c r="J2316" t="s">
        <v>13086</v>
      </c>
    </row>
    <row r="2317" spans="1:10" x14ac:dyDescent="0.25">
      <c r="A2317">
        <v>275489</v>
      </c>
      <c r="B2317" t="s">
        <v>2433</v>
      </c>
      <c r="C2317" t="str">
        <f>"9781846630682"</f>
        <v>9781846630682</v>
      </c>
      <c r="D2317" t="str">
        <f>"9781846630699"</f>
        <v>9781846630699</v>
      </c>
      <c r="E2317" t="s">
        <v>1116</v>
      </c>
      <c r="F2317" t="s">
        <v>1117</v>
      </c>
      <c r="G2317" s="1">
        <v>38954</v>
      </c>
      <c r="H2317" s="1">
        <v>39044</v>
      </c>
      <c r="I2317" t="s">
        <v>12</v>
      </c>
      <c r="J2317" t="s">
        <v>13087</v>
      </c>
    </row>
    <row r="2318" spans="1:10" x14ac:dyDescent="0.25">
      <c r="A2318">
        <v>275490</v>
      </c>
      <c r="B2318" t="s">
        <v>2434</v>
      </c>
      <c r="C2318" t="str">
        <f>"9781846630880"</f>
        <v>9781846630880</v>
      </c>
      <c r="D2318" t="str">
        <f>"9781846630897"</f>
        <v>9781846630897</v>
      </c>
      <c r="E2318" t="s">
        <v>1116</v>
      </c>
      <c r="F2318" t="s">
        <v>1117</v>
      </c>
      <c r="G2318" s="1">
        <v>38975</v>
      </c>
      <c r="H2318" s="1">
        <v>39044</v>
      </c>
      <c r="I2318" t="s">
        <v>12</v>
      </c>
      <c r="J2318" t="s">
        <v>13088</v>
      </c>
    </row>
    <row r="2319" spans="1:10" x14ac:dyDescent="0.25">
      <c r="A2319">
        <v>275491</v>
      </c>
      <c r="B2319" t="s">
        <v>2435</v>
      </c>
      <c r="C2319" t="str">
        <f>"9781846631443"</f>
        <v>9781846631443</v>
      </c>
      <c r="D2319" t="str">
        <f>"9781846631450"</f>
        <v>9781846631450</v>
      </c>
      <c r="E2319" t="s">
        <v>1116</v>
      </c>
      <c r="F2319" t="s">
        <v>1117</v>
      </c>
      <c r="G2319" s="1">
        <v>38975</v>
      </c>
      <c r="H2319" s="1">
        <v>39044</v>
      </c>
      <c r="I2319" t="s">
        <v>12</v>
      </c>
      <c r="J2319" t="s">
        <v>13089</v>
      </c>
    </row>
    <row r="2320" spans="1:10" x14ac:dyDescent="0.25">
      <c r="A2320">
        <v>275496</v>
      </c>
      <c r="B2320" t="s">
        <v>2436</v>
      </c>
      <c r="C2320" t="str">
        <f>"9781846630804"</f>
        <v>9781846630804</v>
      </c>
      <c r="D2320" t="str">
        <f>"9781846630811"</f>
        <v>9781846630811</v>
      </c>
      <c r="E2320" t="s">
        <v>1116</v>
      </c>
      <c r="F2320" t="s">
        <v>1117</v>
      </c>
      <c r="G2320" s="1">
        <v>38933</v>
      </c>
      <c r="H2320" s="1">
        <v>39044</v>
      </c>
      <c r="I2320" t="s">
        <v>12</v>
      </c>
      <c r="J2320" t="s">
        <v>13090</v>
      </c>
    </row>
    <row r="2321" spans="1:10" x14ac:dyDescent="0.25">
      <c r="A2321">
        <v>275497</v>
      </c>
      <c r="B2321" t="s">
        <v>2437</v>
      </c>
      <c r="C2321" t="str">
        <f>"9781846630620"</f>
        <v>9781846630620</v>
      </c>
      <c r="D2321" t="str">
        <f>"9781846630637"</f>
        <v>9781846630637</v>
      </c>
      <c r="E2321" t="s">
        <v>1116</v>
      </c>
      <c r="F2321" t="s">
        <v>1117</v>
      </c>
      <c r="G2321" s="1">
        <v>38912</v>
      </c>
      <c r="H2321" s="1">
        <v>39044</v>
      </c>
      <c r="I2321" t="s">
        <v>12</v>
      </c>
      <c r="J2321" t="s">
        <v>13091</v>
      </c>
    </row>
    <row r="2322" spans="1:10" x14ac:dyDescent="0.25">
      <c r="A2322">
        <v>275498</v>
      </c>
      <c r="B2322" t="s">
        <v>2438</v>
      </c>
      <c r="C2322" t="str">
        <f>"9781846631344"</f>
        <v>9781846631344</v>
      </c>
      <c r="D2322" t="str">
        <f>"9781846631351"</f>
        <v>9781846631351</v>
      </c>
      <c r="E2322" t="s">
        <v>1116</v>
      </c>
      <c r="F2322" t="s">
        <v>1117</v>
      </c>
      <c r="G2322" s="1">
        <v>38968</v>
      </c>
      <c r="H2322" s="1">
        <v>39044</v>
      </c>
      <c r="I2322" t="s">
        <v>12</v>
      </c>
      <c r="J2322" t="s">
        <v>13092</v>
      </c>
    </row>
    <row r="2323" spans="1:10" x14ac:dyDescent="0.25">
      <c r="A2323">
        <v>275501</v>
      </c>
      <c r="B2323" t="s">
        <v>2439</v>
      </c>
      <c r="C2323" t="str">
        <f>"9781846631580"</f>
        <v>9781846631580</v>
      </c>
      <c r="D2323" t="str">
        <f>"9781846631597"</f>
        <v>9781846631597</v>
      </c>
      <c r="E2323" t="s">
        <v>1116</v>
      </c>
      <c r="F2323" t="s">
        <v>1117</v>
      </c>
      <c r="G2323" s="1">
        <v>38975</v>
      </c>
      <c r="H2323" s="1">
        <v>39044</v>
      </c>
      <c r="I2323" t="s">
        <v>12</v>
      </c>
      <c r="J2323" t="s">
        <v>13093</v>
      </c>
    </row>
    <row r="2324" spans="1:10" x14ac:dyDescent="0.25">
      <c r="A2324">
        <v>275502</v>
      </c>
      <c r="B2324" t="s">
        <v>2440</v>
      </c>
      <c r="C2324" t="str">
        <f>"9781846631665"</f>
        <v>9781846631665</v>
      </c>
      <c r="D2324" t="str">
        <f>"9781846631672"</f>
        <v>9781846631672</v>
      </c>
      <c r="E2324" t="s">
        <v>1116</v>
      </c>
      <c r="F2324" t="s">
        <v>1117</v>
      </c>
      <c r="G2324" s="1">
        <v>38933</v>
      </c>
      <c r="H2324" s="1">
        <v>39044</v>
      </c>
      <c r="I2324" t="s">
        <v>12</v>
      </c>
      <c r="J2324" t="s">
        <v>13094</v>
      </c>
    </row>
    <row r="2325" spans="1:10" x14ac:dyDescent="0.25">
      <c r="A2325">
        <v>275506</v>
      </c>
      <c r="B2325" t="s">
        <v>2441</v>
      </c>
      <c r="C2325" t="str">
        <f>"9781846631283"</f>
        <v>9781846631283</v>
      </c>
      <c r="D2325" t="str">
        <f>"9781846631290"</f>
        <v>9781846631290</v>
      </c>
      <c r="E2325" t="s">
        <v>1116</v>
      </c>
      <c r="F2325" t="s">
        <v>1117</v>
      </c>
      <c r="G2325" s="1">
        <v>38947</v>
      </c>
      <c r="H2325" s="1">
        <v>39044</v>
      </c>
      <c r="I2325" t="s">
        <v>12</v>
      </c>
      <c r="J2325" t="s">
        <v>13095</v>
      </c>
    </row>
    <row r="2326" spans="1:10" x14ac:dyDescent="0.25">
      <c r="A2326">
        <v>275508</v>
      </c>
      <c r="B2326" t="s">
        <v>2442</v>
      </c>
      <c r="C2326" t="str">
        <f>"9781846630606"</f>
        <v>9781846630606</v>
      </c>
      <c r="D2326" t="str">
        <f>"9781846630613"</f>
        <v>9781846630613</v>
      </c>
      <c r="E2326" t="s">
        <v>1116</v>
      </c>
      <c r="F2326" t="s">
        <v>1117</v>
      </c>
      <c r="G2326" s="1">
        <v>38912</v>
      </c>
      <c r="H2326" s="1">
        <v>39044</v>
      </c>
      <c r="I2326" t="s">
        <v>12</v>
      </c>
      <c r="J2326" t="s">
        <v>13096</v>
      </c>
    </row>
    <row r="2327" spans="1:10" x14ac:dyDescent="0.25">
      <c r="A2327">
        <v>275509</v>
      </c>
      <c r="B2327" t="s">
        <v>2443</v>
      </c>
      <c r="C2327" t="str">
        <f>"9781846631023"</f>
        <v>9781846631023</v>
      </c>
      <c r="D2327" t="str">
        <f>"9781846631030"</f>
        <v>9781846631030</v>
      </c>
      <c r="E2327" t="s">
        <v>1116</v>
      </c>
      <c r="F2327" t="s">
        <v>1117</v>
      </c>
      <c r="G2327" s="1">
        <v>38968</v>
      </c>
      <c r="H2327" s="1">
        <v>39044</v>
      </c>
      <c r="I2327" t="s">
        <v>12</v>
      </c>
      <c r="J2327" t="s">
        <v>13097</v>
      </c>
    </row>
    <row r="2328" spans="1:10" x14ac:dyDescent="0.25">
      <c r="A2328">
        <v>275511</v>
      </c>
      <c r="B2328" t="s">
        <v>2444</v>
      </c>
      <c r="C2328" t="str">
        <f>"9781846630422"</f>
        <v>9781846630422</v>
      </c>
      <c r="D2328" t="str">
        <f>"9781846630439"</f>
        <v>9781846630439</v>
      </c>
      <c r="E2328" t="s">
        <v>1116</v>
      </c>
      <c r="F2328" t="s">
        <v>1117</v>
      </c>
      <c r="G2328" s="1">
        <v>38940</v>
      </c>
      <c r="H2328" s="1">
        <v>39044</v>
      </c>
      <c r="I2328" t="s">
        <v>12</v>
      </c>
      <c r="J2328" t="s">
        <v>13098</v>
      </c>
    </row>
    <row r="2329" spans="1:10" x14ac:dyDescent="0.25">
      <c r="A2329">
        <v>275512</v>
      </c>
      <c r="B2329" t="s">
        <v>2445</v>
      </c>
      <c r="C2329" t="str">
        <f>"9781846630569"</f>
        <v>9781846630569</v>
      </c>
      <c r="D2329" t="str">
        <f>"9781846630576"</f>
        <v>9781846630576</v>
      </c>
      <c r="E2329" t="s">
        <v>1116</v>
      </c>
      <c r="F2329" t="s">
        <v>1117</v>
      </c>
      <c r="G2329" s="1">
        <v>38919</v>
      </c>
      <c r="H2329" s="1">
        <v>39044</v>
      </c>
      <c r="I2329" t="s">
        <v>12</v>
      </c>
      <c r="J2329" t="s">
        <v>13099</v>
      </c>
    </row>
    <row r="2330" spans="1:10" x14ac:dyDescent="0.25">
      <c r="A2330">
        <v>275514</v>
      </c>
      <c r="B2330" t="s">
        <v>2446</v>
      </c>
      <c r="C2330" t="str">
        <f>"9781846631047"</f>
        <v>9781846631047</v>
      </c>
      <c r="D2330" t="str">
        <f>"9781846631054"</f>
        <v>9781846631054</v>
      </c>
      <c r="E2330" t="s">
        <v>1116</v>
      </c>
      <c r="F2330" t="s">
        <v>1117</v>
      </c>
      <c r="G2330" s="1">
        <v>38989</v>
      </c>
      <c r="H2330" s="1">
        <v>39044</v>
      </c>
      <c r="I2330" t="s">
        <v>12</v>
      </c>
      <c r="J2330" t="s">
        <v>13100</v>
      </c>
    </row>
    <row r="2331" spans="1:10" x14ac:dyDescent="0.25">
      <c r="A2331">
        <v>275515</v>
      </c>
      <c r="B2331" t="s">
        <v>2447</v>
      </c>
      <c r="C2331" t="str">
        <f>"9781846631689"</f>
        <v>9781846631689</v>
      </c>
      <c r="D2331" t="str">
        <f>"9781846631696"</f>
        <v>9781846631696</v>
      </c>
      <c r="E2331" t="s">
        <v>1116</v>
      </c>
      <c r="F2331" t="s">
        <v>1117</v>
      </c>
      <c r="G2331" s="1">
        <v>38989</v>
      </c>
      <c r="H2331" s="1">
        <v>39044</v>
      </c>
      <c r="I2331" t="s">
        <v>12</v>
      </c>
      <c r="J2331" t="s">
        <v>13101</v>
      </c>
    </row>
    <row r="2332" spans="1:10" x14ac:dyDescent="0.25">
      <c r="A2332">
        <v>275517</v>
      </c>
      <c r="B2332" t="s">
        <v>2448</v>
      </c>
      <c r="C2332" t="str">
        <f>"9781846631900"</f>
        <v>9781846631900</v>
      </c>
      <c r="D2332" t="str">
        <f>"9781846631917"</f>
        <v>9781846631917</v>
      </c>
      <c r="E2332" t="s">
        <v>1116</v>
      </c>
      <c r="F2332" t="s">
        <v>1117</v>
      </c>
      <c r="G2332" s="1">
        <v>38989</v>
      </c>
      <c r="H2332" s="1">
        <v>39044</v>
      </c>
      <c r="I2332" t="s">
        <v>12</v>
      </c>
      <c r="J2332" t="s">
        <v>13102</v>
      </c>
    </row>
    <row r="2333" spans="1:10" x14ac:dyDescent="0.25">
      <c r="A2333">
        <v>275802</v>
      </c>
      <c r="B2333" t="s">
        <v>2449</v>
      </c>
      <c r="C2333" t="str">
        <f>"9780748618620"</f>
        <v>9780748618620</v>
      </c>
      <c r="D2333" t="str">
        <f>"9780748626267"</f>
        <v>9780748626267</v>
      </c>
      <c r="E2333" t="s">
        <v>1942</v>
      </c>
      <c r="F2333" t="s">
        <v>1942</v>
      </c>
      <c r="G2333" s="1">
        <v>38694</v>
      </c>
      <c r="H2333" s="1">
        <v>39051</v>
      </c>
      <c r="I2333" t="s">
        <v>12</v>
      </c>
      <c r="J2333" t="s">
        <v>13103</v>
      </c>
    </row>
    <row r="2334" spans="1:10" x14ac:dyDescent="0.25">
      <c r="A2334">
        <v>275804</v>
      </c>
      <c r="B2334" t="s">
        <v>2450</v>
      </c>
      <c r="C2334" t="str">
        <f>"9780748623808"</f>
        <v>9780748623808</v>
      </c>
      <c r="D2334" t="str">
        <f>"9780748626380"</f>
        <v>9780748626380</v>
      </c>
      <c r="E2334" t="s">
        <v>1942</v>
      </c>
      <c r="F2334" t="s">
        <v>1942</v>
      </c>
      <c r="G2334" s="1">
        <v>38722</v>
      </c>
      <c r="H2334" s="1">
        <v>39030</v>
      </c>
      <c r="I2334" t="s">
        <v>12</v>
      </c>
      <c r="J2334" t="s">
        <v>13104</v>
      </c>
    </row>
    <row r="2335" spans="1:10" x14ac:dyDescent="0.25">
      <c r="A2335">
        <v>275809</v>
      </c>
      <c r="B2335" t="s">
        <v>2451</v>
      </c>
      <c r="C2335" t="str">
        <f>"9780748623501"</f>
        <v>9780748623501</v>
      </c>
      <c r="D2335" t="str">
        <f>"9780748630080"</f>
        <v>9780748630080</v>
      </c>
      <c r="E2335" t="s">
        <v>1942</v>
      </c>
      <c r="F2335" t="s">
        <v>1942</v>
      </c>
      <c r="G2335" s="1">
        <v>38987</v>
      </c>
      <c r="H2335" s="1">
        <v>39030</v>
      </c>
      <c r="I2335" t="s">
        <v>12</v>
      </c>
      <c r="J2335" t="s">
        <v>13105</v>
      </c>
    </row>
    <row r="2336" spans="1:10" x14ac:dyDescent="0.25">
      <c r="A2336">
        <v>275811</v>
      </c>
      <c r="B2336" t="s">
        <v>2452</v>
      </c>
      <c r="C2336" t="str">
        <f>"9780748621057"</f>
        <v>9780748621057</v>
      </c>
      <c r="D2336" t="str">
        <f>"9780748629336"</f>
        <v>9780748629336</v>
      </c>
      <c r="E2336" t="s">
        <v>1942</v>
      </c>
      <c r="F2336" t="s">
        <v>1942</v>
      </c>
      <c r="G2336" s="1">
        <v>39017</v>
      </c>
      <c r="H2336" s="1">
        <v>39030</v>
      </c>
      <c r="I2336" t="s">
        <v>12</v>
      </c>
      <c r="J2336" t="s">
        <v>13106</v>
      </c>
    </row>
    <row r="2337" spans="1:10" x14ac:dyDescent="0.25">
      <c r="A2337">
        <v>278981</v>
      </c>
      <c r="B2337" t="s">
        <v>2453</v>
      </c>
      <c r="C2337" t="str">
        <f>"9781853599248"</f>
        <v>9781853599248</v>
      </c>
      <c r="D2337" t="str">
        <f>"9781853599255"</f>
        <v>9781853599255</v>
      </c>
      <c r="E2337" t="s">
        <v>886</v>
      </c>
      <c r="F2337" t="s">
        <v>887</v>
      </c>
      <c r="G2337" s="1">
        <v>39032</v>
      </c>
      <c r="H2337" s="1">
        <v>39066</v>
      </c>
      <c r="I2337" t="s">
        <v>12</v>
      </c>
      <c r="J2337" t="s">
        <v>13107</v>
      </c>
    </row>
    <row r="2338" spans="1:10" x14ac:dyDescent="0.25">
      <c r="A2338">
        <v>278982</v>
      </c>
      <c r="B2338" t="s">
        <v>2454</v>
      </c>
      <c r="C2338" t="str">
        <f>"9781845410537"</f>
        <v>9781845410537</v>
      </c>
      <c r="D2338" t="str">
        <f>"9781845410551"</f>
        <v>9781845410551</v>
      </c>
      <c r="E2338" t="s">
        <v>886</v>
      </c>
      <c r="F2338" t="s">
        <v>886</v>
      </c>
      <c r="G2338" s="1">
        <v>39031</v>
      </c>
      <c r="H2338" s="1">
        <v>39066</v>
      </c>
      <c r="I2338" t="s">
        <v>12</v>
      </c>
      <c r="J2338" t="s">
        <v>13108</v>
      </c>
    </row>
    <row r="2339" spans="1:10" x14ac:dyDescent="0.25">
      <c r="A2339">
        <v>279185</v>
      </c>
      <c r="B2339" t="s">
        <v>2455</v>
      </c>
      <c r="C2339" t="str">
        <f>"9780313311598"</f>
        <v>9780313311598</v>
      </c>
      <c r="D2339" t="str">
        <f>"9780313052620"</f>
        <v>9780313052620</v>
      </c>
      <c r="E2339" t="s">
        <v>2099</v>
      </c>
      <c r="F2339" t="s">
        <v>2099</v>
      </c>
      <c r="G2339" s="1">
        <v>37987</v>
      </c>
      <c r="H2339" s="1">
        <v>39099</v>
      </c>
      <c r="I2339" t="s">
        <v>12</v>
      </c>
      <c r="J2339" t="s">
        <v>13109</v>
      </c>
    </row>
    <row r="2340" spans="1:10" x14ac:dyDescent="0.25">
      <c r="A2340">
        <v>279191</v>
      </c>
      <c r="B2340" t="s">
        <v>2456</v>
      </c>
      <c r="C2340" t="str">
        <f>"9780313315558"</f>
        <v>9780313315558</v>
      </c>
      <c r="D2340" t="str">
        <f>"9780313078279"</f>
        <v>9780313078279</v>
      </c>
      <c r="E2340" t="s">
        <v>1951</v>
      </c>
      <c r="F2340" t="s">
        <v>2457</v>
      </c>
      <c r="G2340" s="1">
        <v>37710</v>
      </c>
      <c r="H2340" s="1">
        <v>39074</v>
      </c>
      <c r="I2340" t="s">
        <v>12</v>
      </c>
      <c r="J2340" t="s">
        <v>13110</v>
      </c>
    </row>
    <row r="2341" spans="1:10" x14ac:dyDescent="0.25">
      <c r="A2341">
        <v>279198</v>
      </c>
      <c r="B2341" t="s">
        <v>2458</v>
      </c>
      <c r="C2341" t="str">
        <f>"9781597490733"</f>
        <v>9781597490733</v>
      </c>
      <c r="D2341" t="str">
        <f>"9780080506012"</f>
        <v>9780080506012</v>
      </c>
      <c r="E2341" t="s">
        <v>2415</v>
      </c>
      <c r="F2341" t="s">
        <v>2416</v>
      </c>
      <c r="G2341" s="1">
        <v>39069</v>
      </c>
      <c r="H2341" s="1">
        <v>40084</v>
      </c>
      <c r="I2341" t="s">
        <v>12</v>
      </c>
      <c r="J2341" t="s">
        <v>13111</v>
      </c>
    </row>
    <row r="2342" spans="1:10" x14ac:dyDescent="0.25">
      <c r="A2342">
        <v>279321</v>
      </c>
      <c r="B2342" t="s">
        <v>2459</v>
      </c>
      <c r="C2342" t="str">
        <f>"9780521571760"</f>
        <v>9780521571760</v>
      </c>
      <c r="D2342" t="str">
        <f>"9780511255632"</f>
        <v>9780511255632</v>
      </c>
      <c r="E2342" t="s">
        <v>18</v>
      </c>
      <c r="F2342" t="s">
        <v>18</v>
      </c>
      <c r="G2342" s="1">
        <v>39037</v>
      </c>
      <c r="H2342" s="1">
        <v>39054</v>
      </c>
      <c r="I2342" t="s">
        <v>12</v>
      </c>
      <c r="J2342" t="s">
        <v>13112</v>
      </c>
    </row>
    <row r="2343" spans="1:10" x14ac:dyDescent="0.25">
      <c r="A2343">
        <v>279327</v>
      </c>
      <c r="B2343" t="s">
        <v>2460</v>
      </c>
      <c r="C2343" t="str">
        <f>"9780521834674"</f>
        <v>9780521834674</v>
      </c>
      <c r="D2343" t="str">
        <f>"9780511255823"</f>
        <v>9780511255823</v>
      </c>
      <c r="E2343" t="s">
        <v>18</v>
      </c>
      <c r="F2343" t="s">
        <v>18</v>
      </c>
      <c r="G2343" s="1">
        <v>39041</v>
      </c>
      <c r="H2343" s="1">
        <v>39054</v>
      </c>
      <c r="I2343" t="s">
        <v>12</v>
      </c>
      <c r="J2343" t="s">
        <v>13113</v>
      </c>
    </row>
    <row r="2344" spans="1:10" x14ac:dyDescent="0.25">
      <c r="A2344">
        <v>279329</v>
      </c>
      <c r="B2344" t="s">
        <v>2461</v>
      </c>
      <c r="C2344" t="str">
        <f>"9780521839341"</f>
        <v>9780521839341</v>
      </c>
      <c r="D2344" t="str">
        <f>"9780511255847"</f>
        <v>9780511255847</v>
      </c>
      <c r="E2344" t="s">
        <v>18</v>
      </c>
      <c r="F2344" t="s">
        <v>18</v>
      </c>
      <c r="G2344" s="1">
        <v>39051</v>
      </c>
      <c r="H2344" s="1">
        <v>39054</v>
      </c>
      <c r="I2344" t="s">
        <v>12</v>
      </c>
      <c r="J2344" t="s">
        <v>13114</v>
      </c>
    </row>
    <row r="2345" spans="1:10" x14ac:dyDescent="0.25">
      <c r="A2345">
        <v>279338</v>
      </c>
      <c r="B2345" t="s">
        <v>2462</v>
      </c>
      <c r="C2345" t="str">
        <f>"9780521858915"</f>
        <v>9780521858915</v>
      </c>
      <c r="D2345" t="str">
        <f>"9780511255922"</f>
        <v>9780511255922</v>
      </c>
      <c r="E2345" t="s">
        <v>18</v>
      </c>
      <c r="F2345" t="s">
        <v>18</v>
      </c>
      <c r="G2345" s="1">
        <v>38961</v>
      </c>
      <c r="H2345" s="1">
        <v>39054</v>
      </c>
      <c r="I2345" t="s">
        <v>12</v>
      </c>
      <c r="J2345" t="s">
        <v>13115</v>
      </c>
    </row>
    <row r="2346" spans="1:10" x14ac:dyDescent="0.25">
      <c r="A2346">
        <v>279348</v>
      </c>
      <c r="B2346" t="s">
        <v>2463</v>
      </c>
      <c r="C2346" t="str">
        <f>"9780521864862"</f>
        <v>9780521864862</v>
      </c>
      <c r="D2346" t="str">
        <f>"9780511256028"</f>
        <v>9780511256028</v>
      </c>
      <c r="E2346" t="s">
        <v>18</v>
      </c>
      <c r="F2346" t="s">
        <v>18</v>
      </c>
      <c r="G2346" s="1">
        <v>39037</v>
      </c>
      <c r="H2346" s="1">
        <v>39054</v>
      </c>
      <c r="I2346" t="s">
        <v>12</v>
      </c>
      <c r="J2346" t="s">
        <v>13116</v>
      </c>
    </row>
    <row r="2347" spans="1:10" x14ac:dyDescent="0.25">
      <c r="A2347">
        <v>279485</v>
      </c>
      <c r="B2347" t="s">
        <v>2464</v>
      </c>
      <c r="C2347" t="str">
        <f>"9780195145403"</f>
        <v>9780195145403</v>
      </c>
      <c r="D2347" t="str">
        <f>"9780198033257"</f>
        <v>9780198033257</v>
      </c>
      <c r="E2347" t="s">
        <v>1270</v>
      </c>
      <c r="F2347" t="s">
        <v>1270</v>
      </c>
      <c r="G2347" s="1">
        <v>38540</v>
      </c>
      <c r="H2347" s="1">
        <v>39052</v>
      </c>
      <c r="I2347" t="s">
        <v>12</v>
      </c>
      <c r="J2347" t="s">
        <v>13117</v>
      </c>
    </row>
    <row r="2348" spans="1:10" x14ac:dyDescent="0.25">
      <c r="A2348">
        <v>279491</v>
      </c>
      <c r="B2348" t="s">
        <v>2465</v>
      </c>
      <c r="C2348" t="str">
        <f>"9780195148558"</f>
        <v>9780195148558</v>
      </c>
      <c r="D2348" t="str">
        <f>"9781602567511"</f>
        <v>9781602567511</v>
      </c>
      <c r="E2348" t="s">
        <v>1133</v>
      </c>
      <c r="F2348" t="s">
        <v>1273</v>
      </c>
      <c r="G2348" s="1">
        <v>37257</v>
      </c>
      <c r="H2348" s="1">
        <v>39052</v>
      </c>
      <c r="I2348" t="s">
        <v>12</v>
      </c>
      <c r="J2348" t="s">
        <v>13118</v>
      </c>
    </row>
    <row r="2349" spans="1:10" x14ac:dyDescent="0.25">
      <c r="A2349">
        <v>279502</v>
      </c>
      <c r="B2349" t="s">
        <v>2466</v>
      </c>
      <c r="C2349" t="str">
        <f>"9780195141344"</f>
        <v>9780195141344</v>
      </c>
      <c r="D2349" t="str">
        <f>"9780198032410"</f>
        <v>9780198032410</v>
      </c>
      <c r="E2349" t="s">
        <v>1270</v>
      </c>
      <c r="F2349" t="s">
        <v>1270</v>
      </c>
      <c r="G2349" s="1">
        <v>37637</v>
      </c>
      <c r="H2349" s="1">
        <v>39052</v>
      </c>
      <c r="I2349" t="s">
        <v>12</v>
      </c>
      <c r="J2349" t="s">
        <v>13119</v>
      </c>
    </row>
    <row r="2350" spans="1:10" x14ac:dyDescent="0.25">
      <c r="A2350">
        <v>279550</v>
      </c>
      <c r="B2350" t="s">
        <v>2467</v>
      </c>
      <c r="C2350" t="str">
        <f>"9780195168396"</f>
        <v>9780195168396</v>
      </c>
      <c r="D2350" t="str">
        <f>"9780198037668"</f>
        <v>9780198037668</v>
      </c>
      <c r="E2350" t="s">
        <v>1268</v>
      </c>
      <c r="F2350" t="s">
        <v>1268</v>
      </c>
      <c r="G2350" s="1">
        <v>39065</v>
      </c>
      <c r="H2350" s="1">
        <v>39069</v>
      </c>
      <c r="I2350" t="s">
        <v>12</v>
      </c>
      <c r="J2350" t="s">
        <v>13120</v>
      </c>
    </row>
    <row r="2351" spans="1:10" x14ac:dyDescent="0.25">
      <c r="A2351">
        <v>279556</v>
      </c>
      <c r="B2351" t="s">
        <v>2468</v>
      </c>
      <c r="C2351" t="str">
        <f>"9780195159240"</f>
        <v>9780195159240</v>
      </c>
      <c r="D2351" t="str">
        <f>"9781602568167"</f>
        <v>9781602568167</v>
      </c>
      <c r="E2351" t="s">
        <v>1270</v>
      </c>
      <c r="F2351" t="s">
        <v>1270</v>
      </c>
      <c r="G2351" s="1">
        <v>37784</v>
      </c>
      <c r="H2351" s="1">
        <v>39052</v>
      </c>
      <c r="I2351" t="s">
        <v>12</v>
      </c>
      <c r="J2351" t="s">
        <v>13121</v>
      </c>
    </row>
    <row r="2352" spans="1:10" x14ac:dyDescent="0.25">
      <c r="A2352">
        <v>279575</v>
      </c>
      <c r="B2352" t="s">
        <v>2469</v>
      </c>
      <c r="C2352" t="str">
        <f>"9780195160161"</f>
        <v>9780195160161</v>
      </c>
      <c r="D2352" t="str">
        <f>"9781602568358"</f>
        <v>9781602568358</v>
      </c>
      <c r="E2352" t="s">
        <v>1133</v>
      </c>
      <c r="F2352" t="s">
        <v>1273</v>
      </c>
      <c r="G2352" s="1">
        <v>37987</v>
      </c>
      <c r="H2352" s="1">
        <v>39052</v>
      </c>
      <c r="I2352" t="s">
        <v>12</v>
      </c>
      <c r="J2352" t="s">
        <v>13122</v>
      </c>
    </row>
    <row r="2353" spans="1:10" x14ac:dyDescent="0.25">
      <c r="A2353">
        <v>279666</v>
      </c>
      <c r="B2353" t="s">
        <v>2470</v>
      </c>
      <c r="C2353" t="str">
        <f>"9780195141610"</f>
        <v>9780195141610</v>
      </c>
      <c r="D2353" t="str">
        <f>"9781602569263"</f>
        <v>9781602569263</v>
      </c>
      <c r="E2353" t="s">
        <v>1133</v>
      </c>
      <c r="F2353" t="s">
        <v>1273</v>
      </c>
      <c r="G2353" s="1">
        <v>37987</v>
      </c>
      <c r="H2353" s="1">
        <v>39052</v>
      </c>
      <c r="I2353" t="s">
        <v>12</v>
      </c>
      <c r="J2353" t="s">
        <v>13123</v>
      </c>
    </row>
    <row r="2354" spans="1:10" x14ac:dyDescent="0.25">
      <c r="A2354">
        <v>279697</v>
      </c>
      <c r="B2354" t="s">
        <v>2471</v>
      </c>
      <c r="C2354" t="str">
        <f>"9780195156508"</f>
        <v>9780195156508</v>
      </c>
      <c r="D2354" t="str">
        <f>"9781602569577"</f>
        <v>9781602569577</v>
      </c>
      <c r="E2354" t="s">
        <v>1270</v>
      </c>
      <c r="F2354" t="s">
        <v>1273</v>
      </c>
      <c r="G2354" s="1">
        <v>38353</v>
      </c>
      <c r="H2354" s="1">
        <v>39052</v>
      </c>
      <c r="I2354" t="s">
        <v>12</v>
      </c>
      <c r="J2354" t="s">
        <v>13124</v>
      </c>
    </row>
    <row r="2355" spans="1:10" x14ac:dyDescent="0.25">
      <c r="A2355">
        <v>279708</v>
      </c>
      <c r="B2355" t="s">
        <v>2472</v>
      </c>
      <c r="C2355" t="str">
        <f>"9780195138627"</f>
        <v>9780195138627</v>
      </c>
      <c r="D2355" t="str">
        <f>"9780199728077"</f>
        <v>9780199728077</v>
      </c>
      <c r="E2355" t="s">
        <v>1270</v>
      </c>
      <c r="F2355" t="s">
        <v>1270</v>
      </c>
      <c r="G2355" s="1">
        <v>36832</v>
      </c>
      <c r="H2355" s="1">
        <v>39052</v>
      </c>
      <c r="I2355" t="s">
        <v>12</v>
      </c>
      <c r="J2355" t="s">
        <v>13125</v>
      </c>
    </row>
    <row r="2356" spans="1:10" x14ac:dyDescent="0.25">
      <c r="A2356">
        <v>279725</v>
      </c>
      <c r="B2356" t="s">
        <v>2473</v>
      </c>
      <c r="C2356" t="str">
        <f>"9780195162035"</f>
        <v>9780195162035</v>
      </c>
      <c r="D2356" t="str">
        <f>"9780198036685"</f>
        <v>9780198036685</v>
      </c>
      <c r="E2356" t="s">
        <v>1270</v>
      </c>
      <c r="F2356" t="s">
        <v>1270</v>
      </c>
      <c r="G2356" s="1">
        <v>38596</v>
      </c>
      <c r="H2356" s="1">
        <v>39066</v>
      </c>
      <c r="I2356" t="s">
        <v>12</v>
      </c>
      <c r="J2356" t="s">
        <v>13126</v>
      </c>
    </row>
    <row r="2357" spans="1:10" x14ac:dyDescent="0.25">
      <c r="A2357">
        <v>279738</v>
      </c>
      <c r="B2357" t="s">
        <v>2474</v>
      </c>
      <c r="C2357" t="str">
        <f>"9780195142815"</f>
        <v>9780195142815</v>
      </c>
      <c r="D2357" t="str">
        <f>"9780199729043"</f>
        <v>9780199729043</v>
      </c>
      <c r="E2357" t="s">
        <v>1270</v>
      </c>
      <c r="F2357" t="s">
        <v>1270</v>
      </c>
      <c r="G2357" s="1">
        <v>38505</v>
      </c>
      <c r="H2357" s="1">
        <v>39052</v>
      </c>
      <c r="I2357" t="s">
        <v>12</v>
      </c>
      <c r="J2357" t="s">
        <v>13127</v>
      </c>
    </row>
    <row r="2358" spans="1:10" x14ac:dyDescent="0.25">
      <c r="A2358">
        <v>279755</v>
      </c>
      <c r="B2358" t="s">
        <v>2475</v>
      </c>
      <c r="C2358" t="str">
        <f>"9780195136180"</f>
        <v>9780195136180</v>
      </c>
      <c r="D2358" t="str">
        <f>"9781433700224"</f>
        <v>9781433700224</v>
      </c>
      <c r="E2358" t="s">
        <v>1133</v>
      </c>
      <c r="F2358" t="s">
        <v>1273</v>
      </c>
      <c r="G2358" s="1">
        <v>36892</v>
      </c>
      <c r="H2358" s="1">
        <v>39069</v>
      </c>
      <c r="I2358" t="s">
        <v>12</v>
      </c>
      <c r="J2358" t="s">
        <v>13128</v>
      </c>
    </row>
    <row r="2359" spans="1:10" x14ac:dyDescent="0.25">
      <c r="A2359">
        <v>279769</v>
      </c>
      <c r="B2359" t="s">
        <v>2476</v>
      </c>
      <c r="C2359" t="str">
        <f>"9780195151343"</f>
        <v>9780195151343</v>
      </c>
      <c r="D2359" t="str">
        <f>"9780199729142"</f>
        <v>9780199729142</v>
      </c>
      <c r="E2359" t="s">
        <v>1270</v>
      </c>
      <c r="F2359" t="s">
        <v>1270</v>
      </c>
      <c r="G2359" s="1">
        <v>38015</v>
      </c>
      <c r="H2359" s="1">
        <v>39067</v>
      </c>
      <c r="I2359" t="s">
        <v>12</v>
      </c>
      <c r="J2359" t="s">
        <v>13129</v>
      </c>
    </row>
    <row r="2360" spans="1:10" x14ac:dyDescent="0.25">
      <c r="A2360">
        <v>279774</v>
      </c>
      <c r="B2360" t="s">
        <v>2477</v>
      </c>
      <c r="C2360" t="str">
        <f>"9780195169133"</f>
        <v>9780195169133</v>
      </c>
      <c r="D2360" t="str">
        <f>"9780198037811"</f>
        <v>9780198037811</v>
      </c>
      <c r="E2360" t="s">
        <v>1133</v>
      </c>
      <c r="F2360" t="s">
        <v>1273</v>
      </c>
      <c r="G2360" s="1">
        <v>37987</v>
      </c>
      <c r="H2360" s="1">
        <v>39067</v>
      </c>
      <c r="I2360" t="s">
        <v>12</v>
      </c>
      <c r="J2360" t="s">
        <v>13130</v>
      </c>
    </row>
    <row r="2361" spans="1:10" x14ac:dyDescent="0.25">
      <c r="A2361">
        <v>279810</v>
      </c>
      <c r="B2361" t="s">
        <v>2478</v>
      </c>
      <c r="C2361" t="str">
        <f>"9780195143218"</f>
        <v>9780195143218</v>
      </c>
      <c r="D2361" t="str">
        <f>"9780198032717"</f>
        <v>9780198032717</v>
      </c>
      <c r="E2361" t="s">
        <v>1270</v>
      </c>
      <c r="F2361" t="s">
        <v>1270</v>
      </c>
      <c r="G2361" s="1">
        <v>37196</v>
      </c>
      <c r="H2361" s="1">
        <v>39069</v>
      </c>
      <c r="I2361" t="s">
        <v>12</v>
      </c>
      <c r="J2361" t="s">
        <v>13131</v>
      </c>
    </row>
    <row r="2362" spans="1:10" x14ac:dyDescent="0.25">
      <c r="A2362">
        <v>279822</v>
      </c>
      <c r="B2362" t="s">
        <v>2479</v>
      </c>
      <c r="C2362" t="str">
        <f>"9780195136975"</f>
        <v>9780195136975</v>
      </c>
      <c r="D2362" t="str">
        <f>"9781433700897"</f>
        <v>9781433700897</v>
      </c>
      <c r="E2362" t="s">
        <v>1133</v>
      </c>
      <c r="F2362" t="s">
        <v>1273</v>
      </c>
      <c r="G2362" s="1">
        <v>37987</v>
      </c>
      <c r="H2362" s="1">
        <v>39069</v>
      </c>
      <c r="I2362" t="s">
        <v>12</v>
      </c>
      <c r="J2362" t="s">
        <v>13132</v>
      </c>
    </row>
    <row r="2363" spans="1:10" x14ac:dyDescent="0.25">
      <c r="A2363">
        <v>280129</v>
      </c>
      <c r="B2363" t="s">
        <v>2480</v>
      </c>
      <c r="C2363" t="str">
        <f>"9780520258099"</f>
        <v>9780520258099</v>
      </c>
      <c r="D2363" t="str">
        <f>"9780520932173"</f>
        <v>9780520932173</v>
      </c>
      <c r="E2363" t="s">
        <v>2000</v>
      </c>
      <c r="F2363" t="s">
        <v>2000</v>
      </c>
      <c r="G2363" s="1">
        <v>39093</v>
      </c>
      <c r="H2363" s="1">
        <v>40169</v>
      </c>
      <c r="I2363" t="s">
        <v>12</v>
      </c>
      <c r="J2363" t="s">
        <v>13133</v>
      </c>
    </row>
    <row r="2364" spans="1:10" x14ac:dyDescent="0.25">
      <c r="A2364">
        <v>280146</v>
      </c>
      <c r="B2364" t="s">
        <v>2481</v>
      </c>
      <c r="C2364" t="str">
        <f>"9783110173574"</f>
        <v>9783110173574</v>
      </c>
      <c r="D2364" t="str">
        <f>"9783110199857"</f>
        <v>9783110199857</v>
      </c>
      <c r="E2364" t="s">
        <v>2482</v>
      </c>
      <c r="F2364" t="s">
        <v>2483</v>
      </c>
      <c r="G2364" s="1">
        <v>38040</v>
      </c>
      <c r="H2364" s="1">
        <v>41395</v>
      </c>
      <c r="I2364" t="s">
        <v>12</v>
      </c>
      <c r="J2364" t="s">
        <v>13134</v>
      </c>
    </row>
    <row r="2365" spans="1:10" x14ac:dyDescent="0.25">
      <c r="A2365">
        <v>280149</v>
      </c>
      <c r="B2365" t="s">
        <v>2484</v>
      </c>
      <c r="C2365" t="str">
        <f>"9783110177114"</f>
        <v>9783110177114</v>
      </c>
      <c r="D2365" t="str">
        <f>"9783110199864"</f>
        <v>9783110199864</v>
      </c>
      <c r="E2365" t="s">
        <v>2482</v>
      </c>
      <c r="F2365" t="s">
        <v>2483</v>
      </c>
      <c r="G2365" s="1">
        <v>38791</v>
      </c>
      <c r="H2365" s="1">
        <v>39084</v>
      </c>
      <c r="I2365" t="s">
        <v>12</v>
      </c>
      <c r="J2365" t="s">
        <v>13135</v>
      </c>
    </row>
    <row r="2366" spans="1:10" x14ac:dyDescent="0.25">
      <c r="A2366">
        <v>280185</v>
      </c>
      <c r="B2366" t="s">
        <v>2485</v>
      </c>
      <c r="C2366" t="str">
        <f>"9783110185294"</f>
        <v>9783110185294</v>
      </c>
      <c r="D2366" t="str">
        <f>"9783110199635"</f>
        <v>9783110199635</v>
      </c>
      <c r="E2366" t="s">
        <v>2482</v>
      </c>
      <c r="F2366" t="s">
        <v>2482</v>
      </c>
      <c r="G2366" s="1">
        <v>38642</v>
      </c>
      <c r="H2366" s="1">
        <v>39084</v>
      </c>
      <c r="I2366" t="s">
        <v>12</v>
      </c>
      <c r="J2366" t="s">
        <v>13136</v>
      </c>
    </row>
    <row r="2367" spans="1:10" x14ac:dyDescent="0.25">
      <c r="A2367">
        <v>280193</v>
      </c>
      <c r="B2367" t="s">
        <v>2486</v>
      </c>
      <c r="C2367" t="str">
        <f>"9783110185898"</f>
        <v>9783110185898</v>
      </c>
      <c r="D2367" t="str">
        <f>"9783110199888"</f>
        <v>9783110199888</v>
      </c>
      <c r="E2367" t="s">
        <v>2482</v>
      </c>
      <c r="F2367" t="s">
        <v>2483</v>
      </c>
      <c r="G2367" s="1">
        <v>38950</v>
      </c>
      <c r="H2367" s="1">
        <v>39084</v>
      </c>
      <c r="I2367" t="s">
        <v>12</v>
      </c>
      <c r="J2367" t="s">
        <v>13137</v>
      </c>
    </row>
    <row r="2368" spans="1:10" x14ac:dyDescent="0.25">
      <c r="A2368">
        <v>280202</v>
      </c>
      <c r="B2368" t="s">
        <v>2487</v>
      </c>
      <c r="C2368" t="str">
        <f>"9783110189339"</f>
        <v>9783110189339</v>
      </c>
      <c r="D2368" t="str">
        <f>"9783110199970"</f>
        <v>9783110199970</v>
      </c>
      <c r="E2368" t="s">
        <v>2482</v>
      </c>
      <c r="F2368" t="s">
        <v>2482</v>
      </c>
      <c r="G2368" s="1">
        <v>38951</v>
      </c>
      <c r="H2368" s="1">
        <v>39084</v>
      </c>
      <c r="I2368" t="s">
        <v>12</v>
      </c>
      <c r="J2368" t="s">
        <v>13138</v>
      </c>
    </row>
    <row r="2369" spans="1:10" x14ac:dyDescent="0.25">
      <c r="A2369">
        <v>280213</v>
      </c>
      <c r="B2369" t="s">
        <v>2488</v>
      </c>
      <c r="C2369" t="str">
        <f>"9783110190847"</f>
        <v>9783110190847</v>
      </c>
      <c r="D2369" t="str">
        <f>"9783110199901"</f>
        <v>9783110199901</v>
      </c>
      <c r="E2369" t="s">
        <v>2482</v>
      </c>
      <c r="F2369" t="s">
        <v>2483</v>
      </c>
      <c r="G2369" s="1">
        <v>38979</v>
      </c>
      <c r="H2369" s="1">
        <v>39084</v>
      </c>
      <c r="I2369" t="s">
        <v>12</v>
      </c>
      <c r="J2369" t="s">
        <v>13139</v>
      </c>
    </row>
    <row r="2370" spans="1:10" x14ac:dyDescent="0.25">
      <c r="A2370">
        <v>280217</v>
      </c>
      <c r="B2370" t="s">
        <v>2489</v>
      </c>
      <c r="C2370" t="str">
        <f>"9781597491181"</f>
        <v>9781597491181</v>
      </c>
      <c r="D2370" t="str">
        <f>"9780080502847"</f>
        <v>9780080502847</v>
      </c>
      <c r="E2370" t="s">
        <v>2415</v>
      </c>
      <c r="F2370" t="s">
        <v>2416</v>
      </c>
      <c r="G2370" s="1">
        <v>39059</v>
      </c>
      <c r="H2370" s="1">
        <v>40084</v>
      </c>
      <c r="I2370" t="s">
        <v>12</v>
      </c>
      <c r="J2370" t="s">
        <v>13140</v>
      </c>
    </row>
    <row r="2371" spans="1:10" x14ac:dyDescent="0.25">
      <c r="A2371">
        <v>280218</v>
      </c>
      <c r="B2371" t="s">
        <v>2490</v>
      </c>
      <c r="C2371" t="str">
        <f>"9781597490559"</f>
        <v>9781597490559</v>
      </c>
      <c r="D2371" t="str">
        <f>"9780080488875"</f>
        <v>9780080488875</v>
      </c>
      <c r="E2371" t="s">
        <v>2415</v>
      </c>
      <c r="F2371" t="s">
        <v>2416</v>
      </c>
      <c r="G2371" s="1">
        <v>39064</v>
      </c>
      <c r="H2371" s="1">
        <v>40084</v>
      </c>
      <c r="I2371" t="s">
        <v>12</v>
      </c>
      <c r="J2371" t="s">
        <v>13141</v>
      </c>
    </row>
    <row r="2372" spans="1:10" x14ac:dyDescent="0.25">
      <c r="A2372">
        <v>280293</v>
      </c>
      <c r="B2372" t="s">
        <v>2491</v>
      </c>
      <c r="C2372" t="str">
        <f>"9781416604723"</f>
        <v>9781416604723</v>
      </c>
      <c r="D2372" t="str">
        <f>"9781416605614"</f>
        <v>9781416605614</v>
      </c>
      <c r="E2372" t="s">
        <v>2492</v>
      </c>
      <c r="F2372" t="s">
        <v>2492</v>
      </c>
      <c r="G2372" s="1">
        <v>38930</v>
      </c>
      <c r="H2372" s="1">
        <v>40257</v>
      </c>
      <c r="I2372" t="s">
        <v>12</v>
      </c>
      <c r="J2372" t="s">
        <v>13142</v>
      </c>
    </row>
    <row r="2373" spans="1:10" x14ac:dyDescent="0.25">
      <c r="A2373">
        <v>280297</v>
      </c>
      <c r="B2373" t="s">
        <v>2493</v>
      </c>
      <c r="C2373" t="str">
        <f>"9780871206657"</f>
        <v>9780871206657</v>
      </c>
      <c r="D2373" t="str">
        <f>"9781416602637"</f>
        <v>9781416602637</v>
      </c>
      <c r="E2373" t="s">
        <v>2492</v>
      </c>
      <c r="F2373" t="s">
        <v>2494</v>
      </c>
      <c r="G2373" s="1">
        <v>37483</v>
      </c>
      <c r="H2373" s="1">
        <v>39063</v>
      </c>
      <c r="I2373" t="s">
        <v>12</v>
      </c>
      <c r="J2373" t="s">
        <v>13143</v>
      </c>
    </row>
    <row r="2374" spans="1:10" x14ac:dyDescent="0.25">
      <c r="A2374">
        <v>280302</v>
      </c>
      <c r="B2374" t="s">
        <v>2495</v>
      </c>
      <c r="C2374" t="str">
        <f>"9780871205049"</f>
        <v>9780871205049</v>
      </c>
      <c r="D2374" t="str">
        <f>"9781416600787"</f>
        <v>9781416600787</v>
      </c>
      <c r="E2374" t="s">
        <v>2492</v>
      </c>
      <c r="F2374" t="s">
        <v>2494</v>
      </c>
      <c r="G2374" s="1">
        <v>36906</v>
      </c>
      <c r="H2374" s="1">
        <v>39073</v>
      </c>
      <c r="I2374" t="s">
        <v>12</v>
      </c>
      <c r="J2374" t="s">
        <v>13144</v>
      </c>
    </row>
    <row r="2375" spans="1:10" x14ac:dyDescent="0.25">
      <c r="A2375">
        <v>280314</v>
      </c>
      <c r="B2375" t="s">
        <v>2496</v>
      </c>
      <c r="C2375" t="str">
        <f>"9780871205209"</f>
        <v>9780871205209</v>
      </c>
      <c r="D2375" t="str">
        <f>"9781416604983"</f>
        <v>9781416604983</v>
      </c>
      <c r="E2375" t="s">
        <v>2492</v>
      </c>
      <c r="F2375" t="s">
        <v>2492</v>
      </c>
      <c r="G2375" s="1">
        <v>37165</v>
      </c>
      <c r="H2375" s="1">
        <v>39065</v>
      </c>
      <c r="I2375" t="s">
        <v>12</v>
      </c>
      <c r="J2375" t="s">
        <v>13145</v>
      </c>
    </row>
    <row r="2376" spans="1:10" x14ac:dyDescent="0.25">
      <c r="A2376">
        <v>280317</v>
      </c>
      <c r="B2376" t="s">
        <v>2497</v>
      </c>
      <c r="C2376" t="str">
        <f>"9780871206558"</f>
        <v>9780871206558</v>
      </c>
      <c r="D2376" t="str">
        <f>"9781416600862"</f>
        <v>9781416600862</v>
      </c>
      <c r="E2376" t="s">
        <v>2492</v>
      </c>
      <c r="F2376" t="s">
        <v>2492</v>
      </c>
      <c r="G2376" s="1">
        <v>37622</v>
      </c>
      <c r="H2376" s="1">
        <v>39065</v>
      </c>
      <c r="I2376" t="s">
        <v>12</v>
      </c>
      <c r="J2376" t="s">
        <v>13146</v>
      </c>
    </row>
    <row r="2377" spans="1:10" x14ac:dyDescent="0.25">
      <c r="A2377">
        <v>280318</v>
      </c>
      <c r="B2377" t="s">
        <v>2498</v>
      </c>
      <c r="C2377" t="str">
        <f>"9781416600503"</f>
        <v>9781416600503</v>
      </c>
      <c r="D2377" t="str">
        <f>"9781416603177"</f>
        <v>9781416603177</v>
      </c>
      <c r="E2377" t="s">
        <v>2492</v>
      </c>
      <c r="F2377" t="s">
        <v>2492</v>
      </c>
      <c r="G2377" s="1">
        <v>38565</v>
      </c>
      <c r="H2377" s="1">
        <v>39073</v>
      </c>
      <c r="I2377" t="s">
        <v>12</v>
      </c>
      <c r="J2377" t="s">
        <v>13147</v>
      </c>
    </row>
    <row r="2378" spans="1:10" x14ac:dyDescent="0.25">
      <c r="A2378">
        <v>280349</v>
      </c>
      <c r="B2378" t="s">
        <v>2499</v>
      </c>
      <c r="C2378" t="str">
        <f>"9780871202352"</f>
        <v>9780871202352</v>
      </c>
      <c r="D2378" t="str">
        <f>"9781416604877"</f>
        <v>9781416604877</v>
      </c>
      <c r="E2378" t="s">
        <v>2492</v>
      </c>
      <c r="F2378" t="s">
        <v>2492</v>
      </c>
      <c r="G2378" s="1">
        <v>34608</v>
      </c>
      <c r="H2378" s="1">
        <v>39070</v>
      </c>
      <c r="I2378" t="s">
        <v>12</v>
      </c>
      <c r="J2378" t="s">
        <v>13148</v>
      </c>
    </row>
    <row r="2379" spans="1:10" x14ac:dyDescent="0.25">
      <c r="A2379">
        <v>280351</v>
      </c>
      <c r="B2379" t="s">
        <v>2500</v>
      </c>
      <c r="C2379" t="str">
        <f>"9781416600312"</f>
        <v>9781416600312</v>
      </c>
      <c r="D2379" t="str">
        <f>"9781416601852"</f>
        <v>9781416601852</v>
      </c>
      <c r="E2379" t="s">
        <v>2492</v>
      </c>
      <c r="F2379" t="s">
        <v>2492</v>
      </c>
      <c r="G2379" s="1">
        <v>38353</v>
      </c>
      <c r="H2379" s="1">
        <v>39065</v>
      </c>
      <c r="I2379" t="s">
        <v>12</v>
      </c>
      <c r="J2379" t="s">
        <v>13149</v>
      </c>
    </row>
    <row r="2380" spans="1:10" x14ac:dyDescent="0.25">
      <c r="A2380">
        <v>280355</v>
      </c>
      <c r="B2380" t="s">
        <v>2501</v>
      </c>
      <c r="C2380" t="str">
        <f>"9781416600206"</f>
        <v>9781416600206</v>
      </c>
      <c r="D2380" t="str">
        <f>"9781416601616"</f>
        <v>9781416601616</v>
      </c>
      <c r="E2380" t="s">
        <v>2492</v>
      </c>
      <c r="F2380" t="s">
        <v>2494</v>
      </c>
      <c r="G2380" s="1">
        <v>38336</v>
      </c>
      <c r="H2380" s="1">
        <v>39065</v>
      </c>
      <c r="I2380" t="s">
        <v>12</v>
      </c>
      <c r="J2380" t="s">
        <v>13150</v>
      </c>
    </row>
    <row r="2381" spans="1:10" x14ac:dyDescent="0.25">
      <c r="A2381">
        <v>280358</v>
      </c>
      <c r="B2381" t="s">
        <v>2502</v>
      </c>
      <c r="C2381" t="str">
        <f>"9781416601555"</f>
        <v>9781416601555</v>
      </c>
      <c r="D2381" t="str">
        <f>"9781416605164"</f>
        <v>9781416605164</v>
      </c>
      <c r="E2381" t="s">
        <v>2492</v>
      </c>
      <c r="F2381" t="s">
        <v>2492</v>
      </c>
      <c r="G2381" s="1">
        <v>38899</v>
      </c>
      <c r="H2381" s="1">
        <v>39065</v>
      </c>
      <c r="I2381" t="s">
        <v>12</v>
      </c>
      <c r="J2381" t="s">
        <v>13151</v>
      </c>
    </row>
    <row r="2382" spans="1:10" x14ac:dyDescent="0.25">
      <c r="A2382">
        <v>280365</v>
      </c>
      <c r="B2382" t="s">
        <v>2503</v>
      </c>
      <c r="C2382" t="str">
        <f>"9781416602859"</f>
        <v>9781416602859</v>
      </c>
      <c r="D2382" t="str">
        <f>"9781416605133"</f>
        <v>9781416605133</v>
      </c>
      <c r="E2382" t="s">
        <v>2492</v>
      </c>
      <c r="F2382" t="s">
        <v>2494</v>
      </c>
      <c r="G2382" s="1">
        <v>38852</v>
      </c>
      <c r="H2382" s="1">
        <v>39065</v>
      </c>
      <c r="I2382" t="s">
        <v>12</v>
      </c>
      <c r="J2382" t="s">
        <v>13152</v>
      </c>
    </row>
    <row r="2383" spans="1:10" x14ac:dyDescent="0.25">
      <c r="A2383">
        <v>280386</v>
      </c>
      <c r="B2383" t="s">
        <v>2504</v>
      </c>
      <c r="C2383" t="str">
        <f>"9781416603696"</f>
        <v>9781416603696</v>
      </c>
      <c r="D2383" t="str">
        <f>"9781416604907"</f>
        <v>9781416604907</v>
      </c>
      <c r="E2383" t="s">
        <v>2492</v>
      </c>
      <c r="F2383" t="s">
        <v>2492</v>
      </c>
      <c r="G2383" s="1">
        <v>38718</v>
      </c>
      <c r="H2383" s="1">
        <v>39073</v>
      </c>
      <c r="I2383" t="s">
        <v>12</v>
      </c>
      <c r="J2383" t="s">
        <v>13153</v>
      </c>
    </row>
    <row r="2384" spans="1:10" x14ac:dyDescent="0.25">
      <c r="A2384">
        <v>280387</v>
      </c>
      <c r="B2384" t="s">
        <v>2505</v>
      </c>
      <c r="C2384" t="str">
        <f>"9781416604136"</f>
        <v>9781416604136</v>
      </c>
      <c r="D2384" t="str">
        <f>"9781416605683"</f>
        <v>9781416605683</v>
      </c>
      <c r="E2384" t="s">
        <v>2492</v>
      </c>
      <c r="F2384" t="s">
        <v>2492</v>
      </c>
      <c r="G2384" s="1">
        <v>38961</v>
      </c>
      <c r="H2384" s="1">
        <v>39065</v>
      </c>
      <c r="I2384" t="s">
        <v>12</v>
      </c>
      <c r="J2384" t="s">
        <v>13154</v>
      </c>
    </row>
    <row r="2385" spans="1:10" x14ac:dyDescent="0.25">
      <c r="A2385">
        <v>280394</v>
      </c>
      <c r="B2385" t="s">
        <v>2506</v>
      </c>
      <c r="C2385" t="str">
        <f>"9781416603702"</f>
        <v>9781416603702</v>
      </c>
      <c r="D2385" t="str">
        <f>"9781416603733"</f>
        <v>9781416603733</v>
      </c>
      <c r="E2385" t="s">
        <v>2492</v>
      </c>
      <c r="F2385" t="s">
        <v>2492</v>
      </c>
      <c r="G2385" s="1">
        <v>38930</v>
      </c>
      <c r="H2385" s="1">
        <v>39065</v>
      </c>
      <c r="I2385" t="s">
        <v>12</v>
      </c>
      <c r="J2385" t="s">
        <v>13155</v>
      </c>
    </row>
    <row r="2386" spans="1:10" x14ac:dyDescent="0.25">
      <c r="A2386">
        <v>280395</v>
      </c>
      <c r="B2386" t="s">
        <v>2507</v>
      </c>
      <c r="C2386" t="str">
        <f>"9781416603580"</f>
        <v>9781416603580</v>
      </c>
      <c r="D2386" t="str">
        <f>"9781416605652"</f>
        <v>9781416605652</v>
      </c>
      <c r="E2386" t="s">
        <v>2492</v>
      </c>
      <c r="F2386" t="s">
        <v>2492</v>
      </c>
      <c r="G2386" s="1">
        <v>38899</v>
      </c>
      <c r="H2386" s="1">
        <v>39065</v>
      </c>
      <c r="I2386" t="s">
        <v>12</v>
      </c>
      <c r="J2386" t="s">
        <v>13156</v>
      </c>
    </row>
    <row r="2387" spans="1:10" x14ac:dyDescent="0.25">
      <c r="A2387">
        <v>280403</v>
      </c>
      <c r="B2387" t="s">
        <v>2508</v>
      </c>
      <c r="C2387" t="str">
        <f>"9781416603276"</f>
        <v>9781416603276</v>
      </c>
      <c r="D2387" t="str">
        <f>"9781416604679"</f>
        <v>9781416604679</v>
      </c>
      <c r="E2387" t="s">
        <v>2492</v>
      </c>
      <c r="F2387" t="s">
        <v>2492</v>
      </c>
      <c r="G2387" s="1">
        <v>38838</v>
      </c>
      <c r="H2387" s="1">
        <v>39065</v>
      </c>
      <c r="I2387" t="s">
        <v>12</v>
      </c>
      <c r="J2387" t="s">
        <v>13157</v>
      </c>
    </row>
    <row r="2388" spans="1:10" x14ac:dyDescent="0.25">
      <c r="A2388">
        <v>280409</v>
      </c>
      <c r="B2388" t="s">
        <v>2509</v>
      </c>
      <c r="C2388" t="str">
        <f>"9781416604112"</f>
        <v>9781416604112</v>
      </c>
      <c r="D2388" t="str">
        <f>"9781416605508"</f>
        <v>9781416605508</v>
      </c>
      <c r="E2388" t="s">
        <v>2492</v>
      </c>
      <c r="F2388" t="s">
        <v>2494</v>
      </c>
      <c r="G2388" s="1">
        <v>39005</v>
      </c>
      <c r="H2388" s="1">
        <v>39065</v>
      </c>
      <c r="I2388" t="s">
        <v>12</v>
      </c>
      <c r="J2388" t="s">
        <v>13158</v>
      </c>
    </row>
    <row r="2389" spans="1:10" x14ac:dyDescent="0.25">
      <c r="A2389">
        <v>280417</v>
      </c>
      <c r="B2389" t="s">
        <v>2510</v>
      </c>
      <c r="C2389" t="str">
        <f>"9780871207487"</f>
        <v>9780871207487</v>
      </c>
      <c r="D2389" t="str">
        <f>"9781416601227"</f>
        <v>9781416601227</v>
      </c>
      <c r="E2389" t="s">
        <v>2492</v>
      </c>
      <c r="F2389" t="s">
        <v>2494</v>
      </c>
      <c r="G2389" s="1">
        <v>37667</v>
      </c>
      <c r="H2389" s="1">
        <v>39063</v>
      </c>
      <c r="I2389" t="s">
        <v>12</v>
      </c>
      <c r="J2389" t="s">
        <v>13159</v>
      </c>
    </row>
    <row r="2390" spans="1:10" x14ac:dyDescent="0.25">
      <c r="A2390">
        <v>280420</v>
      </c>
      <c r="B2390" t="s">
        <v>2511</v>
      </c>
      <c r="C2390" t="str">
        <f>"9780871203427"</f>
        <v>9780871203427</v>
      </c>
      <c r="D2390" t="str">
        <f>"9781416603924"</f>
        <v>9781416603924</v>
      </c>
      <c r="E2390" t="s">
        <v>2492</v>
      </c>
      <c r="F2390" t="s">
        <v>2494</v>
      </c>
      <c r="G2390" s="1">
        <v>36387</v>
      </c>
      <c r="H2390" s="1">
        <v>39065</v>
      </c>
      <c r="I2390" t="s">
        <v>12</v>
      </c>
      <c r="J2390" t="s">
        <v>13160</v>
      </c>
    </row>
    <row r="2391" spans="1:10" x14ac:dyDescent="0.25">
      <c r="A2391">
        <v>280425</v>
      </c>
      <c r="B2391" t="s">
        <v>2512</v>
      </c>
      <c r="C2391" t="str">
        <f>"9781416602699"</f>
        <v>9781416602699</v>
      </c>
      <c r="D2391" t="str">
        <f>"9781416603658"</f>
        <v>9781416603658</v>
      </c>
      <c r="E2391" t="s">
        <v>2492</v>
      </c>
      <c r="F2391" t="s">
        <v>2492</v>
      </c>
      <c r="G2391" s="1">
        <v>38687</v>
      </c>
      <c r="H2391" s="1">
        <v>39065</v>
      </c>
      <c r="I2391" t="s">
        <v>12</v>
      </c>
      <c r="J2391" t="s">
        <v>13161</v>
      </c>
    </row>
    <row r="2392" spans="1:10" x14ac:dyDescent="0.25">
      <c r="A2392">
        <v>280426</v>
      </c>
      <c r="B2392" t="s">
        <v>2513</v>
      </c>
      <c r="C2392" t="str">
        <f>"9780871207180"</f>
        <v>9780871207180</v>
      </c>
      <c r="D2392" t="str">
        <f>"9781416601265"</f>
        <v>9781416601265</v>
      </c>
      <c r="E2392" t="s">
        <v>2492</v>
      </c>
      <c r="F2392" t="s">
        <v>2494</v>
      </c>
      <c r="G2392" s="1">
        <v>37726</v>
      </c>
      <c r="H2392" s="1">
        <v>39065</v>
      </c>
      <c r="I2392" t="s">
        <v>12</v>
      </c>
      <c r="J2392" t="s">
        <v>13162</v>
      </c>
    </row>
    <row r="2393" spans="1:10" x14ac:dyDescent="0.25">
      <c r="A2393">
        <v>280427</v>
      </c>
      <c r="B2393" t="s">
        <v>2514</v>
      </c>
      <c r="C2393" t="str">
        <f>"9780871206565"</f>
        <v>9780871206565</v>
      </c>
      <c r="D2393" t="str">
        <f>"9781416601272"</f>
        <v>9781416601272</v>
      </c>
      <c r="E2393" t="s">
        <v>2492</v>
      </c>
      <c r="F2393" t="s">
        <v>2494</v>
      </c>
      <c r="G2393" s="1">
        <v>37361</v>
      </c>
      <c r="H2393" s="1">
        <v>39065</v>
      </c>
      <c r="I2393" t="s">
        <v>12</v>
      </c>
      <c r="J2393" t="s">
        <v>13163</v>
      </c>
    </row>
    <row r="2394" spans="1:10" x14ac:dyDescent="0.25">
      <c r="A2394">
        <v>280445</v>
      </c>
      <c r="B2394" t="s">
        <v>2515</v>
      </c>
      <c r="C2394" t="str">
        <f>"9780871203816"</f>
        <v>9780871203816</v>
      </c>
      <c r="D2394" t="str">
        <f>"9781416604815"</f>
        <v>9781416604815</v>
      </c>
      <c r="E2394" t="s">
        <v>2492</v>
      </c>
      <c r="F2394" t="s">
        <v>2492</v>
      </c>
      <c r="G2394" s="1">
        <v>36739</v>
      </c>
      <c r="H2394" s="1">
        <v>39065</v>
      </c>
      <c r="I2394" t="s">
        <v>12</v>
      </c>
      <c r="J2394" t="s">
        <v>13164</v>
      </c>
    </row>
    <row r="2395" spans="1:10" x14ac:dyDescent="0.25">
      <c r="A2395">
        <v>280487</v>
      </c>
      <c r="B2395" t="s">
        <v>2516</v>
      </c>
      <c r="C2395" t="str">
        <f>"9789004125940"</f>
        <v>9789004125940</v>
      </c>
      <c r="D2395" t="str">
        <f>"9781433704673"</f>
        <v>9781433704673</v>
      </c>
      <c r="E2395" t="s">
        <v>1447</v>
      </c>
      <c r="F2395" t="s">
        <v>1447</v>
      </c>
      <c r="G2395" s="1">
        <v>38266</v>
      </c>
      <c r="H2395" s="1">
        <v>39107</v>
      </c>
      <c r="I2395" t="s">
        <v>12</v>
      </c>
      <c r="J2395" t="s">
        <v>13165</v>
      </c>
    </row>
    <row r="2396" spans="1:10" x14ac:dyDescent="0.25">
      <c r="A2396">
        <v>280489</v>
      </c>
      <c r="B2396" t="s">
        <v>2517</v>
      </c>
      <c r="C2396" t="str">
        <f>"9789004131347"</f>
        <v>9789004131347</v>
      </c>
      <c r="D2396" t="str">
        <f>"9781433704710"</f>
        <v>9781433704710</v>
      </c>
      <c r="E2396" t="s">
        <v>1447</v>
      </c>
      <c r="F2396" t="s">
        <v>1447</v>
      </c>
      <c r="G2396" s="1">
        <v>38321</v>
      </c>
      <c r="H2396" s="1">
        <v>39142</v>
      </c>
      <c r="I2396" t="s">
        <v>12</v>
      </c>
      <c r="J2396" t="s">
        <v>13166</v>
      </c>
    </row>
    <row r="2397" spans="1:10" x14ac:dyDescent="0.25">
      <c r="A2397">
        <v>280498</v>
      </c>
      <c r="B2397" t="s">
        <v>2518</v>
      </c>
      <c r="C2397" t="str">
        <f>"9789004141315"</f>
        <v>9789004141315</v>
      </c>
      <c r="D2397" t="str">
        <f>"9781433707483"</f>
        <v>9781433707483</v>
      </c>
      <c r="E2397" t="s">
        <v>1447</v>
      </c>
      <c r="F2397" t="s">
        <v>1447</v>
      </c>
      <c r="G2397" s="1">
        <v>38311</v>
      </c>
      <c r="H2397" s="1">
        <v>39162</v>
      </c>
      <c r="I2397" t="s">
        <v>12</v>
      </c>
      <c r="J2397" t="s">
        <v>13167</v>
      </c>
    </row>
    <row r="2398" spans="1:10" x14ac:dyDescent="0.25">
      <c r="A2398">
        <v>280500</v>
      </c>
      <c r="B2398" t="s">
        <v>2519</v>
      </c>
      <c r="C2398" t="str">
        <f>"9789004144392"</f>
        <v>9789004144392</v>
      </c>
      <c r="D2398" t="str">
        <f>"9781433707742"</f>
        <v>9781433707742</v>
      </c>
      <c r="E2398" t="s">
        <v>1447</v>
      </c>
      <c r="F2398" t="s">
        <v>1447</v>
      </c>
      <c r="G2398" s="1">
        <v>38449</v>
      </c>
      <c r="H2398" s="1">
        <v>39162</v>
      </c>
      <c r="I2398" t="s">
        <v>12</v>
      </c>
      <c r="J2398" t="s">
        <v>13168</v>
      </c>
    </row>
    <row r="2399" spans="1:10" x14ac:dyDescent="0.25">
      <c r="A2399">
        <v>280503</v>
      </c>
      <c r="B2399" t="s">
        <v>2520</v>
      </c>
      <c r="C2399" t="str">
        <f>"9789004144231"</f>
        <v>9789004144231</v>
      </c>
      <c r="D2399" t="str">
        <f>"9781433706820"</f>
        <v>9781433706820</v>
      </c>
      <c r="E2399" t="s">
        <v>1447</v>
      </c>
      <c r="F2399" t="s">
        <v>2521</v>
      </c>
      <c r="G2399" s="1">
        <v>38473</v>
      </c>
      <c r="H2399" s="1">
        <v>39162</v>
      </c>
      <c r="I2399" t="s">
        <v>12</v>
      </c>
      <c r="J2399" t="s">
        <v>13169</v>
      </c>
    </row>
    <row r="2400" spans="1:10" x14ac:dyDescent="0.25">
      <c r="A2400">
        <v>280508</v>
      </c>
      <c r="B2400" t="s">
        <v>2522</v>
      </c>
      <c r="C2400" t="str">
        <f>"9789004143586"</f>
        <v>9789004143586</v>
      </c>
      <c r="D2400" t="str">
        <f>"9781433703935"</f>
        <v>9781433703935</v>
      </c>
      <c r="E2400" t="s">
        <v>1447</v>
      </c>
      <c r="F2400" t="s">
        <v>2521</v>
      </c>
      <c r="G2400" s="1">
        <v>38459</v>
      </c>
      <c r="H2400" s="1">
        <v>39162</v>
      </c>
      <c r="I2400" t="s">
        <v>12</v>
      </c>
      <c r="J2400" t="s">
        <v>13170</v>
      </c>
    </row>
    <row r="2401" spans="1:10" x14ac:dyDescent="0.25">
      <c r="A2401">
        <v>280509</v>
      </c>
      <c r="B2401" t="s">
        <v>2523</v>
      </c>
      <c r="C2401" t="str">
        <f>"9789004124509"</f>
        <v>9789004124509</v>
      </c>
      <c r="D2401" t="str">
        <f>"9781433707117"</f>
        <v>9781433707117</v>
      </c>
      <c r="E2401" t="s">
        <v>1447</v>
      </c>
      <c r="F2401" t="s">
        <v>1447</v>
      </c>
      <c r="G2401" s="1">
        <v>38321</v>
      </c>
      <c r="H2401" s="1">
        <v>39142</v>
      </c>
      <c r="I2401" t="s">
        <v>12</v>
      </c>
      <c r="J2401" t="s">
        <v>13171</v>
      </c>
    </row>
    <row r="2402" spans="1:10" x14ac:dyDescent="0.25">
      <c r="A2402">
        <v>280514</v>
      </c>
      <c r="B2402" t="s">
        <v>2524</v>
      </c>
      <c r="C2402" t="str">
        <f>"9789004144071"</f>
        <v>9789004144071</v>
      </c>
      <c r="D2402" t="str">
        <f>"9781433706455"</f>
        <v>9781433706455</v>
      </c>
      <c r="E2402" t="s">
        <v>1447</v>
      </c>
      <c r="F2402" t="s">
        <v>1447</v>
      </c>
      <c r="G2402" s="1">
        <v>38504</v>
      </c>
      <c r="H2402" s="1">
        <v>39162</v>
      </c>
      <c r="I2402" t="s">
        <v>12</v>
      </c>
      <c r="J2402" t="s">
        <v>13172</v>
      </c>
    </row>
    <row r="2403" spans="1:10" x14ac:dyDescent="0.25">
      <c r="A2403">
        <v>280520</v>
      </c>
      <c r="B2403" t="s">
        <v>2525</v>
      </c>
      <c r="C2403" t="str">
        <f>"9789004141261"</f>
        <v>9789004141261</v>
      </c>
      <c r="D2403" t="str">
        <f>"9781433705007"</f>
        <v>9781433705007</v>
      </c>
      <c r="E2403" t="s">
        <v>1447</v>
      </c>
      <c r="F2403" t="s">
        <v>1447</v>
      </c>
      <c r="G2403" s="1">
        <v>38321</v>
      </c>
      <c r="H2403" s="1">
        <v>39162</v>
      </c>
      <c r="I2403" t="s">
        <v>12</v>
      </c>
      <c r="J2403" t="s">
        <v>13173</v>
      </c>
    </row>
    <row r="2404" spans="1:10" x14ac:dyDescent="0.25">
      <c r="A2404">
        <v>280543</v>
      </c>
      <c r="B2404" t="s">
        <v>2526</v>
      </c>
      <c r="C2404" t="str">
        <f>"9789004143838"</f>
        <v>9789004143838</v>
      </c>
      <c r="D2404" t="str">
        <f>"9781433703713"</f>
        <v>9781433703713</v>
      </c>
      <c r="E2404" t="s">
        <v>1447</v>
      </c>
      <c r="F2404" t="s">
        <v>2521</v>
      </c>
      <c r="G2404" s="1">
        <v>38459</v>
      </c>
      <c r="H2404" s="1">
        <v>39162</v>
      </c>
      <c r="I2404" t="s">
        <v>12</v>
      </c>
      <c r="J2404" t="s">
        <v>13174</v>
      </c>
    </row>
    <row r="2405" spans="1:10" x14ac:dyDescent="0.25">
      <c r="A2405">
        <v>280544</v>
      </c>
      <c r="B2405" t="s">
        <v>2527</v>
      </c>
      <c r="C2405" t="str">
        <f>"9789004143630"</f>
        <v>9789004143630</v>
      </c>
      <c r="D2405" t="str">
        <f>"9781433706684"</f>
        <v>9781433706684</v>
      </c>
      <c r="E2405" t="s">
        <v>1447</v>
      </c>
      <c r="F2405" t="s">
        <v>1447</v>
      </c>
      <c r="G2405" s="1">
        <v>38504</v>
      </c>
      <c r="H2405" s="1">
        <v>39162</v>
      </c>
      <c r="I2405" t="s">
        <v>12</v>
      </c>
      <c r="J2405" t="s">
        <v>13175</v>
      </c>
    </row>
    <row r="2406" spans="1:10" x14ac:dyDescent="0.25">
      <c r="A2406">
        <v>280552</v>
      </c>
      <c r="B2406" t="s">
        <v>2528</v>
      </c>
      <c r="C2406" t="str">
        <f>"9789004139817"</f>
        <v>9789004139817</v>
      </c>
      <c r="D2406" t="str">
        <f>"9781433705687"</f>
        <v>9781433705687</v>
      </c>
      <c r="E2406" t="s">
        <v>1447</v>
      </c>
      <c r="F2406" t="s">
        <v>1447</v>
      </c>
      <c r="G2406" s="1">
        <v>38272</v>
      </c>
      <c r="H2406" s="1">
        <v>39107</v>
      </c>
      <c r="I2406" t="s">
        <v>12</v>
      </c>
      <c r="J2406" t="s">
        <v>13176</v>
      </c>
    </row>
    <row r="2407" spans="1:10" x14ac:dyDescent="0.25">
      <c r="A2407">
        <v>280593</v>
      </c>
      <c r="B2407" t="s">
        <v>2529</v>
      </c>
      <c r="C2407" t="str">
        <f>"9789004142374"</f>
        <v>9789004142374</v>
      </c>
      <c r="D2407" t="str">
        <f>"9781433704062"</f>
        <v>9781433704062</v>
      </c>
      <c r="E2407" t="s">
        <v>1447</v>
      </c>
      <c r="F2407" t="s">
        <v>1447</v>
      </c>
      <c r="G2407" s="1">
        <v>38275</v>
      </c>
      <c r="H2407" s="1">
        <v>39162</v>
      </c>
      <c r="I2407" t="s">
        <v>12</v>
      </c>
      <c r="J2407" t="s">
        <v>13177</v>
      </c>
    </row>
    <row r="2408" spans="1:10" x14ac:dyDescent="0.25">
      <c r="A2408">
        <v>280594</v>
      </c>
      <c r="B2408" t="s">
        <v>2530</v>
      </c>
      <c r="C2408" t="str">
        <f>"9789004131644"</f>
        <v>9789004131644</v>
      </c>
      <c r="D2408" t="str">
        <f>"9781433704529"</f>
        <v>9781433704529</v>
      </c>
      <c r="E2408" t="s">
        <v>1447</v>
      </c>
      <c r="F2408" t="s">
        <v>1447</v>
      </c>
      <c r="G2408" s="1">
        <v>38321</v>
      </c>
      <c r="H2408" s="1">
        <v>39107</v>
      </c>
      <c r="I2408" t="s">
        <v>12</v>
      </c>
      <c r="J2408" t="s">
        <v>13178</v>
      </c>
    </row>
    <row r="2409" spans="1:10" x14ac:dyDescent="0.25">
      <c r="A2409">
        <v>280634</v>
      </c>
      <c r="B2409" t="s">
        <v>2531</v>
      </c>
      <c r="C2409" t="str">
        <f>"9789004147966"</f>
        <v>9789004147966</v>
      </c>
      <c r="D2409" t="str">
        <f>"9781433707711"</f>
        <v>9781433707711</v>
      </c>
      <c r="E2409" t="s">
        <v>1447</v>
      </c>
      <c r="F2409" t="s">
        <v>1447</v>
      </c>
      <c r="G2409" s="1">
        <v>38565</v>
      </c>
      <c r="H2409" s="1">
        <v>39162</v>
      </c>
      <c r="I2409" t="s">
        <v>12</v>
      </c>
      <c r="J2409" t="s">
        <v>13179</v>
      </c>
    </row>
    <row r="2410" spans="1:10" x14ac:dyDescent="0.25">
      <c r="A2410">
        <v>280660</v>
      </c>
      <c r="B2410" t="s">
        <v>2532</v>
      </c>
      <c r="C2410" t="str">
        <f>"9789004141582"</f>
        <v>9789004141582</v>
      </c>
      <c r="D2410" t="str">
        <f>"9781433706943"</f>
        <v>9781433706943</v>
      </c>
      <c r="E2410" t="s">
        <v>1447</v>
      </c>
      <c r="F2410" t="s">
        <v>1447</v>
      </c>
      <c r="G2410" s="1">
        <v>38292</v>
      </c>
      <c r="H2410" s="1">
        <v>39162</v>
      </c>
      <c r="I2410" t="s">
        <v>12</v>
      </c>
      <c r="J2410" t="s">
        <v>13180</v>
      </c>
    </row>
    <row r="2411" spans="1:10" x14ac:dyDescent="0.25">
      <c r="A2411">
        <v>280671</v>
      </c>
      <c r="B2411" t="s">
        <v>2533</v>
      </c>
      <c r="C2411" t="str">
        <f>"9789004141964"</f>
        <v>9789004141964</v>
      </c>
      <c r="D2411" t="str">
        <f>"9781433706653"</f>
        <v>9781433706653</v>
      </c>
      <c r="E2411" t="s">
        <v>1447</v>
      </c>
      <c r="F2411" t="s">
        <v>1447</v>
      </c>
      <c r="G2411" s="1">
        <v>38290</v>
      </c>
      <c r="H2411" s="1">
        <v>39162</v>
      </c>
      <c r="I2411" t="s">
        <v>12</v>
      </c>
      <c r="J2411" t="s">
        <v>13181</v>
      </c>
    </row>
    <row r="2412" spans="1:10" x14ac:dyDescent="0.25">
      <c r="A2412">
        <v>280674</v>
      </c>
      <c r="B2412" t="s">
        <v>2534</v>
      </c>
      <c r="C2412" t="str">
        <f>"9789004139947"</f>
        <v>9789004139947</v>
      </c>
      <c r="D2412" t="str">
        <f>"9781433707094"</f>
        <v>9781433707094</v>
      </c>
      <c r="E2412" t="s">
        <v>1447</v>
      </c>
      <c r="F2412" t="s">
        <v>1447</v>
      </c>
      <c r="G2412" s="1">
        <v>38594</v>
      </c>
      <c r="H2412" s="1">
        <v>39116</v>
      </c>
      <c r="I2412" t="s">
        <v>12</v>
      </c>
      <c r="J2412" t="s">
        <v>13182</v>
      </c>
    </row>
    <row r="2413" spans="1:10" x14ac:dyDescent="0.25">
      <c r="A2413">
        <v>280681</v>
      </c>
      <c r="B2413" t="s">
        <v>2535</v>
      </c>
      <c r="C2413" t="str">
        <f>"9789004140967"</f>
        <v>9789004140967</v>
      </c>
      <c r="D2413" t="str">
        <f>"9781433705168"</f>
        <v>9781433705168</v>
      </c>
      <c r="E2413" t="s">
        <v>1447</v>
      </c>
      <c r="F2413" t="s">
        <v>1447</v>
      </c>
      <c r="G2413" s="1">
        <v>38291</v>
      </c>
      <c r="H2413" s="1">
        <v>39162</v>
      </c>
      <c r="I2413" t="s">
        <v>12</v>
      </c>
      <c r="J2413" t="s">
        <v>13183</v>
      </c>
    </row>
    <row r="2414" spans="1:10" x14ac:dyDescent="0.25">
      <c r="A2414">
        <v>280686</v>
      </c>
      <c r="B2414" t="s">
        <v>2536</v>
      </c>
      <c r="C2414" t="str">
        <f>"9789004139275"</f>
        <v>9789004139275</v>
      </c>
      <c r="D2414" t="str">
        <f>"9781433706134"</f>
        <v>9781433706134</v>
      </c>
      <c r="E2414" t="s">
        <v>1447</v>
      </c>
      <c r="F2414" t="s">
        <v>1447</v>
      </c>
      <c r="G2414" s="1">
        <v>38259</v>
      </c>
      <c r="H2414" s="1">
        <v>39116</v>
      </c>
      <c r="I2414" t="s">
        <v>12</v>
      </c>
      <c r="J2414" t="s">
        <v>13184</v>
      </c>
    </row>
    <row r="2415" spans="1:10" x14ac:dyDescent="0.25">
      <c r="A2415">
        <v>280697</v>
      </c>
      <c r="B2415" t="s">
        <v>2537</v>
      </c>
      <c r="C2415" t="str">
        <f>"9789004144590"</f>
        <v>9789004144590</v>
      </c>
      <c r="D2415" t="str">
        <f>"9781433705953"</f>
        <v>9781433705953</v>
      </c>
      <c r="E2415" t="s">
        <v>1447</v>
      </c>
      <c r="F2415" t="s">
        <v>1447</v>
      </c>
      <c r="G2415" s="1">
        <v>38504</v>
      </c>
      <c r="H2415" s="1">
        <v>39162</v>
      </c>
      <c r="I2415" t="s">
        <v>12</v>
      </c>
      <c r="J2415" t="s">
        <v>13185</v>
      </c>
    </row>
    <row r="2416" spans="1:10" x14ac:dyDescent="0.25">
      <c r="A2416">
        <v>280721</v>
      </c>
      <c r="B2416" t="s">
        <v>2538</v>
      </c>
      <c r="C2416" t="str">
        <f>"9789004142497"</f>
        <v>9789004142497</v>
      </c>
      <c r="D2416" t="str">
        <f>"9781433704253"</f>
        <v>9781433704253</v>
      </c>
      <c r="E2416" t="s">
        <v>1447</v>
      </c>
      <c r="F2416" t="s">
        <v>1447</v>
      </c>
      <c r="G2416" s="1">
        <v>38482</v>
      </c>
      <c r="H2416" s="1">
        <v>39162</v>
      </c>
      <c r="I2416" t="s">
        <v>12</v>
      </c>
      <c r="J2416" t="s">
        <v>13186</v>
      </c>
    </row>
    <row r="2417" spans="1:10" x14ac:dyDescent="0.25">
      <c r="A2417">
        <v>280734</v>
      </c>
      <c r="B2417" t="s">
        <v>2539</v>
      </c>
      <c r="C2417" t="str">
        <f>"9789004144637"</f>
        <v>9789004144637</v>
      </c>
      <c r="D2417" t="str">
        <f>"9781433707476"</f>
        <v>9781433707476</v>
      </c>
      <c r="E2417" t="s">
        <v>1447</v>
      </c>
      <c r="F2417" t="s">
        <v>1447</v>
      </c>
      <c r="G2417" s="1">
        <v>38462</v>
      </c>
      <c r="H2417" s="1">
        <v>39162</v>
      </c>
      <c r="I2417" t="s">
        <v>12</v>
      </c>
      <c r="J2417" t="s">
        <v>13187</v>
      </c>
    </row>
    <row r="2418" spans="1:10" x14ac:dyDescent="0.25">
      <c r="A2418">
        <v>280735</v>
      </c>
      <c r="B2418" t="s">
        <v>2540</v>
      </c>
      <c r="C2418" t="str">
        <f>"9789004144521"</f>
        <v>9789004144521</v>
      </c>
      <c r="D2418" t="str">
        <f>"9781433705496"</f>
        <v>9781433705496</v>
      </c>
      <c r="E2418" t="s">
        <v>1447</v>
      </c>
      <c r="F2418" t="s">
        <v>1447</v>
      </c>
      <c r="G2418" s="1">
        <v>38504</v>
      </c>
      <c r="H2418" s="1">
        <v>39162</v>
      </c>
      <c r="I2418" t="s">
        <v>12</v>
      </c>
      <c r="J2418" t="s">
        <v>13188</v>
      </c>
    </row>
    <row r="2419" spans="1:10" x14ac:dyDescent="0.25">
      <c r="A2419">
        <v>280738</v>
      </c>
      <c r="B2419" t="s">
        <v>2541</v>
      </c>
      <c r="C2419" t="str">
        <f>"9789004141469"</f>
        <v>9789004141469</v>
      </c>
      <c r="D2419" t="str">
        <f>"9781433704734"</f>
        <v>9781433704734</v>
      </c>
      <c r="E2419" t="s">
        <v>1447</v>
      </c>
      <c r="F2419" t="s">
        <v>1447</v>
      </c>
      <c r="G2419" s="1">
        <v>38311</v>
      </c>
      <c r="H2419" s="1">
        <v>39162</v>
      </c>
      <c r="I2419" t="s">
        <v>12</v>
      </c>
      <c r="J2419" t="s">
        <v>13189</v>
      </c>
    </row>
    <row r="2420" spans="1:10" x14ac:dyDescent="0.25">
      <c r="A2420">
        <v>280744</v>
      </c>
      <c r="B2420" t="s">
        <v>2542</v>
      </c>
      <c r="C2420" t="str">
        <f>"9789004138964"</f>
        <v>9789004138964</v>
      </c>
      <c r="D2420" t="str">
        <f>"9781433704031"</f>
        <v>9781433704031</v>
      </c>
      <c r="E2420" t="s">
        <v>1447</v>
      </c>
      <c r="F2420" t="s">
        <v>1447</v>
      </c>
      <c r="G2420" s="1">
        <v>38275</v>
      </c>
      <c r="H2420" s="1">
        <v>39162</v>
      </c>
      <c r="I2420" t="s">
        <v>12</v>
      </c>
      <c r="J2420" t="s">
        <v>13190</v>
      </c>
    </row>
    <row r="2421" spans="1:10" x14ac:dyDescent="0.25">
      <c r="A2421">
        <v>280756</v>
      </c>
      <c r="B2421" t="s">
        <v>2543</v>
      </c>
      <c r="C2421" t="str">
        <f>"9789004142527"</f>
        <v>9789004142527</v>
      </c>
      <c r="D2421" t="str">
        <f>"9781433705236"</f>
        <v>9781433705236</v>
      </c>
      <c r="E2421" t="s">
        <v>1447</v>
      </c>
      <c r="F2421" t="s">
        <v>1447</v>
      </c>
      <c r="G2421" s="1">
        <v>38504</v>
      </c>
      <c r="H2421" s="1">
        <v>39114</v>
      </c>
      <c r="I2421" t="s">
        <v>12</v>
      </c>
      <c r="J2421" t="s">
        <v>13191</v>
      </c>
    </row>
    <row r="2422" spans="1:10" x14ac:dyDescent="0.25">
      <c r="A2422">
        <v>280758</v>
      </c>
      <c r="B2422" t="s">
        <v>2544</v>
      </c>
      <c r="C2422" t="str">
        <f>"9789004142404"</f>
        <v>9789004142404</v>
      </c>
      <c r="D2422" t="str">
        <f>"9781433704130"</f>
        <v>9781433704130</v>
      </c>
      <c r="E2422" t="s">
        <v>1447</v>
      </c>
      <c r="F2422" t="s">
        <v>1447</v>
      </c>
      <c r="G2422" s="1">
        <v>38274</v>
      </c>
      <c r="H2422" s="1">
        <v>39162</v>
      </c>
      <c r="I2422" t="s">
        <v>12</v>
      </c>
      <c r="J2422" t="s">
        <v>13192</v>
      </c>
    </row>
    <row r="2423" spans="1:10" x14ac:dyDescent="0.25">
      <c r="A2423">
        <v>280762</v>
      </c>
      <c r="B2423" t="s">
        <v>2545</v>
      </c>
      <c r="C2423" t="str">
        <f>"9789004145979"</f>
        <v>9789004145979</v>
      </c>
      <c r="D2423" t="str">
        <f>"9781433704499"</f>
        <v>9781433704499</v>
      </c>
      <c r="E2423" t="s">
        <v>1447</v>
      </c>
      <c r="F2423" t="s">
        <v>1447</v>
      </c>
      <c r="G2423" s="1">
        <v>38564</v>
      </c>
      <c r="H2423" s="1">
        <v>39162</v>
      </c>
      <c r="I2423" t="s">
        <v>12</v>
      </c>
      <c r="J2423" t="s">
        <v>13193</v>
      </c>
    </row>
    <row r="2424" spans="1:10" x14ac:dyDescent="0.25">
      <c r="A2424">
        <v>280763</v>
      </c>
      <c r="B2424" t="s">
        <v>2546</v>
      </c>
      <c r="C2424" t="str">
        <f>"9789004146488"</f>
        <v>9789004146488</v>
      </c>
      <c r="D2424" t="str">
        <f>"9781433705076"</f>
        <v>9781433705076</v>
      </c>
      <c r="E2424" t="s">
        <v>1447</v>
      </c>
      <c r="F2424" t="s">
        <v>2521</v>
      </c>
      <c r="G2424" s="1">
        <v>38562</v>
      </c>
      <c r="H2424" s="1">
        <v>39162</v>
      </c>
      <c r="I2424" t="s">
        <v>12</v>
      </c>
      <c r="J2424" t="s">
        <v>13194</v>
      </c>
    </row>
    <row r="2425" spans="1:10" x14ac:dyDescent="0.25">
      <c r="A2425">
        <v>280773</v>
      </c>
      <c r="B2425" t="s">
        <v>2547</v>
      </c>
      <c r="C2425" t="str">
        <f>"9789004140363"</f>
        <v>9789004140363</v>
      </c>
      <c r="D2425" t="str">
        <f>"9781433706769"</f>
        <v>9781433706769</v>
      </c>
      <c r="E2425" t="s">
        <v>1447</v>
      </c>
      <c r="F2425" t="s">
        <v>1447</v>
      </c>
      <c r="G2425" s="1">
        <v>38321</v>
      </c>
      <c r="H2425" s="1">
        <v>39162</v>
      </c>
      <c r="I2425" t="s">
        <v>12</v>
      </c>
      <c r="J2425" t="s">
        <v>13195</v>
      </c>
    </row>
    <row r="2426" spans="1:10" x14ac:dyDescent="0.25">
      <c r="A2426">
        <v>280774</v>
      </c>
      <c r="B2426" t="s">
        <v>2548</v>
      </c>
      <c r="C2426" t="str">
        <f>"9789004144408"</f>
        <v>9789004144408</v>
      </c>
      <c r="D2426" t="str">
        <f>"9781433707193"</f>
        <v>9781433707193</v>
      </c>
      <c r="E2426" t="s">
        <v>1447</v>
      </c>
      <c r="F2426" t="s">
        <v>1447</v>
      </c>
      <c r="G2426" s="1">
        <v>38397</v>
      </c>
      <c r="H2426" s="1">
        <v>39162</v>
      </c>
      <c r="I2426" t="s">
        <v>12</v>
      </c>
      <c r="J2426" t="s">
        <v>13196</v>
      </c>
    </row>
    <row r="2427" spans="1:10" x14ac:dyDescent="0.25">
      <c r="A2427">
        <v>280778</v>
      </c>
      <c r="B2427" t="s">
        <v>2549</v>
      </c>
      <c r="C2427" t="str">
        <f>"9789004140356"</f>
        <v>9789004140356</v>
      </c>
      <c r="D2427" t="str">
        <f>"9781433706677"</f>
        <v>9781433706677</v>
      </c>
      <c r="E2427" t="s">
        <v>1447</v>
      </c>
      <c r="F2427" t="s">
        <v>1447</v>
      </c>
      <c r="G2427" s="1">
        <v>38472</v>
      </c>
      <c r="H2427" s="1">
        <v>39162</v>
      </c>
      <c r="I2427" t="s">
        <v>12</v>
      </c>
      <c r="J2427" t="s">
        <v>13197</v>
      </c>
    </row>
    <row r="2428" spans="1:10" x14ac:dyDescent="0.25">
      <c r="A2428">
        <v>280792</v>
      </c>
      <c r="B2428" t="s">
        <v>2550</v>
      </c>
      <c r="C2428" t="str">
        <f>"9789004141995"</f>
        <v>9789004141995</v>
      </c>
      <c r="D2428" t="str">
        <f>"9781433707216"</f>
        <v>9781433707216</v>
      </c>
      <c r="E2428" t="s">
        <v>1447</v>
      </c>
      <c r="F2428" t="s">
        <v>2521</v>
      </c>
      <c r="G2428" s="1">
        <v>38398</v>
      </c>
      <c r="H2428" s="1">
        <v>39162</v>
      </c>
      <c r="I2428" t="s">
        <v>12</v>
      </c>
      <c r="J2428" t="s">
        <v>13198</v>
      </c>
    </row>
    <row r="2429" spans="1:10" x14ac:dyDescent="0.25">
      <c r="A2429">
        <v>280793</v>
      </c>
      <c r="B2429" t="s">
        <v>2551</v>
      </c>
      <c r="C2429" t="str">
        <f>"9789004143036"</f>
        <v>9789004143036</v>
      </c>
      <c r="D2429" t="str">
        <f>"9781433704079"</f>
        <v>9781433704079</v>
      </c>
      <c r="E2429" t="s">
        <v>1447</v>
      </c>
      <c r="F2429" t="s">
        <v>2521</v>
      </c>
      <c r="G2429" s="1">
        <v>38306</v>
      </c>
      <c r="H2429" s="1">
        <v>39171</v>
      </c>
      <c r="I2429" t="s">
        <v>12</v>
      </c>
      <c r="J2429" t="s">
        <v>13199</v>
      </c>
    </row>
    <row r="2430" spans="1:10" x14ac:dyDescent="0.25">
      <c r="A2430">
        <v>280799</v>
      </c>
      <c r="B2430" t="s">
        <v>2552</v>
      </c>
      <c r="C2430" t="str">
        <f>"9789004124547"</f>
        <v>9789004124547</v>
      </c>
      <c r="D2430" t="str">
        <f>"9781433705472"</f>
        <v>9781433705472</v>
      </c>
      <c r="E2430" t="s">
        <v>1447</v>
      </c>
      <c r="F2430" t="s">
        <v>1447</v>
      </c>
      <c r="G2430" s="1">
        <v>38231</v>
      </c>
      <c r="H2430" s="1">
        <v>39116</v>
      </c>
      <c r="I2430" t="s">
        <v>12</v>
      </c>
      <c r="J2430" t="s">
        <v>13200</v>
      </c>
    </row>
    <row r="2431" spans="1:10" x14ac:dyDescent="0.25">
      <c r="A2431">
        <v>280810</v>
      </c>
      <c r="B2431" t="s">
        <v>2553</v>
      </c>
      <c r="C2431" t="str">
        <f>"9789004140660"</f>
        <v>9789004140660</v>
      </c>
      <c r="D2431" t="str">
        <f>"9781433707155"</f>
        <v>9781433707155</v>
      </c>
      <c r="E2431" t="s">
        <v>1447</v>
      </c>
      <c r="F2431" t="s">
        <v>2521</v>
      </c>
      <c r="G2431" s="1">
        <v>38321</v>
      </c>
      <c r="H2431" s="1">
        <v>39162</v>
      </c>
      <c r="I2431" t="s">
        <v>12</v>
      </c>
      <c r="J2431" t="s">
        <v>13201</v>
      </c>
    </row>
    <row r="2432" spans="1:10" x14ac:dyDescent="0.25">
      <c r="A2432">
        <v>280839</v>
      </c>
      <c r="B2432" t="s">
        <v>2554</v>
      </c>
      <c r="C2432" t="str">
        <f>"9789004145368"</f>
        <v>9789004145368</v>
      </c>
      <c r="D2432" t="str">
        <f>"9781433706714"</f>
        <v>9781433706714</v>
      </c>
      <c r="E2432" t="s">
        <v>1447</v>
      </c>
      <c r="F2432" t="s">
        <v>1447</v>
      </c>
      <c r="G2432" s="1">
        <v>38496</v>
      </c>
      <c r="H2432" s="1">
        <v>39162</v>
      </c>
      <c r="I2432" t="s">
        <v>12</v>
      </c>
      <c r="J2432" t="s">
        <v>13202</v>
      </c>
    </row>
    <row r="2433" spans="1:10" x14ac:dyDescent="0.25">
      <c r="A2433">
        <v>280846</v>
      </c>
      <c r="B2433" t="s">
        <v>2555</v>
      </c>
      <c r="C2433" t="str">
        <f>"9789004141520"</f>
        <v>9789004141520</v>
      </c>
      <c r="D2433" t="str">
        <f>"9781433706578"</f>
        <v>9781433706578</v>
      </c>
      <c r="E2433" t="s">
        <v>1447</v>
      </c>
      <c r="F2433" t="s">
        <v>1447</v>
      </c>
      <c r="G2433" s="1">
        <v>38411</v>
      </c>
      <c r="H2433" s="1">
        <v>39162</v>
      </c>
      <c r="I2433" t="s">
        <v>12</v>
      </c>
      <c r="J2433" t="s">
        <v>13203</v>
      </c>
    </row>
    <row r="2434" spans="1:10" x14ac:dyDescent="0.25">
      <c r="A2434">
        <v>280853</v>
      </c>
      <c r="B2434" t="s">
        <v>2556</v>
      </c>
      <c r="C2434" t="str">
        <f>"9789004145832"</f>
        <v>9789004145832</v>
      </c>
      <c r="D2434" t="str">
        <f>"9789047408154"</f>
        <v>9789047408154</v>
      </c>
      <c r="E2434" t="s">
        <v>1447</v>
      </c>
      <c r="F2434" t="s">
        <v>1447</v>
      </c>
      <c r="G2434" s="1">
        <v>38548</v>
      </c>
      <c r="H2434" s="1">
        <v>39780</v>
      </c>
      <c r="I2434" t="s">
        <v>12</v>
      </c>
      <c r="J2434" t="s">
        <v>13204</v>
      </c>
    </row>
    <row r="2435" spans="1:10" x14ac:dyDescent="0.25">
      <c r="A2435">
        <v>280864</v>
      </c>
      <c r="B2435" t="s">
        <v>2557</v>
      </c>
      <c r="C2435" t="str">
        <f>"9789004143272"</f>
        <v>9789004143272</v>
      </c>
      <c r="D2435" t="str">
        <f>"9781433704376"</f>
        <v>9781433704376</v>
      </c>
      <c r="E2435" t="s">
        <v>1447</v>
      </c>
      <c r="F2435" t="s">
        <v>1447</v>
      </c>
      <c r="G2435" s="1">
        <v>38562</v>
      </c>
      <c r="H2435" s="1">
        <v>39162</v>
      </c>
      <c r="I2435" t="s">
        <v>12</v>
      </c>
      <c r="J2435" t="s">
        <v>13205</v>
      </c>
    </row>
    <row r="2436" spans="1:10" x14ac:dyDescent="0.25">
      <c r="A2436">
        <v>280889</v>
      </c>
      <c r="B2436" t="s">
        <v>2558</v>
      </c>
      <c r="C2436" t="str">
        <f>"9781571104199"</f>
        <v>9781571104199</v>
      </c>
      <c r="D2436" t="str">
        <f>"9781571107046"</f>
        <v>9781571107046</v>
      </c>
      <c r="E2436" t="s">
        <v>1329</v>
      </c>
      <c r="F2436" t="s">
        <v>1330</v>
      </c>
      <c r="G2436" s="1">
        <v>38353</v>
      </c>
      <c r="H2436" s="1">
        <v>39060</v>
      </c>
      <c r="I2436" t="s">
        <v>12</v>
      </c>
      <c r="J2436" t="s">
        <v>13206</v>
      </c>
    </row>
    <row r="2437" spans="1:10" x14ac:dyDescent="0.25">
      <c r="A2437">
        <v>280894</v>
      </c>
      <c r="B2437" t="s">
        <v>2559</v>
      </c>
      <c r="C2437" t="str">
        <f>"9781571104120"</f>
        <v>9781571104120</v>
      </c>
      <c r="D2437" t="str">
        <f>"9781571107053"</f>
        <v>9781571107053</v>
      </c>
      <c r="E2437" t="s">
        <v>1329</v>
      </c>
      <c r="F2437" t="s">
        <v>1330</v>
      </c>
      <c r="G2437" s="1">
        <v>38538</v>
      </c>
      <c r="H2437" s="1">
        <v>39060</v>
      </c>
      <c r="I2437" t="s">
        <v>12</v>
      </c>
      <c r="J2437" t="s">
        <v>13207</v>
      </c>
    </row>
    <row r="2438" spans="1:10" x14ac:dyDescent="0.25">
      <c r="A2438">
        <v>280918</v>
      </c>
      <c r="B2438" t="s">
        <v>2560</v>
      </c>
      <c r="C2438" t="str">
        <f>"9780195169690"</f>
        <v>9780195169690</v>
      </c>
      <c r="D2438" t="str">
        <f>"9780198037934"</f>
        <v>9780198037934</v>
      </c>
      <c r="E2438" t="s">
        <v>1268</v>
      </c>
      <c r="F2438" t="s">
        <v>1268</v>
      </c>
      <c r="G2438" s="1">
        <v>38365</v>
      </c>
      <c r="H2438" s="1">
        <v>40082</v>
      </c>
      <c r="I2438" t="s">
        <v>12</v>
      </c>
      <c r="J2438" t="s">
        <v>13208</v>
      </c>
    </row>
    <row r="2439" spans="1:10" x14ac:dyDescent="0.25">
      <c r="A2439">
        <v>280964</v>
      </c>
      <c r="B2439" t="s">
        <v>2561</v>
      </c>
      <c r="C2439" t="str">
        <f>"9780195120721"</f>
        <v>9780195120721</v>
      </c>
      <c r="D2439" t="str">
        <f>"9780198028253"</f>
        <v>9780198028253</v>
      </c>
      <c r="E2439" t="s">
        <v>1133</v>
      </c>
      <c r="F2439" t="s">
        <v>1273</v>
      </c>
      <c r="G2439" s="1">
        <v>36510</v>
      </c>
      <c r="H2439" s="1">
        <v>39862</v>
      </c>
      <c r="I2439" t="s">
        <v>12</v>
      </c>
      <c r="J2439" t="s">
        <v>13209</v>
      </c>
    </row>
    <row r="2440" spans="1:10" x14ac:dyDescent="0.25">
      <c r="A2440">
        <v>280987</v>
      </c>
      <c r="B2440" t="s">
        <v>2562</v>
      </c>
      <c r="C2440" t="str">
        <f>"9780195131222"</f>
        <v>9780195131222</v>
      </c>
      <c r="D2440" t="str">
        <f>"9780198030072"</f>
        <v>9780198030072</v>
      </c>
      <c r="E2440" t="s">
        <v>1133</v>
      </c>
      <c r="F2440" t="s">
        <v>1273</v>
      </c>
      <c r="G2440" s="1">
        <v>37257</v>
      </c>
      <c r="H2440" s="1">
        <v>39862</v>
      </c>
      <c r="I2440" t="s">
        <v>12</v>
      </c>
      <c r="J2440" t="s">
        <v>13210</v>
      </c>
    </row>
    <row r="2441" spans="1:10" x14ac:dyDescent="0.25">
      <c r="A2441">
        <v>281085</v>
      </c>
      <c r="B2441" t="s">
        <v>2563</v>
      </c>
      <c r="C2441" t="str">
        <f>"9780195170023"</f>
        <v>9780195170023</v>
      </c>
      <c r="D2441" t="str">
        <f>"9780195346930"</f>
        <v>9780195346930</v>
      </c>
      <c r="E2441" t="s">
        <v>1270</v>
      </c>
      <c r="F2441" t="s">
        <v>1270</v>
      </c>
      <c r="G2441" s="1">
        <v>38288</v>
      </c>
      <c r="H2441" s="1">
        <v>40082</v>
      </c>
      <c r="I2441" t="s">
        <v>12</v>
      </c>
      <c r="J2441" t="s">
        <v>13211</v>
      </c>
    </row>
    <row r="2442" spans="1:10" x14ac:dyDescent="0.25">
      <c r="A2442">
        <v>281150</v>
      </c>
      <c r="B2442" t="s">
        <v>2564</v>
      </c>
      <c r="C2442" t="str">
        <f>"9780195135046"</f>
        <v>9780195135046</v>
      </c>
      <c r="D2442" t="str">
        <f>"9780198030867"</f>
        <v>9780198030867</v>
      </c>
      <c r="E2442" t="s">
        <v>1268</v>
      </c>
      <c r="F2442" t="s">
        <v>1268</v>
      </c>
      <c r="G2442" s="1">
        <v>38337</v>
      </c>
      <c r="H2442" s="1">
        <v>40082</v>
      </c>
      <c r="I2442" t="s">
        <v>12</v>
      </c>
      <c r="J2442" t="s">
        <v>13212</v>
      </c>
    </row>
    <row r="2443" spans="1:10" x14ac:dyDescent="0.25">
      <c r="A2443">
        <v>281168</v>
      </c>
      <c r="B2443" t="s">
        <v>2565</v>
      </c>
      <c r="C2443" t="str">
        <f>"9780195152661"</f>
        <v>9780195152661</v>
      </c>
      <c r="D2443" t="str">
        <f>"9780198034803"</f>
        <v>9780198034803</v>
      </c>
      <c r="E2443" t="s">
        <v>1268</v>
      </c>
      <c r="F2443" t="s">
        <v>1268</v>
      </c>
      <c r="G2443" s="1">
        <v>38793</v>
      </c>
      <c r="H2443" s="1">
        <v>40082</v>
      </c>
      <c r="I2443" t="s">
        <v>12</v>
      </c>
      <c r="J2443" t="s">
        <v>13213</v>
      </c>
    </row>
    <row r="2444" spans="1:10" x14ac:dyDescent="0.25">
      <c r="A2444">
        <v>281191</v>
      </c>
      <c r="B2444" t="s">
        <v>2566</v>
      </c>
      <c r="C2444" t="str">
        <f>"9780195161984"</f>
        <v>9780195161984</v>
      </c>
      <c r="D2444" t="str">
        <f>"9780198036661"</f>
        <v>9780198036661</v>
      </c>
      <c r="E2444" t="s">
        <v>1268</v>
      </c>
      <c r="F2444" t="s">
        <v>1268</v>
      </c>
      <c r="G2444" s="1">
        <v>38596</v>
      </c>
      <c r="H2444" s="1">
        <v>40082</v>
      </c>
      <c r="I2444" t="s">
        <v>12</v>
      </c>
      <c r="J2444" t="s">
        <v>13214</v>
      </c>
    </row>
    <row r="2445" spans="1:10" x14ac:dyDescent="0.25">
      <c r="A2445">
        <v>281193</v>
      </c>
      <c r="B2445" t="s">
        <v>2567</v>
      </c>
      <c r="C2445" t="str">
        <f>"9780195152418"</f>
        <v>9780195152418</v>
      </c>
      <c r="D2445" t="str">
        <f>"9780198030164"</f>
        <v>9780198030164</v>
      </c>
      <c r="E2445" t="s">
        <v>1268</v>
      </c>
      <c r="F2445" t="s">
        <v>1268</v>
      </c>
      <c r="G2445" s="1">
        <v>36916</v>
      </c>
      <c r="H2445" s="1">
        <v>39862</v>
      </c>
      <c r="I2445" t="s">
        <v>12</v>
      </c>
      <c r="J2445" t="s">
        <v>13215</v>
      </c>
    </row>
    <row r="2446" spans="1:10" x14ac:dyDescent="0.25">
      <c r="A2446">
        <v>281213</v>
      </c>
      <c r="B2446" t="s">
        <v>2568</v>
      </c>
      <c r="C2446" t="str">
        <f>"9780195142143"</f>
        <v>9780195142143</v>
      </c>
      <c r="D2446" t="str">
        <f>"9780198032502"</f>
        <v>9780198032502</v>
      </c>
      <c r="E2446" t="s">
        <v>1268</v>
      </c>
      <c r="F2446" t="s">
        <v>1268</v>
      </c>
      <c r="G2446" s="1">
        <v>38306</v>
      </c>
      <c r="H2446" s="1">
        <v>40082</v>
      </c>
      <c r="I2446" t="s">
        <v>12</v>
      </c>
      <c r="J2446" t="s">
        <v>13216</v>
      </c>
    </row>
    <row r="2447" spans="1:10" x14ac:dyDescent="0.25">
      <c r="A2447">
        <v>281252</v>
      </c>
      <c r="B2447" t="s">
        <v>2569</v>
      </c>
      <c r="C2447" t="str">
        <f>"9780195169355"</f>
        <v>9780195169355</v>
      </c>
      <c r="D2447" t="str">
        <f>"9780198037873"</f>
        <v>9780198037873</v>
      </c>
      <c r="E2447" t="s">
        <v>1268</v>
      </c>
      <c r="F2447" t="s">
        <v>1268</v>
      </c>
      <c r="G2447" s="1">
        <v>38897</v>
      </c>
      <c r="H2447" s="1">
        <v>40082</v>
      </c>
      <c r="I2447" t="s">
        <v>12</v>
      </c>
      <c r="J2447" t="s">
        <v>13217</v>
      </c>
    </row>
    <row r="2448" spans="1:10" x14ac:dyDescent="0.25">
      <c r="A2448">
        <v>281327</v>
      </c>
      <c r="B2448" t="s">
        <v>2570</v>
      </c>
      <c r="C2448" t="str">
        <f>"9780195034936"</f>
        <v>9780195034936</v>
      </c>
      <c r="D2448" t="str">
        <f>"9780198020585"</f>
        <v>9780198020585</v>
      </c>
      <c r="E2448" t="s">
        <v>1270</v>
      </c>
      <c r="F2448" t="s">
        <v>1270</v>
      </c>
      <c r="G2448" s="1">
        <v>31239</v>
      </c>
      <c r="H2448" s="1">
        <v>39933</v>
      </c>
      <c r="I2448" t="s">
        <v>12</v>
      </c>
      <c r="J2448" t="s">
        <v>13218</v>
      </c>
    </row>
    <row r="2449" spans="1:10" x14ac:dyDescent="0.25">
      <c r="A2449">
        <v>281337</v>
      </c>
      <c r="B2449" t="s">
        <v>2571</v>
      </c>
      <c r="C2449" t="str">
        <f>"9780195136166"</f>
        <v>9780195136166</v>
      </c>
      <c r="D2449" t="str">
        <f>"9780195350500"</f>
        <v>9780195350500</v>
      </c>
      <c r="E2449" t="s">
        <v>1270</v>
      </c>
      <c r="F2449" t="s">
        <v>1270</v>
      </c>
      <c r="G2449" s="1">
        <v>37763</v>
      </c>
      <c r="H2449" s="1">
        <v>40082</v>
      </c>
      <c r="I2449" t="s">
        <v>12</v>
      </c>
      <c r="J2449" t="s">
        <v>13219</v>
      </c>
    </row>
    <row r="2450" spans="1:10" x14ac:dyDescent="0.25">
      <c r="A2450">
        <v>281341</v>
      </c>
      <c r="B2450" t="s">
        <v>2572</v>
      </c>
      <c r="C2450" t="str">
        <f>"9780195159912"</f>
        <v>9780195159912</v>
      </c>
      <c r="D2450" t="str">
        <f>"9780195347845"</f>
        <v>9780195347845</v>
      </c>
      <c r="E2450" t="s">
        <v>1268</v>
      </c>
      <c r="F2450" t="s">
        <v>1268</v>
      </c>
      <c r="G2450" s="1">
        <v>38435</v>
      </c>
      <c r="H2450" s="1">
        <v>40082</v>
      </c>
      <c r="I2450" t="s">
        <v>12</v>
      </c>
      <c r="J2450" t="s">
        <v>13220</v>
      </c>
    </row>
    <row r="2451" spans="1:10" x14ac:dyDescent="0.25">
      <c r="A2451">
        <v>281375</v>
      </c>
      <c r="B2451" t="s">
        <v>2573</v>
      </c>
      <c r="C2451" t="str">
        <f>"9780195161649"</f>
        <v>9780195161649</v>
      </c>
      <c r="D2451" t="str">
        <f>"9780195347593"</f>
        <v>9780195347593</v>
      </c>
      <c r="E2451" t="s">
        <v>1133</v>
      </c>
      <c r="F2451" t="s">
        <v>1273</v>
      </c>
      <c r="G2451" s="1">
        <v>38718</v>
      </c>
      <c r="H2451" s="1">
        <v>40082</v>
      </c>
      <c r="I2451" t="s">
        <v>12</v>
      </c>
      <c r="J2451" t="s">
        <v>13221</v>
      </c>
    </row>
    <row r="2452" spans="1:10" x14ac:dyDescent="0.25">
      <c r="A2452">
        <v>281386</v>
      </c>
      <c r="B2452" t="s">
        <v>2574</v>
      </c>
      <c r="C2452" t="str">
        <f>"9780195152982"</f>
        <v>9780195152982</v>
      </c>
      <c r="D2452" t="str">
        <f>"9780195348422"</f>
        <v>9780195348422</v>
      </c>
      <c r="E2452" t="s">
        <v>1133</v>
      </c>
      <c r="F2452" t="s">
        <v>1273</v>
      </c>
      <c r="G2452" s="1">
        <v>37987</v>
      </c>
      <c r="H2452" s="1">
        <v>40082</v>
      </c>
      <c r="I2452" t="s">
        <v>12</v>
      </c>
      <c r="J2452" t="s">
        <v>13222</v>
      </c>
    </row>
    <row r="2453" spans="1:10" x14ac:dyDescent="0.25">
      <c r="A2453">
        <v>281404</v>
      </c>
      <c r="B2453" t="s">
        <v>2575</v>
      </c>
      <c r="C2453" t="str">
        <f>"9780199753710"</f>
        <v>9780199753710</v>
      </c>
      <c r="D2453" t="str">
        <f>"9780195346947"</f>
        <v>9780195346947</v>
      </c>
      <c r="E2453" t="s">
        <v>1270</v>
      </c>
      <c r="F2453" t="s">
        <v>1270</v>
      </c>
      <c r="G2453" s="1">
        <v>38813</v>
      </c>
      <c r="H2453" s="1">
        <v>40082</v>
      </c>
      <c r="I2453" t="s">
        <v>12</v>
      </c>
      <c r="J2453" t="s">
        <v>13223</v>
      </c>
    </row>
    <row r="2454" spans="1:10" x14ac:dyDescent="0.25">
      <c r="A2454">
        <v>281615</v>
      </c>
      <c r="B2454" t="s">
        <v>2576</v>
      </c>
      <c r="C2454" t="str">
        <f>"9781416603900"</f>
        <v>9781416603900</v>
      </c>
      <c r="D2454" t="str">
        <f>"9781416605478"</f>
        <v>9781416605478</v>
      </c>
      <c r="E2454" t="s">
        <v>2492</v>
      </c>
      <c r="F2454" t="s">
        <v>2494</v>
      </c>
      <c r="G2454" s="1">
        <v>38975</v>
      </c>
      <c r="H2454" s="1">
        <v>39073</v>
      </c>
      <c r="I2454" t="s">
        <v>12</v>
      </c>
      <c r="J2454" t="s">
        <v>13224</v>
      </c>
    </row>
    <row r="2455" spans="1:10" x14ac:dyDescent="0.25">
      <c r="A2455">
        <v>281721</v>
      </c>
      <c r="B2455" t="s">
        <v>2577</v>
      </c>
      <c r="C2455" t="str">
        <f>"9780521841283"</f>
        <v>9780521841283</v>
      </c>
      <c r="D2455" t="str">
        <f>"9780511259296"</f>
        <v>9780511259296</v>
      </c>
      <c r="E2455" t="s">
        <v>18</v>
      </c>
      <c r="F2455" t="s">
        <v>18</v>
      </c>
      <c r="G2455" s="1">
        <v>39044</v>
      </c>
      <c r="H2455" s="1">
        <v>39102</v>
      </c>
      <c r="I2455" t="s">
        <v>12</v>
      </c>
      <c r="J2455" t="s">
        <v>13225</v>
      </c>
    </row>
    <row r="2456" spans="1:10" x14ac:dyDescent="0.25">
      <c r="A2456">
        <v>281728</v>
      </c>
      <c r="B2456" t="s">
        <v>2578</v>
      </c>
      <c r="C2456" t="str">
        <f>"9780521850230"</f>
        <v>9780521850230</v>
      </c>
      <c r="D2456" t="str">
        <f>"9780511259364"</f>
        <v>9780511259364</v>
      </c>
      <c r="E2456" t="s">
        <v>18</v>
      </c>
      <c r="F2456" t="s">
        <v>18</v>
      </c>
      <c r="G2456" s="1">
        <v>39072</v>
      </c>
      <c r="H2456" s="1">
        <v>39092</v>
      </c>
      <c r="I2456" t="s">
        <v>12</v>
      </c>
      <c r="J2456" t="s">
        <v>13226</v>
      </c>
    </row>
    <row r="2457" spans="1:10" x14ac:dyDescent="0.25">
      <c r="A2457">
        <v>281729</v>
      </c>
      <c r="B2457" t="s">
        <v>2579</v>
      </c>
      <c r="C2457" t="str">
        <f>"9780521852814"</f>
        <v>9780521852814</v>
      </c>
      <c r="D2457" t="str">
        <f>"9780511259371"</f>
        <v>9780511259371</v>
      </c>
      <c r="E2457" t="s">
        <v>18</v>
      </c>
      <c r="F2457" t="s">
        <v>18</v>
      </c>
      <c r="G2457" s="1">
        <v>39065</v>
      </c>
      <c r="H2457" s="1">
        <v>39102</v>
      </c>
      <c r="I2457" t="s">
        <v>12</v>
      </c>
      <c r="J2457" t="s">
        <v>13227</v>
      </c>
    </row>
    <row r="2458" spans="1:10" x14ac:dyDescent="0.25">
      <c r="A2458">
        <v>281733</v>
      </c>
      <c r="B2458" t="s">
        <v>2580</v>
      </c>
      <c r="C2458" t="str">
        <f>"9780521855969"</f>
        <v>9780521855969</v>
      </c>
      <c r="D2458" t="str">
        <f>"9780511259418"</f>
        <v>9780511259418</v>
      </c>
      <c r="E2458" t="s">
        <v>18</v>
      </c>
      <c r="F2458" t="s">
        <v>18</v>
      </c>
      <c r="G2458" s="1">
        <v>39052</v>
      </c>
      <c r="H2458" s="1">
        <v>39120</v>
      </c>
      <c r="I2458" t="s">
        <v>12</v>
      </c>
      <c r="J2458" t="s">
        <v>13228</v>
      </c>
    </row>
    <row r="2459" spans="1:10" x14ac:dyDescent="0.25">
      <c r="A2459">
        <v>281735</v>
      </c>
      <c r="B2459" t="s">
        <v>2581</v>
      </c>
      <c r="C2459" t="str">
        <f>"9780521857475"</f>
        <v>9780521857475</v>
      </c>
      <c r="D2459" t="str">
        <f>"9780511259432"</f>
        <v>9780511259432</v>
      </c>
      <c r="E2459" t="s">
        <v>18</v>
      </c>
      <c r="F2459" t="s">
        <v>18</v>
      </c>
      <c r="G2459" s="1">
        <v>39076</v>
      </c>
      <c r="H2459" s="1">
        <v>39114</v>
      </c>
      <c r="I2459" t="s">
        <v>12</v>
      </c>
      <c r="J2459" t="s">
        <v>13229</v>
      </c>
    </row>
    <row r="2460" spans="1:10" x14ac:dyDescent="0.25">
      <c r="A2460">
        <v>281739</v>
      </c>
      <c r="B2460" t="s">
        <v>2582</v>
      </c>
      <c r="C2460" t="str">
        <f>"9780521861700"</f>
        <v>9780521861700</v>
      </c>
      <c r="D2460" t="str">
        <f>"9780511259487"</f>
        <v>9780511259487</v>
      </c>
      <c r="E2460" t="s">
        <v>18</v>
      </c>
      <c r="F2460" t="s">
        <v>18</v>
      </c>
      <c r="G2460" s="1">
        <v>39072</v>
      </c>
      <c r="H2460" s="1">
        <v>39114</v>
      </c>
      <c r="I2460" t="s">
        <v>12</v>
      </c>
      <c r="J2460" t="s">
        <v>13230</v>
      </c>
    </row>
    <row r="2461" spans="1:10" x14ac:dyDescent="0.25">
      <c r="A2461">
        <v>281747</v>
      </c>
      <c r="B2461" t="s">
        <v>2583</v>
      </c>
      <c r="C2461" t="str">
        <f>"9780521864503"</f>
        <v>9780521864503</v>
      </c>
      <c r="D2461" t="str">
        <f>"9780511259579"</f>
        <v>9780511259579</v>
      </c>
      <c r="E2461" t="s">
        <v>18</v>
      </c>
      <c r="F2461" t="s">
        <v>18</v>
      </c>
      <c r="G2461" s="1">
        <v>39072</v>
      </c>
      <c r="H2461" s="1">
        <v>39092</v>
      </c>
      <c r="I2461" t="s">
        <v>12</v>
      </c>
      <c r="J2461" t="s">
        <v>13231</v>
      </c>
    </row>
    <row r="2462" spans="1:10" x14ac:dyDescent="0.25">
      <c r="A2462">
        <v>281758</v>
      </c>
      <c r="B2462" t="s">
        <v>2584</v>
      </c>
      <c r="C2462" t="str">
        <f>"9780521868327"</f>
        <v>9780521868327</v>
      </c>
      <c r="D2462" t="str">
        <f>"9780511259715"</f>
        <v>9780511259715</v>
      </c>
      <c r="E2462" t="s">
        <v>18</v>
      </c>
      <c r="F2462" t="s">
        <v>18</v>
      </c>
      <c r="G2462" s="1">
        <v>39062</v>
      </c>
      <c r="H2462" s="1">
        <v>39114</v>
      </c>
      <c r="I2462" t="s">
        <v>12</v>
      </c>
      <c r="J2462" t="s">
        <v>13232</v>
      </c>
    </row>
    <row r="2463" spans="1:10" x14ac:dyDescent="0.25">
      <c r="A2463">
        <v>281759</v>
      </c>
      <c r="B2463" t="s">
        <v>2585</v>
      </c>
      <c r="C2463" t="str">
        <f>"9780521869669"</f>
        <v>9780521869669</v>
      </c>
      <c r="D2463" t="str">
        <f>"9780511259722"</f>
        <v>9780511259722</v>
      </c>
      <c r="E2463" t="s">
        <v>18</v>
      </c>
      <c r="F2463" t="s">
        <v>18</v>
      </c>
      <c r="G2463" s="1">
        <v>39065</v>
      </c>
      <c r="H2463" s="1">
        <v>39080</v>
      </c>
      <c r="I2463" t="s">
        <v>12</v>
      </c>
      <c r="J2463" t="s">
        <v>13233</v>
      </c>
    </row>
    <row r="2464" spans="1:10" x14ac:dyDescent="0.25">
      <c r="A2464">
        <v>281764</v>
      </c>
      <c r="B2464" t="s">
        <v>2586</v>
      </c>
      <c r="C2464" t="str">
        <f>"9780521873284"</f>
        <v>9780521873284</v>
      </c>
      <c r="D2464" t="str">
        <f>"9780511259777"</f>
        <v>9780511259777</v>
      </c>
      <c r="E2464" t="s">
        <v>18</v>
      </c>
      <c r="F2464" t="s">
        <v>18</v>
      </c>
      <c r="G2464" s="1">
        <v>39090</v>
      </c>
      <c r="H2464" s="1">
        <v>39092</v>
      </c>
      <c r="I2464" t="s">
        <v>12</v>
      </c>
      <c r="J2464" t="s">
        <v>13234</v>
      </c>
    </row>
    <row r="2465" spans="1:10" x14ac:dyDescent="0.25">
      <c r="A2465">
        <v>281985</v>
      </c>
      <c r="B2465" t="s">
        <v>2587</v>
      </c>
      <c r="C2465" t="str">
        <f>"9780240808741"</f>
        <v>9780240808741</v>
      </c>
      <c r="D2465" t="str">
        <f>"9780080465494"</f>
        <v>9780080465494</v>
      </c>
      <c r="E2465" t="s">
        <v>15</v>
      </c>
      <c r="F2465" t="s">
        <v>1122</v>
      </c>
      <c r="G2465" s="1">
        <v>39006</v>
      </c>
      <c r="H2465" s="1">
        <v>39072</v>
      </c>
      <c r="I2465" t="s">
        <v>12</v>
      </c>
      <c r="J2465" t="s">
        <v>13235</v>
      </c>
    </row>
    <row r="2466" spans="1:10" x14ac:dyDescent="0.25">
      <c r="A2466">
        <v>281999</v>
      </c>
      <c r="B2466" t="s">
        <v>2588</v>
      </c>
      <c r="C2466" t="str">
        <f>"9780240808147"</f>
        <v>9780240808147</v>
      </c>
      <c r="D2466" t="str">
        <f>"9780080466583"</f>
        <v>9780080466583</v>
      </c>
      <c r="E2466" t="s">
        <v>15</v>
      </c>
      <c r="F2466" t="s">
        <v>153</v>
      </c>
      <c r="G2466" s="1">
        <v>39050</v>
      </c>
      <c r="H2466" s="1">
        <v>39093</v>
      </c>
      <c r="I2466" t="s">
        <v>12</v>
      </c>
      <c r="J2466" t="s">
        <v>13236</v>
      </c>
    </row>
    <row r="2467" spans="1:10" x14ac:dyDescent="0.25">
      <c r="A2467">
        <v>282011</v>
      </c>
      <c r="B2467" t="s">
        <v>2589</v>
      </c>
      <c r="C2467" t="str">
        <f>"9780240808284"</f>
        <v>9780240808284</v>
      </c>
      <c r="D2467" t="str">
        <f>"9780080466590"</f>
        <v>9780080466590</v>
      </c>
      <c r="E2467" t="s">
        <v>15</v>
      </c>
      <c r="F2467" t="s">
        <v>16</v>
      </c>
      <c r="G2467" s="1">
        <v>39041</v>
      </c>
      <c r="H2467" s="1">
        <v>39087</v>
      </c>
      <c r="I2467" t="s">
        <v>12</v>
      </c>
      <c r="J2467" t="s">
        <v>13237</v>
      </c>
    </row>
    <row r="2468" spans="1:10" x14ac:dyDescent="0.25">
      <c r="A2468">
        <v>282018</v>
      </c>
      <c r="B2468" t="s">
        <v>2590</v>
      </c>
      <c r="C2468" t="str">
        <f>"9780240808383"</f>
        <v>9780240808383</v>
      </c>
      <c r="D2468" t="str">
        <f>"9780080467214"</f>
        <v>9780080467214</v>
      </c>
      <c r="E2468" t="s">
        <v>15</v>
      </c>
      <c r="F2468" t="s">
        <v>1122</v>
      </c>
      <c r="G2468" s="1">
        <v>39029</v>
      </c>
      <c r="H2468" s="1">
        <v>39093</v>
      </c>
      <c r="I2468" t="s">
        <v>12</v>
      </c>
      <c r="J2468" t="s">
        <v>13238</v>
      </c>
    </row>
    <row r="2469" spans="1:10" x14ac:dyDescent="0.25">
      <c r="A2469">
        <v>282022</v>
      </c>
      <c r="B2469" t="s">
        <v>2591</v>
      </c>
      <c r="C2469" t="str">
        <f>"9780123693747"</f>
        <v>9780123693747</v>
      </c>
      <c r="D2469" t="str">
        <f>"9780080466415"</f>
        <v>9780080466415</v>
      </c>
      <c r="E2469" t="s">
        <v>1119</v>
      </c>
      <c r="F2469" t="s">
        <v>1120</v>
      </c>
      <c r="G2469" s="1">
        <v>39049</v>
      </c>
      <c r="H2469" s="1">
        <v>42341</v>
      </c>
      <c r="I2469" t="s">
        <v>12</v>
      </c>
      <c r="J2469" t="s">
        <v>13239</v>
      </c>
    </row>
    <row r="2470" spans="1:10" x14ac:dyDescent="0.25">
      <c r="A2470">
        <v>282023</v>
      </c>
      <c r="B2470" t="s">
        <v>2592</v>
      </c>
      <c r="C2470" t="str">
        <f>"9780444521033"</f>
        <v>9780444521033</v>
      </c>
      <c r="D2470" t="str">
        <f>"9780080466705"</f>
        <v>9780080466705</v>
      </c>
      <c r="E2470" t="s">
        <v>1119</v>
      </c>
      <c r="F2470" t="s">
        <v>2175</v>
      </c>
      <c r="G2470" s="1">
        <v>39029</v>
      </c>
      <c r="H2470" s="1">
        <v>39091</v>
      </c>
      <c r="I2470" t="s">
        <v>12</v>
      </c>
      <c r="J2470" t="s">
        <v>13240</v>
      </c>
    </row>
    <row r="2471" spans="1:10" x14ac:dyDescent="0.25">
      <c r="A2471">
        <v>282030</v>
      </c>
      <c r="B2471" t="s">
        <v>2593</v>
      </c>
      <c r="C2471" t="str">
        <f>"9780123735522"</f>
        <v>9780123735522</v>
      </c>
      <c r="D2471" t="str">
        <f>"9780080465708"</f>
        <v>9780080465708</v>
      </c>
      <c r="E2471" t="s">
        <v>1119</v>
      </c>
      <c r="F2471" t="s">
        <v>1120</v>
      </c>
      <c r="G2471" s="1">
        <v>39001</v>
      </c>
      <c r="H2471" s="1">
        <v>42341</v>
      </c>
      <c r="I2471" t="s">
        <v>12</v>
      </c>
      <c r="J2471" t="s">
        <v>13241</v>
      </c>
    </row>
    <row r="2472" spans="1:10" x14ac:dyDescent="0.25">
      <c r="A2472">
        <v>282113</v>
      </c>
      <c r="B2472" t="s">
        <v>2594</v>
      </c>
      <c r="C2472" t="str">
        <f>"9780750678346"</f>
        <v>9780750678346</v>
      </c>
      <c r="D2472" t="str">
        <f>"9780080466033"</f>
        <v>9780080466033</v>
      </c>
      <c r="E2472" t="s">
        <v>15</v>
      </c>
      <c r="F2472" t="s">
        <v>16</v>
      </c>
      <c r="G2472" s="1">
        <v>40752</v>
      </c>
      <c r="H2472" s="1">
        <v>40171</v>
      </c>
      <c r="I2472" t="s">
        <v>12</v>
      </c>
      <c r="J2472" t="s">
        <v>13242</v>
      </c>
    </row>
    <row r="2473" spans="1:10" x14ac:dyDescent="0.25">
      <c r="A2473">
        <v>282205</v>
      </c>
      <c r="B2473" t="s">
        <v>2595</v>
      </c>
      <c r="C2473" t="str">
        <f>"9781840466331"</f>
        <v>9781840466331</v>
      </c>
      <c r="D2473" t="str">
        <f>"9781840464559"</f>
        <v>9781840464559</v>
      </c>
      <c r="E2473" t="s">
        <v>2596</v>
      </c>
      <c r="F2473" t="s">
        <v>2596</v>
      </c>
      <c r="G2473" s="1">
        <v>38449</v>
      </c>
      <c r="H2473" s="1">
        <v>39084</v>
      </c>
      <c r="I2473" t="s">
        <v>12</v>
      </c>
      <c r="J2473" t="s">
        <v>13243</v>
      </c>
    </row>
    <row r="2474" spans="1:10" x14ac:dyDescent="0.25">
      <c r="A2474">
        <v>282269</v>
      </c>
      <c r="B2474" t="s">
        <v>2597</v>
      </c>
      <c r="C2474" t="str">
        <f>"9780748622085"</f>
        <v>9780748622085</v>
      </c>
      <c r="D2474" t="str">
        <f>"9780748629640"</f>
        <v>9780748629640</v>
      </c>
      <c r="E2474" t="s">
        <v>1942</v>
      </c>
      <c r="F2474" t="s">
        <v>1942</v>
      </c>
      <c r="G2474" s="1">
        <v>38728</v>
      </c>
      <c r="H2474" s="1">
        <v>39080</v>
      </c>
      <c r="I2474" t="s">
        <v>12</v>
      </c>
      <c r="J2474" t="s">
        <v>13244</v>
      </c>
    </row>
    <row r="2475" spans="1:10" x14ac:dyDescent="0.25">
      <c r="A2475">
        <v>282270</v>
      </c>
      <c r="B2475" t="s">
        <v>2598</v>
      </c>
      <c r="C2475" t="str">
        <f>"9780748621125"</f>
        <v>9780748621125</v>
      </c>
      <c r="D2475" t="str">
        <f>"9780748629350"</f>
        <v>9780748629350</v>
      </c>
      <c r="E2475" t="s">
        <v>1942</v>
      </c>
      <c r="F2475" t="s">
        <v>1942</v>
      </c>
      <c r="G2475" s="1">
        <v>39063</v>
      </c>
      <c r="H2475" s="1">
        <v>39080</v>
      </c>
      <c r="I2475" t="s">
        <v>12</v>
      </c>
      <c r="J2475" t="s">
        <v>13245</v>
      </c>
    </row>
    <row r="2476" spans="1:10" x14ac:dyDescent="0.25">
      <c r="A2476">
        <v>282274</v>
      </c>
      <c r="B2476" t="s">
        <v>2599</v>
      </c>
      <c r="C2476" t="str">
        <f>"9780748623495"</f>
        <v>9780748623495</v>
      </c>
      <c r="D2476" t="str">
        <f>"9780748626359"</f>
        <v>9780748626359</v>
      </c>
      <c r="E2476" t="s">
        <v>1942</v>
      </c>
      <c r="F2476" t="s">
        <v>1942</v>
      </c>
      <c r="G2476" s="1">
        <v>38722</v>
      </c>
      <c r="H2476" s="1">
        <v>39080</v>
      </c>
      <c r="I2476" t="s">
        <v>12</v>
      </c>
      <c r="J2476" t="s">
        <v>13246</v>
      </c>
    </row>
    <row r="2477" spans="1:10" x14ac:dyDescent="0.25">
      <c r="A2477">
        <v>282644</v>
      </c>
      <c r="B2477" t="s">
        <v>2600</v>
      </c>
      <c r="C2477" t="str">
        <f>"9781904048589"</f>
        <v>9781904048589</v>
      </c>
      <c r="D2477" t="str">
        <f>"9781433702754"</f>
        <v>9781433702754</v>
      </c>
      <c r="E2477" t="s">
        <v>2244</v>
      </c>
      <c r="F2477" t="s">
        <v>2244</v>
      </c>
      <c r="G2477" s="1">
        <v>38990</v>
      </c>
      <c r="H2477" s="1">
        <v>39091</v>
      </c>
      <c r="I2477" t="s">
        <v>12</v>
      </c>
      <c r="J2477" t="s">
        <v>13247</v>
      </c>
    </row>
    <row r="2478" spans="1:10" x14ac:dyDescent="0.25">
      <c r="A2478">
        <v>282675</v>
      </c>
      <c r="B2478" t="s">
        <v>2601</v>
      </c>
      <c r="C2478" t="str">
        <f>"9781904048664"</f>
        <v>9781904048664</v>
      </c>
      <c r="D2478" t="str">
        <f>"9781433702167"</f>
        <v>9781433702167</v>
      </c>
      <c r="E2478" t="s">
        <v>2244</v>
      </c>
      <c r="F2478" t="s">
        <v>2244</v>
      </c>
      <c r="G2478" s="1">
        <v>39087</v>
      </c>
      <c r="H2478" s="1">
        <v>39161</v>
      </c>
      <c r="I2478" t="s">
        <v>12</v>
      </c>
      <c r="J2478" t="s">
        <v>13248</v>
      </c>
    </row>
    <row r="2479" spans="1:10" x14ac:dyDescent="0.25">
      <c r="A2479">
        <v>282676</v>
      </c>
      <c r="B2479" t="s">
        <v>2602</v>
      </c>
      <c r="C2479" t="str">
        <f>"9781853599279"</f>
        <v>9781853599279</v>
      </c>
      <c r="D2479" t="str">
        <f>"9781853599286"</f>
        <v>9781853599286</v>
      </c>
      <c r="E2479" t="s">
        <v>886</v>
      </c>
      <c r="F2479" t="s">
        <v>887</v>
      </c>
      <c r="G2479" s="1">
        <v>39064</v>
      </c>
      <c r="H2479" s="1">
        <v>39097</v>
      </c>
      <c r="I2479" t="s">
        <v>12</v>
      </c>
      <c r="J2479" t="s">
        <v>13249</v>
      </c>
    </row>
    <row r="2480" spans="1:10" x14ac:dyDescent="0.25">
      <c r="A2480">
        <v>282682</v>
      </c>
      <c r="B2480" t="s">
        <v>2603</v>
      </c>
      <c r="C2480" t="str">
        <f>"9781853599309"</f>
        <v>9781853599309</v>
      </c>
      <c r="D2480" t="str">
        <f>"9781853599316"</f>
        <v>9781853599316</v>
      </c>
      <c r="E2480" t="s">
        <v>886</v>
      </c>
      <c r="F2480" t="s">
        <v>887</v>
      </c>
      <c r="G2480" s="1">
        <v>39064</v>
      </c>
      <c r="H2480" s="1">
        <v>39097</v>
      </c>
      <c r="I2480" t="s">
        <v>12</v>
      </c>
      <c r="J2480" t="s">
        <v>13250</v>
      </c>
    </row>
    <row r="2481" spans="1:10" x14ac:dyDescent="0.25">
      <c r="A2481">
        <v>282684</v>
      </c>
      <c r="B2481" t="s">
        <v>2604</v>
      </c>
      <c r="C2481" t="str">
        <f>"9781853599354"</f>
        <v>9781853599354</v>
      </c>
      <c r="D2481" t="str">
        <f>"9781853599361"</f>
        <v>9781853599361</v>
      </c>
      <c r="E2481" t="s">
        <v>886</v>
      </c>
      <c r="F2481" t="s">
        <v>887</v>
      </c>
      <c r="G2481" s="1">
        <v>39069</v>
      </c>
      <c r="H2481" s="1">
        <v>39097</v>
      </c>
      <c r="I2481" t="s">
        <v>12</v>
      </c>
      <c r="J2481" t="s">
        <v>13251</v>
      </c>
    </row>
    <row r="2482" spans="1:10" x14ac:dyDescent="0.25">
      <c r="A2482">
        <v>282687</v>
      </c>
      <c r="B2482" t="s">
        <v>2605</v>
      </c>
      <c r="C2482" t="str">
        <f>"9781853599385"</f>
        <v>9781853599385</v>
      </c>
      <c r="D2482" t="str">
        <f>"9781853599392"</f>
        <v>9781853599392</v>
      </c>
      <c r="E2482" t="s">
        <v>886</v>
      </c>
      <c r="F2482" t="s">
        <v>887</v>
      </c>
      <c r="G2482" s="1">
        <v>39092</v>
      </c>
      <c r="H2482" s="1">
        <v>39097</v>
      </c>
      <c r="I2482" t="s">
        <v>12</v>
      </c>
      <c r="J2482" t="s">
        <v>13252</v>
      </c>
    </row>
    <row r="2483" spans="1:10" x14ac:dyDescent="0.25">
      <c r="A2483">
        <v>282688</v>
      </c>
      <c r="B2483" t="s">
        <v>2606</v>
      </c>
      <c r="C2483" t="str">
        <f>"9781853599415"</f>
        <v>9781853599415</v>
      </c>
      <c r="D2483" t="str">
        <f>"9781853599422"</f>
        <v>9781853599422</v>
      </c>
      <c r="E2483" t="s">
        <v>886</v>
      </c>
      <c r="F2483" t="s">
        <v>887</v>
      </c>
      <c r="G2483" s="1">
        <v>39092</v>
      </c>
      <c r="H2483" s="1">
        <v>39097</v>
      </c>
      <c r="I2483" t="s">
        <v>12</v>
      </c>
      <c r="J2483" t="s">
        <v>13253</v>
      </c>
    </row>
    <row r="2484" spans="1:10" x14ac:dyDescent="0.25">
      <c r="A2484">
        <v>282689</v>
      </c>
      <c r="B2484" t="s">
        <v>2607</v>
      </c>
      <c r="C2484" t="str">
        <f>"9781845410568"</f>
        <v>9781845410568</v>
      </c>
      <c r="D2484" t="str">
        <f>"9781845410582"</f>
        <v>9781845410582</v>
      </c>
      <c r="E2484" t="s">
        <v>886</v>
      </c>
      <c r="F2484" t="s">
        <v>886</v>
      </c>
      <c r="G2484" s="1">
        <v>39105</v>
      </c>
      <c r="H2484" s="1">
        <v>39097</v>
      </c>
      <c r="I2484" t="s">
        <v>12</v>
      </c>
      <c r="J2484" t="s">
        <v>13254</v>
      </c>
    </row>
    <row r="2485" spans="1:10" x14ac:dyDescent="0.25">
      <c r="A2485">
        <v>282690</v>
      </c>
      <c r="B2485" t="s">
        <v>2608</v>
      </c>
      <c r="C2485" t="str">
        <f>"9781853599446"</f>
        <v>9781853599446</v>
      </c>
      <c r="D2485" t="str">
        <f>"9781853599453"</f>
        <v>9781853599453</v>
      </c>
      <c r="E2485" t="s">
        <v>886</v>
      </c>
      <c r="F2485" t="s">
        <v>887</v>
      </c>
      <c r="G2485" s="1">
        <v>39105</v>
      </c>
      <c r="H2485" s="1">
        <v>39097</v>
      </c>
      <c r="I2485" t="s">
        <v>12</v>
      </c>
      <c r="J2485" t="s">
        <v>13255</v>
      </c>
    </row>
    <row r="2486" spans="1:10" x14ac:dyDescent="0.25">
      <c r="A2486">
        <v>282789</v>
      </c>
      <c r="B2486" t="s">
        <v>2609</v>
      </c>
      <c r="C2486" t="str">
        <f>"9780849397745"</f>
        <v>9780849397745</v>
      </c>
      <c r="D2486" t="str">
        <f>"9781420009781"</f>
        <v>9781420009781</v>
      </c>
      <c r="E2486" t="s">
        <v>15</v>
      </c>
      <c r="F2486" t="s">
        <v>139</v>
      </c>
      <c r="G2486" s="1">
        <v>39010</v>
      </c>
      <c r="H2486" s="1">
        <v>39122</v>
      </c>
      <c r="I2486" t="s">
        <v>12</v>
      </c>
      <c r="J2486" t="s">
        <v>13256</v>
      </c>
    </row>
    <row r="2487" spans="1:10" x14ac:dyDescent="0.25">
      <c r="A2487">
        <v>282795</v>
      </c>
      <c r="B2487" t="s">
        <v>2610</v>
      </c>
      <c r="C2487" t="str">
        <f>"9780849337772"</f>
        <v>9780849337772</v>
      </c>
      <c r="D2487" t="str">
        <f>"9781420005417"</f>
        <v>9781420005417</v>
      </c>
      <c r="E2487" t="s">
        <v>144</v>
      </c>
      <c r="F2487" t="s">
        <v>144</v>
      </c>
      <c r="G2487" s="1">
        <v>39035</v>
      </c>
      <c r="H2487" s="1">
        <v>39100</v>
      </c>
      <c r="I2487" t="s">
        <v>12</v>
      </c>
      <c r="J2487" t="s">
        <v>13257</v>
      </c>
    </row>
    <row r="2488" spans="1:10" x14ac:dyDescent="0.25">
      <c r="A2488">
        <v>282801</v>
      </c>
      <c r="B2488" t="s">
        <v>2611</v>
      </c>
      <c r="C2488" t="str">
        <f>"9780849372537"</f>
        <v>9780849372537</v>
      </c>
      <c r="D2488" t="str">
        <f>"9781420004106"</f>
        <v>9781420004106</v>
      </c>
      <c r="E2488" t="s">
        <v>15</v>
      </c>
      <c r="F2488" t="s">
        <v>139</v>
      </c>
      <c r="G2488" s="1">
        <v>39023</v>
      </c>
      <c r="H2488" s="1">
        <v>39116</v>
      </c>
      <c r="I2488" t="s">
        <v>12</v>
      </c>
      <c r="J2488" t="s">
        <v>13258</v>
      </c>
    </row>
    <row r="2489" spans="1:10" x14ac:dyDescent="0.25">
      <c r="A2489">
        <v>282802</v>
      </c>
      <c r="B2489" t="s">
        <v>2612</v>
      </c>
      <c r="C2489" t="str">
        <f>"9780415979207"</f>
        <v>9780415979207</v>
      </c>
      <c r="D2489" t="str">
        <f>"9780203961575"</f>
        <v>9780203961575</v>
      </c>
      <c r="E2489" t="s">
        <v>15</v>
      </c>
      <c r="F2489" t="s">
        <v>16</v>
      </c>
      <c r="G2489" s="1">
        <v>39014</v>
      </c>
      <c r="H2489" s="1">
        <v>39100</v>
      </c>
      <c r="I2489" t="s">
        <v>12</v>
      </c>
      <c r="J2489" t="s">
        <v>13259</v>
      </c>
    </row>
    <row r="2490" spans="1:10" x14ac:dyDescent="0.25">
      <c r="A2490">
        <v>282806</v>
      </c>
      <c r="B2490" t="s">
        <v>2613</v>
      </c>
      <c r="C2490" t="str">
        <f>"9780415953191"</f>
        <v>9780415953191</v>
      </c>
      <c r="D2490" t="str">
        <f>"9780203961568"</f>
        <v>9780203961568</v>
      </c>
      <c r="E2490" t="s">
        <v>15</v>
      </c>
      <c r="F2490" t="s">
        <v>16</v>
      </c>
      <c r="G2490" s="1">
        <v>38992</v>
      </c>
      <c r="H2490" s="1">
        <v>39100</v>
      </c>
      <c r="I2490" t="s">
        <v>12</v>
      </c>
      <c r="J2490" t="s">
        <v>13260</v>
      </c>
    </row>
    <row r="2491" spans="1:10" x14ac:dyDescent="0.25">
      <c r="A2491">
        <v>282808</v>
      </c>
      <c r="B2491" t="s">
        <v>2614</v>
      </c>
      <c r="C2491" t="str">
        <f>"9780824726317"</f>
        <v>9780824726317</v>
      </c>
      <c r="D2491" t="str">
        <f>"9781420014846"</f>
        <v>9781420014846</v>
      </c>
      <c r="E2491" t="s">
        <v>15</v>
      </c>
      <c r="F2491" t="s">
        <v>139</v>
      </c>
      <c r="G2491" s="1">
        <v>38982</v>
      </c>
      <c r="H2491" s="1">
        <v>39116</v>
      </c>
      <c r="I2491" t="s">
        <v>12</v>
      </c>
      <c r="J2491" t="s">
        <v>13261</v>
      </c>
    </row>
    <row r="2492" spans="1:10" x14ac:dyDescent="0.25">
      <c r="A2492">
        <v>282810</v>
      </c>
      <c r="B2492" t="s">
        <v>2615</v>
      </c>
      <c r="C2492" t="str">
        <f>"9780849328428"</f>
        <v>9780849328428</v>
      </c>
      <c r="D2492" t="str">
        <f>"9781420004366"</f>
        <v>9781420004366</v>
      </c>
      <c r="E2492" t="s">
        <v>15</v>
      </c>
      <c r="F2492" t="s">
        <v>139</v>
      </c>
      <c r="G2492" s="1">
        <v>39013</v>
      </c>
      <c r="H2492" s="1">
        <v>39100</v>
      </c>
      <c r="I2492" t="s">
        <v>12</v>
      </c>
      <c r="J2492" t="s">
        <v>13262</v>
      </c>
    </row>
    <row r="2493" spans="1:10" x14ac:dyDescent="0.25">
      <c r="A2493">
        <v>282817</v>
      </c>
      <c r="B2493" t="s">
        <v>2616</v>
      </c>
      <c r="C2493" t="str">
        <f>"9780415969420"</f>
        <v>9780415969420</v>
      </c>
      <c r="D2493" t="str">
        <f>"9780203961513"</f>
        <v>9780203961513</v>
      </c>
      <c r="E2493" t="s">
        <v>15</v>
      </c>
      <c r="F2493" t="s">
        <v>16</v>
      </c>
      <c r="G2493" s="1">
        <v>39000</v>
      </c>
      <c r="H2493" s="1">
        <v>39100</v>
      </c>
      <c r="I2493" t="s">
        <v>12</v>
      </c>
      <c r="J2493" t="s">
        <v>13263</v>
      </c>
    </row>
    <row r="2494" spans="1:10" x14ac:dyDescent="0.25">
      <c r="A2494">
        <v>282885</v>
      </c>
      <c r="B2494" t="s">
        <v>2617</v>
      </c>
      <c r="C2494" t="str">
        <f>""</f>
        <v/>
      </c>
      <c r="D2494" t="str">
        <f>"9781846632648"</f>
        <v>9781846632648</v>
      </c>
      <c r="E2494" t="s">
        <v>1116</v>
      </c>
      <c r="F2494" t="s">
        <v>1117</v>
      </c>
      <c r="G2494" s="1">
        <v>38353</v>
      </c>
      <c r="H2494" s="1">
        <v>39184</v>
      </c>
      <c r="I2494" t="s">
        <v>12</v>
      </c>
      <c r="J2494" t="s">
        <v>13264</v>
      </c>
    </row>
    <row r="2495" spans="1:10" x14ac:dyDescent="0.25">
      <c r="A2495">
        <v>282887</v>
      </c>
      <c r="B2495" t="s">
        <v>2618</v>
      </c>
      <c r="C2495" t="str">
        <f>""</f>
        <v/>
      </c>
      <c r="D2495" t="str">
        <f>"9781846632662"</f>
        <v>9781846632662</v>
      </c>
      <c r="E2495" t="s">
        <v>1116</v>
      </c>
      <c r="F2495" t="s">
        <v>1117</v>
      </c>
      <c r="G2495" s="1">
        <v>37987</v>
      </c>
      <c r="H2495" s="1">
        <v>39184</v>
      </c>
      <c r="I2495" t="s">
        <v>12</v>
      </c>
      <c r="J2495" t="s">
        <v>13265</v>
      </c>
    </row>
    <row r="2496" spans="1:10" x14ac:dyDescent="0.25">
      <c r="A2496">
        <v>282892</v>
      </c>
      <c r="B2496" t="s">
        <v>1127</v>
      </c>
      <c r="C2496" t="str">
        <f>""</f>
        <v/>
      </c>
      <c r="D2496" t="str">
        <f>"9781846632716"</f>
        <v>9781846632716</v>
      </c>
      <c r="E2496" t="s">
        <v>1116</v>
      </c>
      <c r="F2496" t="s">
        <v>1117</v>
      </c>
      <c r="G2496" s="1">
        <v>37987</v>
      </c>
      <c r="H2496" s="1">
        <v>39184</v>
      </c>
      <c r="I2496" t="s">
        <v>12</v>
      </c>
      <c r="J2496" t="s">
        <v>13266</v>
      </c>
    </row>
    <row r="2497" spans="1:10" x14ac:dyDescent="0.25">
      <c r="A2497">
        <v>282893</v>
      </c>
      <c r="B2497" t="s">
        <v>2619</v>
      </c>
      <c r="C2497" t="str">
        <f>""</f>
        <v/>
      </c>
      <c r="D2497" t="str">
        <f>"9781846632723"</f>
        <v>9781846632723</v>
      </c>
      <c r="E2497" t="s">
        <v>1116</v>
      </c>
      <c r="F2497" t="s">
        <v>1117</v>
      </c>
      <c r="G2497" s="1">
        <v>38353</v>
      </c>
      <c r="H2497" s="1">
        <v>39184</v>
      </c>
      <c r="I2497" t="s">
        <v>12</v>
      </c>
      <c r="J2497" t="s">
        <v>13267</v>
      </c>
    </row>
    <row r="2498" spans="1:10" x14ac:dyDescent="0.25">
      <c r="A2498">
        <v>282894</v>
      </c>
      <c r="B2498" t="s">
        <v>2620</v>
      </c>
      <c r="C2498" t="str">
        <f>""</f>
        <v/>
      </c>
      <c r="D2498" t="str">
        <f>"9781846632730"</f>
        <v>9781846632730</v>
      </c>
      <c r="E2498" t="s">
        <v>1116</v>
      </c>
      <c r="F2498" t="s">
        <v>1117</v>
      </c>
      <c r="G2498" s="1">
        <v>37987</v>
      </c>
      <c r="H2498" s="1">
        <v>39184</v>
      </c>
      <c r="I2498" t="s">
        <v>12</v>
      </c>
      <c r="J2498" t="s">
        <v>13268</v>
      </c>
    </row>
    <row r="2499" spans="1:10" x14ac:dyDescent="0.25">
      <c r="A2499">
        <v>282897</v>
      </c>
      <c r="B2499" t="s">
        <v>2621</v>
      </c>
      <c r="C2499" t="str">
        <f>""</f>
        <v/>
      </c>
      <c r="D2499" t="str">
        <f>"9781846632761"</f>
        <v>9781846632761</v>
      </c>
      <c r="E2499" t="s">
        <v>1116</v>
      </c>
      <c r="F2499" t="s">
        <v>1117</v>
      </c>
      <c r="G2499" s="1">
        <v>38353</v>
      </c>
      <c r="H2499" s="1">
        <v>39184</v>
      </c>
      <c r="I2499" t="s">
        <v>12</v>
      </c>
      <c r="J2499" t="s">
        <v>13269</v>
      </c>
    </row>
    <row r="2500" spans="1:10" x14ac:dyDescent="0.25">
      <c r="A2500">
        <v>282899</v>
      </c>
      <c r="B2500" t="s">
        <v>2622</v>
      </c>
      <c r="C2500" t="str">
        <f>""</f>
        <v/>
      </c>
      <c r="D2500" t="str">
        <f>"9781846632785"</f>
        <v>9781846632785</v>
      </c>
      <c r="E2500" t="s">
        <v>1116</v>
      </c>
      <c r="F2500" t="s">
        <v>1117</v>
      </c>
      <c r="G2500" s="1">
        <v>38353</v>
      </c>
      <c r="H2500" s="1">
        <v>39184</v>
      </c>
      <c r="I2500" t="s">
        <v>12</v>
      </c>
      <c r="J2500" t="s">
        <v>13270</v>
      </c>
    </row>
    <row r="2501" spans="1:10" x14ac:dyDescent="0.25">
      <c r="A2501">
        <v>282900</v>
      </c>
      <c r="B2501" t="s">
        <v>2623</v>
      </c>
      <c r="C2501" t="str">
        <f>""</f>
        <v/>
      </c>
      <c r="D2501" t="str">
        <f>"9781846632792"</f>
        <v>9781846632792</v>
      </c>
      <c r="E2501" t="s">
        <v>1116</v>
      </c>
      <c r="F2501" t="s">
        <v>1117</v>
      </c>
      <c r="G2501" s="1">
        <v>37987</v>
      </c>
      <c r="H2501" s="1">
        <v>39184</v>
      </c>
      <c r="I2501" t="s">
        <v>12</v>
      </c>
      <c r="J2501" t="s">
        <v>13271</v>
      </c>
    </row>
    <row r="2502" spans="1:10" x14ac:dyDescent="0.25">
      <c r="A2502">
        <v>282903</v>
      </c>
      <c r="B2502" t="s">
        <v>2624</v>
      </c>
      <c r="C2502" t="str">
        <f>""</f>
        <v/>
      </c>
      <c r="D2502" t="str">
        <f>"9781846632822"</f>
        <v>9781846632822</v>
      </c>
      <c r="E2502" t="s">
        <v>1116</v>
      </c>
      <c r="F2502" t="s">
        <v>1117</v>
      </c>
      <c r="G2502" s="1">
        <v>38353</v>
      </c>
      <c r="H2502" s="1">
        <v>39184</v>
      </c>
      <c r="I2502" t="s">
        <v>12</v>
      </c>
      <c r="J2502" t="s">
        <v>13272</v>
      </c>
    </row>
    <row r="2503" spans="1:10" x14ac:dyDescent="0.25">
      <c r="A2503">
        <v>282904</v>
      </c>
      <c r="B2503" t="s">
        <v>2625</v>
      </c>
      <c r="C2503" t="str">
        <f>""</f>
        <v/>
      </c>
      <c r="D2503" t="str">
        <f>"9781846632839"</f>
        <v>9781846632839</v>
      </c>
      <c r="E2503" t="s">
        <v>1116</v>
      </c>
      <c r="F2503" t="s">
        <v>1117</v>
      </c>
      <c r="G2503" s="1">
        <v>38353</v>
      </c>
      <c r="H2503" s="1">
        <v>39184</v>
      </c>
      <c r="I2503" t="s">
        <v>12</v>
      </c>
      <c r="J2503" t="s">
        <v>13273</v>
      </c>
    </row>
    <row r="2504" spans="1:10" x14ac:dyDescent="0.25">
      <c r="A2504">
        <v>282905</v>
      </c>
      <c r="B2504" t="s">
        <v>2626</v>
      </c>
      <c r="C2504" t="str">
        <f>""</f>
        <v/>
      </c>
      <c r="D2504" t="str">
        <f>"9781846632846"</f>
        <v>9781846632846</v>
      </c>
      <c r="E2504" t="s">
        <v>1116</v>
      </c>
      <c r="F2504" t="s">
        <v>1117</v>
      </c>
      <c r="G2504" s="1">
        <v>38353</v>
      </c>
      <c r="H2504" s="1">
        <v>39184</v>
      </c>
      <c r="I2504" t="s">
        <v>12</v>
      </c>
      <c r="J2504" t="s">
        <v>13274</v>
      </c>
    </row>
    <row r="2505" spans="1:10" x14ac:dyDescent="0.25">
      <c r="A2505">
        <v>282908</v>
      </c>
      <c r="B2505" t="s">
        <v>2627</v>
      </c>
      <c r="C2505" t="str">
        <f>""</f>
        <v/>
      </c>
      <c r="D2505" t="str">
        <f>"9781846632877"</f>
        <v>9781846632877</v>
      </c>
      <c r="E2505" t="s">
        <v>1116</v>
      </c>
      <c r="F2505" t="s">
        <v>1117</v>
      </c>
      <c r="G2505" s="1">
        <v>38353</v>
      </c>
      <c r="H2505" s="1">
        <v>39184</v>
      </c>
      <c r="I2505" t="s">
        <v>12</v>
      </c>
      <c r="J2505" t="s">
        <v>13275</v>
      </c>
    </row>
    <row r="2506" spans="1:10" x14ac:dyDescent="0.25">
      <c r="A2506">
        <v>282909</v>
      </c>
      <c r="B2506" t="s">
        <v>2628</v>
      </c>
      <c r="C2506" t="str">
        <f>""</f>
        <v/>
      </c>
      <c r="D2506" t="str">
        <f>"9781846632884"</f>
        <v>9781846632884</v>
      </c>
      <c r="E2506" t="s">
        <v>1116</v>
      </c>
      <c r="F2506" t="s">
        <v>1117</v>
      </c>
      <c r="G2506" s="1">
        <v>38353</v>
      </c>
      <c r="H2506" s="1">
        <v>39184</v>
      </c>
      <c r="I2506" t="s">
        <v>12</v>
      </c>
      <c r="J2506" t="s">
        <v>13276</v>
      </c>
    </row>
    <row r="2507" spans="1:10" x14ac:dyDescent="0.25">
      <c r="A2507">
        <v>282911</v>
      </c>
      <c r="B2507" t="s">
        <v>2629</v>
      </c>
      <c r="C2507" t="str">
        <f>""</f>
        <v/>
      </c>
      <c r="D2507" t="str">
        <f>"9781846632907"</f>
        <v>9781846632907</v>
      </c>
      <c r="E2507" t="s">
        <v>1116</v>
      </c>
      <c r="F2507" t="s">
        <v>1117</v>
      </c>
      <c r="G2507" s="1">
        <v>37987</v>
      </c>
      <c r="H2507" s="1">
        <v>39184</v>
      </c>
      <c r="I2507" t="s">
        <v>12</v>
      </c>
      <c r="J2507" t="s">
        <v>13277</v>
      </c>
    </row>
    <row r="2508" spans="1:10" x14ac:dyDescent="0.25">
      <c r="A2508">
        <v>282912</v>
      </c>
      <c r="B2508" t="s">
        <v>2630</v>
      </c>
      <c r="C2508" t="str">
        <f>""</f>
        <v/>
      </c>
      <c r="D2508" t="str">
        <f>"9781846632914"</f>
        <v>9781846632914</v>
      </c>
      <c r="E2508" t="s">
        <v>1116</v>
      </c>
      <c r="F2508" t="s">
        <v>1117</v>
      </c>
      <c r="G2508" s="1">
        <v>38353</v>
      </c>
      <c r="H2508" s="1">
        <v>39184</v>
      </c>
      <c r="I2508" t="s">
        <v>12</v>
      </c>
      <c r="J2508" t="s">
        <v>13278</v>
      </c>
    </row>
    <row r="2509" spans="1:10" x14ac:dyDescent="0.25">
      <c r="A2509">
        <v>282913</v>
      </c>
      <c r="B2509" t="s">
        <v>2631</v>
      </c>
      <c r="C2509" t="str">
        <f>""</f>
        <v/>
      </c>
      <c r="D2509" t="str">
        <f>"9781846632921"</f>
        <v>9781846632921</v>
      </c>
      <c r="E2509" t="s">
        <v>1116</v>
      </c>
      <c r="F2509" t="s">
        <v>1117</v>
      </c>
      <c r="G2509" s="1">
        <v>38353</v>
      </c>
      <c r="H2509" s="1">
        <v>39184</v>
      </c>
      <c r="I2509" t="s">
        <v>12</v>
      </c>
      <c r="J2509" t="s">
        <v>13279</v>
      </c>
    </row>
    <row r="2510" spans="1:10" x14ac:dyDescent="0.25">
      <c r="A2510">
        <v>282914</v>
      </c>
      <c r="B2510" t="s">
        <v>2632</v>
      </c>
      <c r="C2510" t="str">
        <f>""</f>
        <v/>
      </c>
      <c r="D2510" t="str">
        <f>"9781846632938"</f>
        <v>9781846632938</v>
      </c>
      <c r="E2510" t="s">
        <v>1116</v>
      </c>
      <c r="F2510" t="s">
        <v>1117</v>
      </c>
      <c r="G2510" s="1">
        <v>37987</v>
      </c>
      <c r="H2510" s="1">
        <v>39184</v>
      </c>
      <c r="I2510" t="s">
        <v>12</v>
      </c>
      <c r="J2510" t="s">
        <v>13280</v>
      </c>
    </row>
    <row r="2511" spans="1:10" x14ac:dyDescent="0.25">
      <c r="A2511">
        <v>282915</v>
      </c>
      <c r="B2511" t="s">
        <v>2633</v>
      </c>
      <c r="C2511" t="str">
        <f>""</f>
        <v/>
      </c>
      <c r="D2511" t="str">
        <f>"9781846632945"</f>
        <v>9781846632945</v>
      </c>
      <c r="E2511" t="s">
        <v>1116</v>
      </c>
      <c r="F2511" t="s">
        <v>1117</v>
      </c>
      <c r="G2511" s="1">
        <v>37987</v>
      </c>
      <c r="H2511" s="1">
        <v>39184</v>
      </c>
      <c r="I2511" t="s">
        <v>12</v>
      </c>
      <c r="J2511" t="s">
        <v>13281</v>
      </c>
    </row>
    <row r="2512" spans="1:10" x14ac:dyDescent="0.25">
      <c r="A2512">
        <v>282917</v>
      </c>
      <c r="B2512" t="s">
        <v>2634</v>
      </c>
      <c r="C2512" t="str">
        <f>""</f>
        <v/>
      </c>
      <c r="D2512" t="str">
        <f>"9781846632969"</f>
        <v>9781846632969</v>
      </c>
      <c r="E2512" t="s">
        <v>1116</v>
      </c>
      <c r="F2512" t="s">
        <v>1117</v>
      </c>
      <c r="G2512" s="1">
        <v>37622</v>
      </c>
      <c r="H2512" s="1">
        <v>39184</v>
      </c>
      <c r="I2512" t="s">
        <v>12</v>
      </c>
      <c r="J2512" t="s">
        <v>13282</v>
      </c>
    </row>
    <row r="2513" spans="1:10" x14ac:dyDescent="0.25">
      <c r="A2513">
        <v>282919</v>
      </c>
      <c r="B2513" t="s">
        <v>2635</v>
      </c>
      <c r="C2513" t="str">
        <f>""</f>
        <v/>
      </c>
      <c r="D2513" t="str">
        <f>"9781846632983"</f>
        <v>9781846632983</v>
      </c>
      <c r="E2513" t="s">
        <v>1116</v>
      </c>
      <c r="F2513" t="s">
        <v>1117</v>
      </c>
      <c r="G2513" s="1">
        <v>38353</v>
      </c>
      <c r="H2513" s="1">
        <v>39184</v>
      </c>
      <c r="I2513" t="s">
        <v>12</v>
      </c>
      <c r="J2513" t="s">
        <v>13283</v>
      </c>
    </row>
    <row r="2514" spans="1:10" x14ac:dyDescent="0.25">
      <c r="A2514">
        <v>282920</v>
      </c>
      <c r="B2514" t="s">
        <v>2636</v>
      </c>
      <c r="C2514" t="str">
        <f>""</f>
        <v/>
      </c>
      <c r="D2514" t="str">
        <f>"9781846632990"</f>
        <v>9781846632990</v>
      </c>
      <c r="E2514" t="s">
        <v>1116</v>
      </c>
      <c r="F2514" t="s">
        <v>1117</v>
      </c>
      <c r="G2514" s="1">
        <v>38353</v>
      </c>
      <c r="H2514" s="1">
        <v>39184</v>
      </c>
      <c r="I2514" t="s">
        <v>12</v>
      </c>
      <c r="J2514" t="s">
        <v>13284</v>
      </c>
    </row>
    <row r="2515" spans="1:10" x14ac:dyDescent="0.25">
      <c r="A2515">
        <v>282921</v>
      </c>
      <c r="B2515" t="s">
        <v>2637</v>
      </c>
      <c r="C2515" t="str">
        <f>""</f>
        <v/>
      </c>
      <c r="D2515" t="str">
        <f>"9781846633003"</f>
        <v>9781846633003</v>
      </c>
      <c r="E2515" t="s">
        <v>1116</v>
      </c>
      <c r="F2515" t="s">
        <v>1117</v>
      </c>
      <c r="G2515" s="1">
        <v>38353</v>
      </c>
      <c r="H2515" s="1">
        <v>39184</v>
      </c>
      <c r="I2515" t="s">
        <v>12</v>
      </c>
      <c r="J2515" t="s">
        <v>13285</v>
      </c>
    </row>
    <row r="2516" spans="1:10" x14ac:dyDescent="0.25">
      <c r="A2516">
        <v>282923</v>
      </c>
      <c r="B2516" t="s">
        <v>2638</v>
      </c>
      <c r="C2516" t="str">
        <f>""</f>
        <v/>
      </c>
      <c r="D2516" t="str">
        <f>"9781846633027"</f>
        <v>9781846633027</v>
      </c>
      <c r="E2516" t="s">
        <v>1116</v>
      </c>
      <c r="F2516" t="s">
        <v>1117</v>
      </c>
      <c r="G2516" s="1">
        <v>37987</v>
      </c>
      <c r="H2516" s="1">
        <v>39184</v>
      </c>
      <c r="I2516" t="s">
        <v>12</v>
      </c>
      <c r="J2516" t="s">
        <v>13286</v>
      </c>
    </row>
    <row r="2517" spans="1:10" x14ac:dyDescent="0.25">
      <c r="A2517">
        <v>282924</v>
      </c>
      <c r="B2517" t="s">
        <v>2639</v>
      </c>
      <c r="C2517" t="str">
        <f>""</f>
        <v/>
      </c>
      <c r="D2517" t="str">
        <f>"9781846633034"</f>
        <v>9781846633034</v>
      </c>
      <c r="E2517" t="s">
        <v>1116</v>
      </c>
      <c r="F2517" t="s">
        <v>1117</v>
      </c>
      <c r="G2517" s="1">
        <v>37622</v>
      </c>
      <c r="H2517" s="1">
        <v>39184</v>
      </c>
      <c r="I2517" t="s">
        <v>12</v>
      </c>
      <c r="J2517" t="s">
        <v>13287</v>
      </c>
    </row>
    <row r="2518" spans="1:10" x14ac:dyDescent="0.25">
      <c r="A2518">
        <v>282927</v>
      </c>
      <c r="B2518" t="s">
        <v>2640</v>
      </c>
      <c r="C2518" t="str">
        <f>"9781846633140"</f>
        <v>9781846633140</v>
      </c>
      <c r="D2518" t="str">
        <f>"9781846633157"</f>
        <v>9781846633157</v>
      </c>
      <c r="E2518" t="s">
        <v>1116</v>
      </c>
      <c r="F2518" t="s">
        <v>1117</v>
      </c>
      <c r="G2518" s="1">
        <v>37630</v>
      </c>
      <c r="H2518" s="1">
        <v>39184</v>
      </c>
      <c r="I2518" t="s">
        <v>12</v>
      </c>
      <c r="J2518" t="s">
        <v>13288</v>
      </c>
    </row>
    <row r="2519" spans="1:10" x14ac:dyDescent="0.25">
      <c r="A2519">
        <v>282928</v>
      </c>
      <c r="B2519" t="s">
        <v>2641</v>
      </c>
      <c r="C2519" t="str">
        <f>"9781846633164"</f>
        <v>9781846633164</v>
      </c>
      <c r="D2519" t="str">
        <f>"9781846633171"</f>
        <v>9781846633171</v>
      </c>
      <c r="E2519" t="s">
        <v>1116</v>
      </c>
      <c r="F2519" t="s">
        <v>1117</v>
      </c>
      <c r="G2519" s="1">
        <v>37995</v>
      </c>
      <c r="H2519" s="1">
        <v>39184</v>
      </c>
      <c r="I2519" t="s">
        <v>12</v>
      </c>
      <c r="J2519" t="s">
        <v>13289</v>
      </c>
    </row>
    <row r="2520" spans="1:10" x14ac:dyDescent="0.25">
      <c r="A2520">
        <v>282929</v>
      </c>
      <c r="B2520" t="s">
        <v>2642</v>
      </c>
      <c r="C2520" t="str">
        <f>"9781846633188"</f>
        <v>9781846633188</v>
      </c>
      <c r="D2520" t="str">
        <f>"9781846633195"</f>
        <v>9781846633195</v>
      </c>
      <c r="E2520" t="s">
        <v>1116</v>
      </c>
      <c r="F2520" t="s">
        <v>1117</v>
      </c>
      <c r="G2520" s="1">
        <v>38361</v>
      </c>
      <c r="H2520" s="1">
        <v>39184</v>
      </c>
      <c r="I2520" t="s">
        <v>12</v>
      </c>
      <c r="J2520" t="s">
        <v>13290</v>
      </c>
    </row>
    <row r="2521" spans="1:10" x14ac:dyDescent="0.25">
      <c r="A2521">
        <v>282970</v>
      </c>
      <c r="B2521" t="s">
        <v>2643</v>
      </c>
      <c r="C2521" t="str">
        <f>"9781841501611"</f>
        <v>9781841501611</v>
      </c>
      <c r="D2521" t="str">
        <f>"9781841509600"</f>
        <v>9781841509600</v>
      </c>
      <c r="E2521" t="s">
        <v>2644</v>
      </c>
      <c r="F2521" t="s">
        <v>2644</v>
      </c>
      <c r="G2521" s="1">
        <v>38718</v>
      </c>
      <c r="H2521" s="1">
        <v>39122</v>
      </c>
      <c r="I2521" t="s">
        <v>12</v>
      </c>
      <c r="J2521" t="s">
        <v>13291</v>
      </c>
    </row>
    <row r="2522" spans="1:10" x14ac:dyDescent="0.25">
      <c r="A2522">
        <v>282999</v>
      </c>
      <c r="B2522" t="s">
        <v>2645</v>
      </c>
      <c r="C2522" t="str">
        <f>"9781841500737"</f>
        <v>9781841500737</v>
      </c>
      <c r="D2522" t="str">
        <f>"9781841508146"</f>
        <v>9781841508146</v>
      </c>
      <c r="E2522" t="s">
        <v>2646</v>
      </c>
      <c r="F2522" t="s">
        <v>2647</v>
      </c>
      <c r="G2522" s="1">
        <v>36770</v>
      </c>
      <c r="H2522" s="1">
        <v>39122</v>
      </c>
      <c r="I2522" t="s">
        <v>12</v>
      </c>
      <c r="J2522" t="s">
        <v>13292</v>
      </c>
    </row>
    <row r="2523" spans="1:10" x14ac:dyDescent="0.25">
      <c r="A2523">
        <v>283033</v>
      </c>
      <c r="B2523" t="s">
        <v>2648</v>
      </c>
      <c r="C2523" t="str">
        <f>"9781841500782"</f>
        <v>9781841500782</v>
      </c>
      <c r="D2523" t="str">
        <f>"9781841509068"</f>
        <v>9781841509068</v>
      </c>
      <c r="E2523" t="s">
        <v>2646</v>
      </c>
      <c r="F2523" t="s">
        <v>2647</v>
      </c>
      <c r="G2523" s="1">
        <v>38504</v>
      </c>
      <c r="H2523" s="1">
        <v>39122</v>
      </c>
      <c r="I2523" t="s">
        <v>12</v>
      </c>
      <c r="J2523" t="s">
        <v>13293</v>
      </c>
    </row>
    <row r="2524" spans="1:10" x14ac:dyDescent="0.25">
      <c r="A2524">
        <v>283051</v>
      </c>
      <c r="B2524" t="s">
        <v>2649</v>
      </c>
      <c r="C2524" t="str">
        <f>"9781841501314"</f>
        <v>9781841501314</v>
      </c>
      <c r="D2524" t="str">
        <f>"9781841509273"</f>
        <v>9781841509273</v>
      </c>
      <c r="E2524" t="s">
        <v>2646</v>
      </c>
      <c r="F2524" t="s">
        <v>2647</v>
      </c>
      <c r="G2524" s="1">
        <v>38353</v>
      </c>
      <c r="H2524" s="1">
        <v>39122</v>
      </c>
      <c r="I2524" t="s">
        <v>12</v>
      </c>
      <c r="J2524" t="s">
        <v>13294</v>
      </c>
    </row>
    <row r="2525" spans="1:10" x14ac:dyDescent="0.25">
      <c r="A2525">
        <v>283056</v>
      </c>
      <c r="B2525" t="s">
        <v>2650</v>
      </c>
      <c r="C2525" t="str">
        <f>"9781841501338"</f>
        <v>9781841501338</v>
      </c>
      <c r="D2525" t="str">
        <f>"9781841509471"</f>
        <v>9781841509471</v>
      </c>
      <c r="E2525" t="s">
        <v>2646</v>
      </c>
      <c r="F2525" t="s">
        <v>2647</v>
      </c>
      <c r="G2525" s="1">
        <v>38718</v>
      </c>
      <c r="H2525" s="1">
        <v>39122</v>
      </c>
      <c r="I2525" t="s">
        <v>12</v>
      </c>
      <c r="J2525" t="s">
        <v>13295</v>
      </c>
    </row>
    <row r="2526" spans="1:10" x14ac:dyDescent="0.25">
      <c r="A2526">
        <v>283057</v>
      </c>
      <c r="B2526" t="s">
        <v>2651</v>
      </c>
      <c r="C2526" t="str">
        <f>"9781841500775"</f>
        <v>9781841500775</v>
      </c>
      <c r="D2526" t="str">
        <f>"9781841508894"</f>
        <v>9781841508894</v>
      </c>
      <c r="E2526" t="s">
        <v>2646</v>
      </c>
      <c r="F2526" t="s">
        <v>2647</v>
      </c>
      <c r="G2526" s="1">
        <v>37622</v>
      </c>
      <c r="H2526" s="1">
        <v>39122</v>
      </c>
      <c r="I2526" t="s">
        <v>12</v>
      </c>
      <c r="J2526" t="s">
        <v>13296</v>
      </c>
    </row>
    <row r="2527" spans="1:10" x14ac:dyDescent="0.25">
      <c r="A2527">
        <v>283058</v>
      </c>
      <c r="B2527" t="s">
        <v>2652</v>
      </c>
      <c r="C2527" t="str">
        <f>"9781841501079"</f>
        <v>9781841501079</v>
      </c>
      <c r="D2527" t="str">
        <f>"9781841509303"</f>
        <v>9781841509303</v>
      </c>
      <c r="E2527" t="s">
        <v>2646</v>
      </c>
      <c r="F2527" t="s">
        <v>2647</v>
      </c>
      <c r="G2527" s="1">
        <v>38718</v>
      </c>
      <c r="H2527" s="1">
        <v>39122</v>
      </c>
      <c r="I2527" t="s">
        <v>12</v>
      </c>
      <c r="J2527" t="s">
        <v>13297</v>
      </c>
    </row>
    <row r="2528" spans="1:10" x14ac:dyDescent="0.25">
      <c r="A2528">
        <v>283060</v>
      </c>
      <c r="B2528" t="s">
        <v>2653</v>
      </c>
      <c r="C2528" t="str">
        <f>"9781841500454"</f>
        <v>9781841500454</v>
      </c>
      <c r="D2528" t="str">
        <f>"9781841508924"</f>
        <v>9781841508924</v>
      </c>
      <c r="E2528" t="s">
        <v>2646</v>
      </c>
      <c r="F2528" t="s">
        <v>2647</v>
      </c>
      <c r="G2528" s="1">
        <v>37622</v>
      </c>
      <c r="H2528" s="1">
        <v>39122</v>
      </c>
      <c r="I2528" t="s">
        <v>12</v>
      </c>
      <c r="J2528" t="s">
        <v>13298</v>
      </c>
    </row>
    <row r="2529" spans="1:10" x14ac:dyDescent="0.25">
      <c r="A2529">
        <v>283064</v>
      </c>
      <c r="B2529" t="s">
        <v>2654</v>
      </c>
      <c r="C2529" t="str">
        <f>"9781841509365"</f>
        <v>9781841509365</v>
      </c>
      <c r="D2529" t="str">
        <f>"9781841509457"</f>
        <v>9781841509457</v>
      </c>
      <c r="E2529" t="s">
        <v>2646</v>
      </c>
      <c r="F2529" t="s">
        <v>2647</v>
      </c>
      <c r="G2529" s="1">
        <v>38504</v>
      </c>
      <c r="H2529" s="1">
        <v>39127</v>
      </c>
      <c r="I2529" t="s">
        <v>12</v>
      </c>
      <c r="J2529" t="s">
        <v>13299</v>
      </c>
    </row>
    <row r="2530" spans="1:10" x14ac:dyDescent="0.25">
      <c r="A2530">
        <v>283071</v>
      </c>
      <c r="B2530" t="s">
        <v>2655</v>
      </c>
      <c r="C2530" t="str">
        <f>"9781841501390"</f>
        <v>9781841501390</v>
      </c>
      <c r="D2530" t="str">
        <f>"9781841509488"</f>
        <v>9781841509488</v>
      </c>
      <c r="E2530" t="s">
        <v>2644</v>
      </c>
      <c r="F2530" t="s">
        <v>2644</v>
      </c>
      <c r="G2530" s="1">
        <v>38718</v>
      </c>
      <c r="H2530" s="1">
        <v>39122</v>
      </c>
      <c r="I2530" t="s">
        <v>12</v>
      </c>
      <c r="J2530" t="s">
        <v>13300</v>
      </c>
    </row>
    <row r="2531" spans="1:10" x14ac:dyDescent="0.25">
      <c r="A2531">
        <v>283072</v>
      </c>
      <c r="B2531" t="s">
        <v>2656</v>
      </c>
      <c r="C2531" t="str">
        <f>"9781841501468"</f>
        <v>9781841501468</v>
      </c>
      <c r="D2531" t="str">
        <f>"9781841509587"</f>
        <v>9781841509587</v>
      </c>
      <c r="E2531" t="s">
        <v>2646</v>
      </c>
      <c r="F2531" t="s">
        <v>2647</v>
      </c>
      <c r="G2531" s="1">
        <v>38899</v>
      </c>
      <c r="H2531" s="1">
        <v>39122</v>
      </c>
      <c r="I2531" t="s">
        <v>12</v>
      </c>
      <c r="J2531" t="s">
        <v>13301</v>
      </c>
    </row>
    <row r="2532" spans="1:10" x14ac:dyDescent="0.25">
      <c r="A2532">
        <v>283073</v>
      </c>
      <c r="B2532" t="s">
        <v>2657</v>
      </c>
      <c r="C2532" t="str">
        <f>"9781841501321"</f>
        <v>9781841501321</v>
      </c>
      <c r="D2532" t="str">
        <f>"9781841509310"</f>
        <v>9781841509310</v>
      </c>
      <c r="E2532" t="s">
        <v>2644</v>
      </c>
      <c r="F2532" t="s">
        <v>2644</v>
      </c>
      <c r="G2532" s="1">
        <v>38718</v>
      </c>
      <c r="H2532" s="1">
        <v>39122</v>
      </c>
      <c r="I2532" t="s">
        <v>12</v>
      </c>
      <c r="J2532" t="s">
        <v>13302</v>
      </c>
    </row>
    <row r="2533" spans="1:10" x14ac:dyDescent="0.25">
      <c r="A2533">
        <v>283075</v>
      </c>
      <c r="B2533" t="s">
        <v>2658</v>
      </c>
      <c r="C2533" t="str">
        <f>"9781841501369"</f>
        <v>9781841501369</v>
      </c>
      <c r="D2533" t="str">
        <f>"9781841509518"</f>
        <v>9781841509518</v>
      </c>
      <c r="E2533" t="s">
        <v>2646</v>
      </c>
      <c r="F2533" t="s">
        <v>2647</v>
      </c>
      <c r="G2533" s="1">
        <v>40575</v>
      </c>
      <c r="H2533" s="1">
        <v>39122</v>
      </c>
      <c r="I2533" t="s">
        <v>12</v>
      </c>
      <c r="J2533" t="s">
        <v>13303</v>
      </c>
    </row>
    <row r="2534" spans="1:10" x14ac:dyDescent="0.25">
      <c r="A2534">
        <v>283076</v>
      </c>
      <c r="B2534" t="s">
        <v>2659</v>
      </c>
      <c r="C2534" t="str">
        <f>"9781841501635"</f>
        <v>9781841501635</v>
      </c>
      <c r="D2534" t="str">
        <f>"9781841509754"</f>
        <v>9781841509754</v>
      </c>
      <c r="E2534" t="s">
        <v>2646</v>
      </c>
      <c r="F2534" t="s">
        <v>2647</v>
      </c>
      <c r="G2534" s="1">
        <v>38718</v>
      </c>
      <c r="H2534" s="1">
        <v>39122</v>
      </c>
      <c r="I2534" t="s">
        <v>12</v>
      </c>
      <c r="J2534" t="s">
        <v>13304</v>
      </c>
    </row>
    <row r="2535" spans="1:10" x14ac:dyDescent="0.25">
      <c r="A2535">
        <v>283079</v>
      </c>
      <c r="B2535" t="s">
        <v>2660</v>
      </c>
      <c r="C2535" t="str">
        <f>"9781841501604"</f>
        <v>9781841501604</v>
      </c>
      <c r="D2535" t="str">
        <f>"9781841509631"</f>
        <v>9781841509631</v>
      </c>
      <c r="E2535" t="s">
        <v>2646</v>
      </c>
      <c r="F2535" t="s">
        <v>2647</v>
      </c>
      <c r="G2535" s="1">
        <v>39084</v>
      </c>
      <c r="H2535" s="1">
        <v>39122</v>
      </c>
      <c r="I2535" t="s">
        <v>12</v>
      </c>
      <c r="J2535" t="s">
        <v>13305</v>
      </c>
    </row>
    <row r="2536" spans="1:10" x14ac:dyDescent="0.25">
      <c r="A2536">
        <v>283089</v>
      </c>
      <c r="B2536" t="s">
        <v>2661</v>
      </c>
      <c r="C2536" t="str">
        <f>"9781841501307"</f>
        <v>9781841501307</v>
      </c>
      <c r="D2536" t="str">
        <f>"9781841509259"</f>
        <v>9781841509259</v>
      </c>
      <c r="E2536" t="s">
        <v>2646</v>
      </c>
      <c r="F2536" t="s">
        <v>2647</v>
      </c>
      <c r="G2536" s="1">
        <v>38473</v>
      </c>
      <c r="H2536" s="1">
        <v>39135</v>
      </c>
      <c r="I2536" t="s">
        <v>12</v>
      </c>
      <c r="J2536" t="s">
        <v>13306</v>
      </c>
    </row>
    <row r="2537" spans="1:10" x14ac:dyDescent="0.25">
      <c r="A2537">
        <v>283190</v>
      </c>
      <c r="B2537" t="s">
        <v>2662</v>
      </c>
      <c r="C2537" t="str">
        <f>"9781574446340"</f>
        <v>9781574446340</v>
      </c>
      <c r="D2537" t="str">
        <f>"9781420017465"</f>
        <v>9781420017465</v>
      </c>
      <c r="E2537" t="s">
        <v>15</v>
      </c>
      <c r="F2537" t="s">
        <v>139</v>
      </c>
      <c r="G2537" s="1">
        <v>39072</v>
      </c>
      <c r="H2537" s="1">
        <v>39101</v>
      </c>
      <c r="I2537" t="s">
        <v>12</v>
      </c>
      <c r="J2537" t="s">
        <v>13307</v>
      </c>
    </row>
    <row r="2538" spans="1:10" x14ac:dyDescent="0.25">
      <c r="A2538">
        <v>283195</v>
      </c>
      <c r="B2538" t="s">
        <v>2663</v>
      </c>
      <c r="C2538" t="str">
        <f>"9781574446418"</f>
        <v>9781574446418</v>
      </c>
      <c r="D2538" t="str">
        <f>"9781420017496"</f>
        <v>9781420017496</v>
      </c>
      <c r="E2538" t="s">
        <v>144</v>
      </c>
      <c r="F2538" t="s">
        <v>144</v>
      </c>
      <c r="G2538" s="1">
        <v>39064</v>
      </c>
      <c r="H2538" s="1">
        <v>39101</v>
      </c>
      <c r="I2538" t="s">
        <v>12</v>
      </c>
      <c r="J2538" t="s">
        <v>13308</v>
      </c>
    </row>
    <row r="2539" spans="1:10" x14ac:dyDescent="0.25">
      <c r="A2539">
        <v>283202</v>
      </c>
      <c r="B2539" t="s">
        <v>2664</v>
      </c>
      <c r="C2539" t="str">
        <f>"9780849335327"</f>
        <v>9780849335327</v>
      </c>
      <c r="D2539" t="str">
        <f>"9781420018677"</f>
        <v>9781420018677</v>
      </c>
      <c r="E2539" t="s">
        <v>144</v>
      </c>
      <c r="F2539" t="s">
        <v>144</v>
      </c>
      <c r="G2539" s="1">
        <v>39066</v>
      </c>
      <c r="H2539" s="1">
        <v>39101</v>
      </c>
      <c r="I2539" t="s">
        <v>12</v>
      </c>
      <c r="J2539" t="s">
        <v>13309</v>
      </c>
    </row>
    <row r="2540" spans="1:10" x14ac:dyDescent="0.25">
      <c r="A2540">
        <v>283203</v>
      </c>
      <c r="B2540" t="s">
        <v>2665</v>
      </c>
      <c r="C2540" t="str">
        <f>"9780849380358"</f>
        <v>9780849380358</v>
      </c>
      <c r="D2540" t="str">
        <f>"9781420013603"</f>
        <v>9781420013603</v>
      </c>
      <c r="E2540" t="s">
        <v>1900</v>
      </c>
      <c r="F2540" t="s">
        <v>1900</v>
      </c>
      <c r="G2540" s="1">
        <v>39058</v>
      </c>
      <c r="H2540" s="1">
        <v>39101</v>
      </c>
      <c r="I2540" t="s">
        <v>12</v>
      </c>
      <c r="J2540" t="s">
        <v>13310</v>
      </c>
    </row>
    <row r="2541" spans="1:10" x14ac:dyDescent="0.25">
      <c r="A2541">
        <v>283206</v>
      </c>
      <c r="B2541" t="s">
        <v>2666</v>
      </c>
      <c r="C2541" t="str">
        <f>"9780849335570"</f>
        <v>9780849335570</v>
      </c>
      <c r="D2541" t="str">
        <f>"9781420018967"</f>
        <v>9781420018967</v>
      </c>
      <c r="E2541" t="s">
        <v>15</v>
      </c>
      <c r="F2541" t="s">
        <v>139</v>
      </c>
      <c r="G2541" s="1">
        <v>39106</v>
      </c>
      <c r="H2541" s="1">
        <v>39104</v>
      </c>
      <c r="I2541" t="s">
        <v>12</v>
      </c>
      <c r="J2541" t="s">
        <v>13311</v>
      </c>
    </row>
    <row r="2542" spans="1:10" x14ac:dyDescent="0.25">
      <c r="A2542">
        <v>283226</v>
      </c>
      <c r="B2542" t="s">
        <v>2667</v>
      </c>
      <c r="C2542" t="str">
        <f>"9780849335532"</f>
        <v>9780849335532</v>
      </c>
      <c r="D2542" t="str">
        <f>"9781420018806"</f>
        <v>9781420018806</v>
      </c>
      <c r="E2542" t="s">
        <v>15</v>
      </c>
      <c r="F2542" t="s">
        <v>139</v>
      </c>
      <c r="G2542" s="1">
        <v>39077</v>
      </c>
      <c r="H2542" s="1">
        <v>39101</v>
      </c>
      <c r="I2542" t="s">
        <v>12</v>
      </c>
      <c r="J2542" t="s">
        <v>13312</v>
      </c>
    </row>
    <row r="2543" spans="1:10" x14ac:dyDescent="0.25">
      <c r="A2543">
        <v>283247</v>
      </c>
      <c r="B2543" t="s">
        <v>2668</v>
      </c>
      <c r="C2543" t="str">
        <f>"9781574445640"</f>
        <v>9781574445640</v>
      </c>
      <c r="D2543" t="str">
        <f>"9781420017014"</f>
        <v>9781420017014</v>
      </c>
      <c r="E2543" t="s">
        <v>15</v>
      </c>
      <c r="F2543" t="s">
        <v>16</v>
      </c>
      <c r="G2543" s="1">
        <v>39036</v>
      </c>
      <c r="H2543" s="1">
        <v>39101</v>
      </c>
      <c r="I2543" t="s">
        <v>12</v>
      </c>
      <c r="J2543" t="s">
        <v>13313</v>
      </c>
    </row>
    <row r="2544" spans="1:10" x14ac:dyDescent="0.25">
      <c r="A2544">
        <v>283259</v>
      </c>
      <c r="B2544" t="s">
        <v>2669</v>
      </c>
      <c r="C2544" t="str">
        <f>"9780849371899"</f>
        <v>9780849371899</v>
      </c>
      <c r="D2544" t="str">
        <f>"9781420006612"</f>
        <v>9781420006612</v>
      </c>
      <c r="E2544" t="s">
        <v>15</v>
      </c>
      <c r="F2544" t="s">
        <v>139</v>
      </c>
      <c r="G2544" s="1">
        <v>39070</v>
      </c>
      <c r="H2544" s="1">
        <v>39101</v>
      </c>
      <c r="I2544" t="s">
        <v>12</v>
      </c>
      <c r="J2544" t="s">
        <v>13314</v>
      </c>
    </row>
    <row r="2545" spans="1:10" x14ac:dyDescent="0.25">
      <c r="A2545">
        <v>283260</v>
      </c>
      <c r="B2545" t="s">
        <v>2670</v>
      </c>
      <c r="C2545" t="str">
        <f>"9780849339240"</f>
        <v>9780849339240</v>
      </c>
      <c r="D2545" t="str">
        <f>"9781420005639"</f>
        <v>9781420005639</v>
      </c>
      <c r="E2545" t="s">
        <v>144</v>
      </c>
      <c r="F2545" t="s">
        <v>144</v>
      </c>
      <c r="G2545" s="1">
        <v>39058</v>
      </c>
      <c r="H2545" s="1">
        <v>42103</v>
      </c>
      <c r="I2545" t="s">
        <v>12</v>
      </c>
      <c r="J2545" t="s">
        <v>13315</v>
      </c>
    </row>
    <row r="2546" spans="1:10" x14ac:dyDescent="0.25">
      <c r="A2546">
        <v>283267</v>
      </c>
      <c r="B2546" t="s">
        <v>2671</v>
      </c>
      <c r="C2546" t="str">
        <f>"9781574446982"</f>
        <v>9781574446982</v>
      </c>
      <c r="D2546" t="str">
        <f>"9781420017779"</f>
        <v>9781420017779</v>
      </c>
      <c r="E2546" t="s">
        <v>15</v>
      </c>
      <c r="F2546" t="s">
        <v>139</v>
      </c>
      <c r="G2546" s="1">
        <v>39101</v>
      </c>
      <c r="H2546" s="1">
        <v>39104</v>
      </c>
      <c r="I2546" t="s">
        <v>12</v>
      </c>
      <c r="J2546" t="s">
        <v>13316</v>
      </c>
    </row>
    <row r="2547" spans="1:10" x14ac:dyDescent="0.25">
      <c r="A2547">
        <v>283271</v>
      </c>
      <c r="B2547" t="s">
        <v>2672</v>
      </c>
      <c r="C2547" t="str">
        <f>"9780849370397"</f>
        <v>9780849370397</v>
      </c>
      <c r="D2547" t="str">
        <f>"9781420006360"</f>
        <v>9781420006360</v>
      </c>
      <c r="E2547" t="s">
        <v>144</v>
      </c>
      <c r="F2547" t="s">
        <v>139</v>
      </c>
      <c r="G2547" s="1">
        <v>39070</v>
      </c>
      <c r="H2547" s="1">
        <v>39101</v>
      </c>
      <c r="I2547" t="s">
        <v>12</v>
      </c>
      <c r="J2547" t="s">
        <v>13317</v>
      </c>
    </row>
    <row r="2548" spans="1:10" x14ac:dyDescent="0.25">
      <c r="A2548">
        <v>283277</v>
      </c>
      <c r="B2548" t="s">
        <v>2673</v>
      </c>
      <c r="C2548" t="str">
        <f>"9781574447163"</f>
        <v>9781574447163</v>
      </c>
      <c r="D2548" t="str">
        <f>"9781420017847"</f>
        <v>9781420017847</v>
      </c>
      <c r="E2548" t="s">
        <v>144</v>
      </c>
      <c r="F2548" t="s">
        <v>144</v>
      </c>
      <c r="G2548" s="1">
        <v>39072</v>
      </c>
      <c r="H2548" s="1">
        <v>39101</v>
      </c>
      <c r="I2548" t="s">
        <v>12</v>
      </c>
      <c r="J2548" t="s">
        <v>13318</v>
      </c>
    </row>
    <row r="2549" spans="1:10" x14ac:dyDescent="0.25">
      <c r="A2549">
        <v>283280</v>
      </c>
      <c r="B2549" t="s">
        <v>2674</v>
      </c>
      <c r="C2549" t="str">
        <f>"9780849396892"</f>
        <v>9780849396892</v>
      </c>
      <c r="D2549" t="str">
        <f>"9781420020861"</f>
        <v>9781420020861</v>
      </c>
      <c r="E2549" t="s">
        <v>144</v>
      </c>
      <c r="F2549" t="s">
        <v>144</v>
      </c>
      <c r="G2549" s="1">
        <v>39072</v>
      </c>
      <c r="H2549" s="1">
        <v>39101</v>
      </c>
      <c r="I2549" t="s">
        <v>12</v>
      </c>
      <c r="J2549" t="s">
        <v>13319</v>
      </c>
    </row>
    <row r="2550" spans="1:10" x14ac:dyDescent="0.25">
      <c r="A2550">
        <v>283281</v>
      </c>
      <c r="B2550" t="s">
        <v>2675</v>
      </c>
      <c r="C2550" t="str">
        <f>"9780849380365"</f>
        <v>9780849380365</v>
      </c>
      <c r="D2550" t="str">
        <f>"9781420013610"</f>
        <v>9781420013610</v>
      </c>
      <c r="E2550" t="s">
        <v>667</v>
      </c>
      <c r="F2550" t="s">
        <v>667</v>
      </c>
      <c r="G2550" s="1">
        <v>39015</v>
      </c>
      <c r="H2550" s="1">
        <v>39116</v>
      </c>
      <c r="I2550" t="s">
        <v>12</v>
      </c>
      <c r="J2550" t="s">
        <v>13320</v>
      </c>
    </row>
    <row r="2551" spans="1:10" x14ac:dyDescent="0.25">
      <c r="A2551">
        <v>283282</v>
      </c>
      <c r="B2551" t="s">
        <v>2676</v>
      </c>
      <c r="C2551" t="str">
        <f>"9780849330186"</f>
        <v>9780849330186</v>
      </c>
      <c r="D2551" t="str">
        <f>"9781420012989"</f>
        <v>9781420012989</v>
      </c>
      <c r="E2551" t="s">
        <v>1900</v>
      </c>
      <c r="F2551" t="s">
        <v>1900</v>
      </c>
      <c r="G2551" s="1">
        <v>39041</v>
      </c>
      <c r="H2551" s="1">
        <v>39116</v>
      </c>
      <c r="I2551" t="s">
        <v>12</v>
      </c>
      <c r="J2551" t="s">
        <v>13321</v>
      </c>
    </row>
    <row r="2552" spans="1:10" x14ac:dyDescent="0.25">
      <c r="A2552">
        <v>283287</v>
      </c>
      <c r="B2552" t="s">
        <v>2677</v>
      </c>
      <c r="C2552" t="str">
        <f>"9780849335891"</f>
        <v>9780849335891</v>
      </c>
      <c r="D2552" t="str">
        <f>"9781420005295"</f>
        <v>9781420005295</v>
      </c>
      <c r="E2552" t="s">
        <v>15</v>
      </c>
      <c r="F2552" t="s">
        <v>139</v>
      </c>
      <c r="G2552" s="1">
        <v>39037</v>
      </c>
      <c r="H2552" s="1">
        <v>39116</v>
      </c>
      <c r="I2552" t="s">
        <v>12</v>
      </c>
      <c r="J2552" t="s">
        <v>13322</v>
      </c>
    </row>
    <row r="2553" spans="1:10" x14ac:dyDescent="0.25">
      <c r="A2553">
        <v>283293</v>
      </c>
      <c r="B2553" t="s">
        <v>2678</v>
      </c>
      <c r="C2553" t="str">
        <f>"9781574445312"</f>
        <v>9781574445312</v>
      </c>
      <c r="D2553" t="str">
        <f>"9781420016123"</f>
        <v>9781420016123</v>
      </c>
      <c r="E2553" t="s">
        <v>144</v>
      </c>
      <c r="F2553" t="s">
        <v>144</v>
      </c>
      <c r="G2553" s="1">
        <v>39035</v>
      </c>
      <c r="H2553" s="1">
        <v>39101</v>
      </c>
      <c r="I2553" t="s">
        <v>12</v>
      </c>
      <c r="J2553" t="s">
        <v>13323</v>
      </c>
    </row>
    <row r="2554" spans="1:10" x14ac:dyDescent="0.25">
      <c r="A2554">
        <v>283297</v>
      </c>
      <c r="B2554" t="s">
        <v>2679</v>
      </c>
      <c r="C2554" t="str">
        <f>"9780849390678"</f>
        <v>9780849390678</v>
      </c>
      <c r="D2554" t="str">
        <f>"9781420008388"</f>
        <v>9781420008388</v>
      </c>
      <c r="E2554" t="s">
        <v>144</v>
      </c>
      <c r="F2554" t="s">
        <v>144</v>
      </c>
      <c r="G2554" s="1">
        <v>39021</v>
      </c>
      <c r="H2554" s="1">
        <v>39101</v>
      </c>
      <c r="I2554" t="s">
        <v>12</v>
      </c>
      <c r="J2554" t="s">
        <v>13324</v>
      </c>
    </row>
    <row r="2555" spans="1:10" x14ac:dyDescent="0.25">
      <c r="A2555">
        <v>283299</v>
      </c>
      <c r="B2555" t="s">
        <v>2680</v>
      </c>
      <c r="C2555" t="str">
        <f>"9780849330957"</f>
        <v>9780849330957</v>
      </c>
      <c r="D2555" t="str">
        <f>"9781420004694"</f>
        <v>9781420004694</v>
      </c>
      <c r="E2555" t="s">
        <v>15</v>
      </c>
      <c r="F2555" t="s">
        <v>139</v>
      </c>
      <c r="G2555" s="1">
        <v>39072</v>
      </c>
      <c r="H2555" s="1">
        <v>39101</v>
      </c>
      <c r="I2555" t="s">
        <v>12</v>
      </c>
      <c r="J2555" t="s">
        <v>13325</v>
      </c>
    </row>
    <row r="2556" spans="1:10" x14ac:dyDescent="0.25">
      <c r="A2556">
        <v>283301</v>
      </c>
      <c r="B2556" t="s">
        <v>2681</v>
      </c>
      <c r="C2556" t="str">
        <f>"9780849341991"</f>
        <v>9780849341991</v>
      </c>
      <c r="D2556" t="str">
        <f>"9781420005967"</f>
        <v>9781420005967</v>
      </c>
      <c r="E2556" t="s">
        <v>15</v>
      </c>
      <c r="F2556" t="s">
        <v>139</v>
      </c>
      <c r="G2556" s="1">
        <v>39077</v>
      </c>
      <c r="H2556" s="1">
        <v>40408</v>
      </c>
      <c r="I2556" t="s">
        <v>12</v>
      </c>
      <c r="J2556" t="s">
        <v>13326</v>
      </c>
    </row>
    <row r="2557" spans="1:10" x14ac:dyDescent="0.25">
      <c r="A2557">
        <v>283307</v>
      </c>
      <c r="B2557" t="s">
        <v>2682</v>
      </c>
      <c r="C2557" t="str">
        <f>"9780849374159"</f>
        <v>9780849374159</v>
      </c>
      <c r="D2557" t="str">
        <f>"9781420013566"</f>
        <v>9781420013566</v>
      </c>
      <c r="E2557" t="s">
        <v>667</v>
      </c>
      <c r="F2557" t="s">
        <v>667</v>
      </c>
      <c r="G2557" s="1">
        <v>39015</v>
      </c>
      <c r="H2557" s="1">
        <v>39116</v>
      </c>
      <c r="I2557" t="s">
        <v>12</v>
      </c>
      <c r="J2557" t="s">
        <v>13327</v>
      </c>
    </row>
    <row r="2558" spans="1:10" x14ac:dyDescent="0.25">
      <c r="A2558">
        <v>283308</v>
      </c>
      <c r="B2558" t="s">
        <v>2683</v>
      </c>
      <c r="C2558" t="str">
        <f>"9780849373992"</f>
        <v>9780849373992</v>
      </c>
      <c r="D2558" t="str">
        <f>"9781420013542"</f>
        <v>9781420013542</v>
      </c>
      <c r="E2558" t="s">
        <v>667</v>
      </c>
      <c r="F2558" t="s">
        <v>667</v>
      </c>
      <c r="G2558" s="1">
        <v>39064</v>
      </c>
      <c r="H2558" s="1">
        <v>39101</v>
      </c>
      <c r="I2558" t="s">
        <v>12</v>
      </c>
      <c r="J2558" t="s">
        <v>13328</v>
      </c>
    </row>
    <row r="2559" spans="1:10" x14ac:dyDescent="0.25">
      <c r="A2559">
        <v>283401</v>
      </c>
      <c r="B2559" t="s">
        <v>2684</v>
      </c>
      <c r="C2559" t="str">
        <f>"9781865087313"</f>
        <v>9781865087313</v>
      </c>
      <c r="D2559" t="str">
        <f>"9781741762112"</f>
        <v>9781741762112</v>
      </c>
      <c r="E2559" t="s">
        <v>979</v>
      </c>
      <c r="F2559" t="s">
        <v>979</v>
      </c>
      <c r="G2559" s="1">
        <v>39114</v>
      </c>
      <c r="H2559" s="1">
        <v>39114</v>
      </c>
      <c r="I2559" t="s">
        <v>12</v>
      </c>
      <c r="J2559" t="s">
        <v>13329</v>
      </c>
    </row>
    <row r="2560" spans="1:10" x14ac:dyDescent="0.25">
      <c r="A2560">
        <v>283553</v>
      </c>
      <c r="B2560" t="s">
        <v>2685</v>
      </c>
      <c r="C2560" t="str">
        <f>"9780521553735"</f>
        <v>9780521553735</v>
      </c>
      <c r="D2560" t="str">
        <f>"9780511263231"</f>
        <v>9780511263231</v>
      </c>
      <c r="E2560" t="s">
        <v>18</v>
      </c>
      <c r="F2560" t="s">
        <v>18</v>
      </c>
      <c r="G2560" s="1">
        <v>38309</v>
      </c>
      <c r="H2560" s="1">
        <v>39114</v>
      </c>
      <c r="I2560" t="s">
        <v>12</v>
      </c>
      <c r="J2560" t="s">
        <v>13330</v>
      </c>
    </row>
    <row r="2561" spans="1:10" x14ac:dyDescent="0.25">
      <c r="A2561">
        <v>283561</v>
      </c>
      <c r="B2561" t="s">
        <v>2686</v>
      </c>
      <c r="C2561" t="str">
        <f>"9780521633109"</f>
        <v>9780521633109</v>
      </c>
      <c r="D2561" t="str">
        <f>"9780511263590"</f>
        <v>9780511263590</v>
      </c>
      <c r="E2561" t="s">
        <v>18</v>
      </c>
      <c r="F2561" t="s">
        <v>18</v>
      </c>
      <c r="G2561" s="1">
        <v>38334</v>
      </c>
      <c r="H2561" s="1">
        <v>39114</v>
      </c>
      <c r="I2561" t="s">
        <v>12</v>
      </c>
      <c r="J2561" t="s">
        <v>13331</v>
      </c>
    </row>
    <row r="2562" spans="1:10" x14ac:dyDescent="0.25">
      <c r="A2562">
        <v>283567</v>
      </c>
      <c r="B2562" t="s">
        <v>2687</v>
      </c>
      <c r="C2562" t="str">
        <f>"9780521819473"</f>
        <v>9780521819473</v>
      </c>
      <c r="D2562" t="str">
        <f>"9780511263620"</f>
        <v>9780511263620</v>
      </c>
      <c r="E2562" t="s">
        <v>18</v>
      </c>
      <c r="F2562" t="s">
        <v>18</v>
      </c>
      <c r="G2562" s="1">
        <v>38334</v>
      </c>
      <c r="H2562" s="1">
        <v>39115</v>
      </c>
      <c r="I2562" t="s">
        <v>12</v>
      </c>
      <c r="J2562" t="s">
        <v>13332</v>
      </c>
    </row>
    <row r="2563" spans="1:10" x14ac:dyDescent="0.25">
      <c r="A2563">
        <v>283574</v>
      </c>
      <c r="B2563" t="s">
        <v>2688</v>
      </c>
      <c r="C2563" t="str">
        <f>"9780521827324"</f>
        <v>9780521827324</v>
      </c>
      <c r="D2563" t="str">
        <f>"9780511263675"</f>
        <v>9780511263675</v>
      </c>
      <c r="E2563" t="s">
        <v>18</v>
      </c>
      <c r="F2563" t="s">
        <v>18</v>
      </c>
      <c r="G2563" s="1">
        <v>38322</v>
      </c>
      <c r="H2563" s="1">
        <v>39141</v>
      </c>
      <c r="I2563" t="s">
        <v>12</v>
      </c>
      <c r="J2563" t="s">
        <v>13333</v>
      </c>
    </row>
    <row r="2564" spans="1:10" x14ac:dyDescent="0.25">
      <c r="A2564">
        <v>283578</v>
      </c>
      <c r="B2564" t="s">
        <v>2689</v>
      </c>
      <c r="C2564" t="str">
        <f>"9780521828666"</f>
        <v>9780521828666</v>
      </c>
      <c r="D2564" t="str">
        <f>"9780511263286"</f>
        <v>9780511263286</v>
      </c>
      <c r="E2564" t="s">
        <v>18</v>
      </c>
      <c r="F2564" t="s">
        <v>18</v>
      </c>
      <c r="G2564" s="1">
        <v>38323</v>
      </c>
      <c r="H2564" s="1">
        <v>39119</v>
      </c>
      <c r="I2564" t="s">
        <v>12</v>
      </c>
      <c r="J2564" t="s">
        <v>13334</v>
      </c>
    </row>
    <row r="2565" spans="1:10" x14ac:dyDescent="0.25">
      <c r="A2565">
        <v>283586</v>
      </c>
      <c r="B2565" t="s">
        <v>2690</v>
      </c>
      <c r="C2565" t="str">
        <f>"9780521833264"</f>
        <v>9780521833264</v>
      </c>
      <c r="D2565" t="str">
        <f>"9780511263743"</f>
        <v>9780511263743</v>
      </c>
      <c r="E2565" t="s">
        <v>18</v>
      </c>
      <c r="F2565" t="s">
        <v>18</v>
      </c>
      <c r="G2565" s="1">
        <v>38323</v>
      </c>
      <c r="H2565" s="1">
        <v>39120</v>
      </c>
      <c r="I2565" t="s">
        <v>12</v>
      </c>
      <c r="J2565" t="s">
        <v>13335</v>
      </c>
    </row>
    <row r="2566" spans="1:10" x14ac:dyDescent="0.25">
      <c r="A2566">
        <v>283606</v>
      </c>
      <c r="B2566" t="s">
        <v>2691</v>
      </c>
      <c r="C2566" t="str">
        <f>"9780521840798"</f>
        <v>9780521840798</v>
      </c>
      <c r="D2566" t="str">
        <f>"9780511263880"</f>
        <v>9780511263880</v>
      </c>
      <c r="E2566" t="s">
        <v>18</v>
      </c>
      <c r="F2566" t="s">
        <v>18</v>
      </c>
      <c r="G2566" s="1">
        <v>38292</v>
      </c>
      <c r="H2566" s="1">
        <v>39120</v>
      </c>
      <c r="I2566" t="s">
        <v>12</v>
      </c>
      <c r="J2566" t="s">
        <v>13336</v>
      </c>
    </row>
    <row r="2567" spans="1:10" x14ac:dyDescent="0.25">
      <c r="A2567">
        <v>283610</v>
      </c>
      <c r="B2567" t="s">
        <v>2692</v>
      </c>
      <c r="C2567" t="str">
        <f>"9780521842297"</f>
        <v>9780521842297</v>
      </c>
      <c r="D2567" t="str">
        <f>"9780511263361"</f>
        <v>9780511263361</v>
      </c>
      <c r="E2567" t="s">
        <v>18</v>
      </c>
      <c r="F2567" t="s">
        <v>18</v>
      </c>
      <c r="G2567" s="1">
        <v>38302</v>
      </c>
      <c r="H2567" s="1">
        <v>39114</v>
      </c>
      <c r="I2567" t="s">
        <v>12</v>
      </c>
      <c r="J2567" t="s">
        <v>13337</v>
      </c>
    </row>
    <row r="2568" spans="1:10" x14ac:dyDescent="0.25">
      <c r="A2568">
        <v>283612</v>
      </c>
      <c r="B2568" t="s">
        <v>2693</v>
      </c>
      <c r="C2568" t="str">
        <f>"9780521842532"</f>
        <v>9780521842532</v>
      </c>
      <c r="D2568" t="str">
        <f>"9780511263385"</f>
        <v>9780511263385</v>
      </c>
      <c r="E2568" t="s">
        <v>18</v>
      </c>
      <c r="F2568" t="s">
        <v>18</v>
      </c>
      <c r="G2568" s="1">
        <v>38330</v>
      </c>
      <c r="H2568" s="1">
        <v>39114</v>
      </c>
      <c r="I2568" t="s">
        <v>12</v>
      </c>
      <c r="J2568" t="s">
        <v>13338</v>
      </c>
    </row>
    <row r="2569" spans="1:10" x14ac:dyDescent="0.25">
      <c r="A2569">
        <v>283617</v>
      </c>
      <c r="B2569" t="s">
        <v>2694</v>
      </c>
      <c r="C2569" t="str">
        <f>"9780521843386"</f>
        <v>9780521843386</v>
      </c>
      <c r="D2569" t="str">
        <f>"9780511263415"</f>
        <v>9780511263415</v>
      </c>
      <c r="E2569" t="s">
        <v>18</v>
      </c>
      <c r="F2569" t="s">
        <v>18</v>
      </c>
      <c r="G2569" s="1">
        <v>38316</v>
      </c>
      <c r="H2569" s="1">
        <v>39114</v>
      </c>
      <c r="I2569" t="s">
        <v>12</v>
      </c>
      <c r="J2569" t="s">
        <v>13339</v>
      </c>
    </row>
    <row r="2570" spans="1:10" x14ac:dyDescent="0.25">
      <c r="A2570">
        <v>283619</v>
      </c>
      <c r="B2570" t="s">
        <v>2695</v>
      </c>
      <c r="C2570" t="str">
        <f>"9780521843621"</f>
        <v>9780521843621</v>
      </c>
      <c r="D2570" t="str">
        <f>"9780511263934"</f>
        <v>9780511263934</v>
      </c>
      <c r="E2570" t="s">
        <v>18</v>
      </c>
      <c r="F2570" t="s">
        <v>18</v>
      </c>
      <c r="G2570" s="1">
        <v>38309</v>
      </c>
      <c r="H2570" s="1">
        <v>39141</v>
      </c>
      <c r="I2570" t="s">
        <v>12</v>
      </c>
      <c r="J2570" t="s">
        <v>13340</v>
      </c>
    </row>
    <row r="2571" spans="1:10" x14ac:dyDescent="0.25">
      <c r="A2571">
        <v>283622</v>
      </c>
      <c r="B2571" t="s">
        <v>2696</v>
      </c>
      <c r="C2571" t="str">
        <f>"9780521844154"</f>
        <v>9780521844154</v>
      </c>
      <c r="D2571" t="str">
        <f>"9780511263958"</f>
        <v>9780511263958</v>
      </c>
      <c r="E2571" t="s">
        <v>18</v>
      </c>
      <c r="F2571" t="s">
        <v>18</v>
      </c>
      <c r="G2571" s="1">
        <v>38344</v>
      </c>
      <c r="H2571" s="1">
        <v>39114</v>
      </c>
      <c r="I2571" t="s">
        <v>12</v>
      </c>
      <c r="J2571" t="s">
        <v>13341</v>
      </c>
    </row>
    <row r="2572" spans="1:10" x14ac:dyDescent="0.25">
      <c r="A2572">
        <v>283625</v>
      </c>
      <c r="B2572" t="s">
        <v>2697</v>
      </c>
      <c r="C2572" t="str">
        <f>"9780521847223"</f>
        <v>9780521847223</v>
      </c>
      <c r="D2572" t="str">
        <f>"9780511263453"</f>
        <v>9780511263453</v>
      </c>
      <c r="E2572" t="s">
        <v>18</v>
      </c>
      <c r="F2572" t="s">
        <v>18</v>
      </c>
      <c r="G2572" s="1">
        <v>38316</v>
      </c>
      <c r="H2572" s="1">
        <v>39114</v>
      </c>
      <c r="I2572" t="s">
        <v>12</v>
      </c>
      <c r="J2572" t="s">
        <v>13342</v>
      </c>
    </row>
    <row r="2573" spans="1:10" x14ac:dyDescent="0.25">
      <c r="A2573">
        <v>283669</v>
      </c>
      <c r="B2573" t="s">
        <v>2698</v>
      </c>
      <c r="C2573" t="str">
        <f>"9780415979405"</f>
        <v>9780415979405</v>
      </c>
      <c r="D2573" t="str">
        <f>"9780203944196"</f>
        <v>9780203944196</v>
      </c>
      <c r="E2573" t="s">
        <v>15</v>
      </c>
      <c r="F2573" t="s">
        <v>16</v>
      </c>
      <c r="G2573" s="1">
        <v>39036</v>
      </c>
      <c r="H2573" s="1">
        <v>39255</v>
      </c>
      <c r="I2573" t="s">
        <v>12</v>
      </c>
      <c r="J2573" t="s">
        <v>13343</v>
      </c>
    </row>
    <row r="2574" spans="1:10" x14ac:dyDescent="0.25">
      <c r="A2574">
        <v>283723</v>
      </c>
      <c r="B2574" t="s">
        <v>2699</v>
      </c>
      <c r="C2574" t="str">
        <f>"9780803615793"</f>
        <v>9780803615793</v>
      </c>
      <c r="D2574" t="str">
        <f>"9780803618640"</f>
        <v>9780803618640</v>
      </c>
      <c r="E2574" t="s">
        <v>1445</v>
      </c>
      <c r="F2574" t="s">
        <v>1445</v>
      </c>
      <c r="G2574" s="1">
        <v>39111</v>
      </c>
      <c r="H2574" s="1">
        <v>39399</v>
      </c>
      <c r="I2574" t="s">
        <v>12</v>
      </c>
      <c r="J2574" t="s">
        <v>13344</v>
      </c>
    </row>
    <row r="2575" spans="1:10" x14ac:dyDescent="0.25">
      <c r="A2575">
        <v>283985</v>
      </c>
      <c r="B2575" t="s">
        <v>2700</v>
      </c>
      <c r="C2575" t="str">
        <f>"9780240808505"</f>
        <v>9780240808505</v>
      </c>
      <c r="D2575" t="str">
        <f>"9780080467856"</f>
        <v>9780080467856</v>
      </c>
      <c r="E2575" t="s">
        <v>15</v>
      </c>
      <c r="F2575" t="s">
        <v>1122</v>
      </c>
      <c r="G2575" s="1">
        <v>39052</v>
      </c>
      <c r="H2575" s="1">
        <v>39141</v>
      </c>
      <c r="I2575" t="s">
        <v>12</v>
      </c>
      <c r="J2575" t="s">
        <v>13345</v>
      </c>
    </row>
    <row r="2576" spans="1:10" x14ac:dyDescent="0.25">
      <c r="A2576">
        <v>284020</v>
      </c>
      <c r="B2576" t="s">
        <v>2701</v>
      </c>
      <c r="C2576" t="str">
        <f>"9780750668972"</f>
        <v>9780750668972</v>
      </c>
      <c r="D2576" t="str">
        <f>"9780080468174"</f>
        <v>9780080468174</v>
      </c>
      <c r="E2576" t="s">
        <v>15</v>
      </c>
      <c r="F2576" t="s">
        <v>16</v>
      </c>
      <c r="G2576" s="1">
        <v>39087</v>
      </c>
      <c r="H2576" s="1">
        <v>39129</v>
      </c>
      <c r="I2576" t="s">
        <v>12</v>
      </c>
      <c r="J2576" t="s">
        <v>13346</v>
      </c>
    </row>
    <row r="2577" spans="1:10" x14ac:dyDescent="0.25">
      <c r="A2577">
        <v>284040</v>
      </c>
      <c r="B2577" t="s">
        <v>2702</v>
      </c>
      <c r="C2577" t="str">
        <f>"9780750682404"</f>
        <v>9780750682404</v>
      </c>
      <c r="D2577" t="str">
        <f>"9780080468334"</f>
        <v>9780080468334</v>
      </c>
      <c r="E2577" t="s">
        <v>15</v>
      </c>
      <c r="F2577" t="s">
        <v>16</v>
      </c>
      <c r="G2577" s="1">
        <v>40770</v>
      </c>
      <c r="H2577" s="1">
        <v>40171</v>
      </c>
      <c r="I2577" t="s">
        <v>12</v>
      </c>
      <c r="J2577" t="s">
        <v>13347</v>
      </c>
    </row>
    <row r="2578" spans="1:10" x14ac:dyDescent="0.25">
      <c r="A2578">
        <v>284075</v>
      </c>
      <c r="B2578" t="s">
        <v>2703</v>
      </c>
      <c r="C2578" t="str">
        <f>"9781405118095"</f>
        <v>9781405118095</v>
      </c>
      <c r="D2578" t="str">
        <f>"9781405172622"</f>
        <v>9781405172622</v>
      </c>
      <c r="E2578" t="s">
        <v>1088</v>
      </c>
      <c r="F2578" t="s">
        <v>1089</v>
      </c>
      <c r="G2578" s="1">
        <v>39098</v>
      </c>
      <c r="H2578" s="1">
        <v>39132</v>
      </c>
      <c r="I2578" t="s">
        <v>12</v>
      </c>
      <c r="J2578" t="s">
        <v>13348</v>
      </c>
    </row>
    <row r="2579" spans="1:10" x14ac:dyDescent="0.25">
      <c r="A2579">
        <v>284095</v>
      </c>
      <c r="B2579" t="s">
        <v>2704</v>
      </c>
      <c r="C2579" t="str">
        <f>"9780631213079"</f>
        <v>9780631213079</v>
      </c>
      <c r="D2579" t="str">
        <f>"9781405172813"</f>
        <v>9781405172813</v>
      </c>
      <c r="E2579" t="s">
        <v>2705</v>
      </c>
      <c r="F2579" t="s">
        <v>2705</v>
      </c>
      <c r="G2579" s="1">
        <v>38723</v>
      </c>
      <c r="H2579" s="1">
        <v>40681</v>
      </c>
      <c r="I2579" t="s">
        <v>12</v>
      </c>
      <c r="J2579" t="s">
        <v>13349</v>
      </c>
    </row>
    <row r="2580" spans="1:10" x14ac:dyDescent="0.25">
      <c r="A2580">
        <v>284158</v>
      </c>
      <c r="B2580" t="s">
        <v>2706</v>
      </c>
      <c r="C2580" t="str">
        <f>"9780632064861"</f>
        <v>9780632064861</v>
      </c>
      <c r="D2580" t="str">
        <f>"9781405172349"</f>
        <v>9781405172349</v>
      </c>
      <c r="E2580" t="s">
        <v>1088</v>
      </c>
      <c r="F2580" t="s">
        <v>1089</v>
      </c>
      <c r="G2580" s="1">
        <v>38425</v>
      </c>
      <c r="H2580" s="1">
        <v>39132</v>
      </c>
      <c r="I2580" t="s">
        <v>12</v>
      </c>
      <c r="J2580" t="s">
        <v>13350</v>
      </c>
    </row>
    <row r="2581" spans="1:10" x14ac:dyDescent="0.25">
      <c r="A2581">
        <v>284163</v>
      </c>
      <c r="B2581" t="s">
        <v>2707</v>
      </c>
      <c r="C2581" t="str">
        <f>"9781405195980"</f>
        <v>9781405195980</v>
      </c>
      <c r="D2581" t="str">
        <f>"9781405172431"</f>
        <v>9781405172431</v>
      </c>
      <c r="E2581" t="s">
        <v>1088</v>
      </c>
      <c r="F2581" t="s">
        <v>1089</v>
      </c>
      <c r="G2581" s="1">
        <v>39087</v>
      </c>
      <c r="H2581" s="1">
        <v>40696</v>
      </c>
      <c r="I2581" t="s">
        <v>12</v>
      </c>
      <c r="J2581" t="s">
        <v>13351</v>
      </c>
    </row>
    <row r="2582" spans="1:10" x14ac:dyDescent="0.25">
      <c r="A2582">
        <v>284165</v>
      </c>
      <c r="B2582" t="s">
        <v>2708</v>
      </c>
      <c r="C2582" t="str">
        <f>"9781405130127"</f>
        <v>9781405130127</v>
      </c>
      <c r="D2582" t="str">
        <f>"9781405172745"</f>
        <v>9781405172745</v>
      </c>
      <c r="E2582" t="s">
        <v>1088</v>
      </c>
      <c r="F2582" t="s">
        <v>1089</v>
      </c>
      <c r="G2582" s="1">
        <v>38782</v>
      </c>
      <c r="H2582" s="1">
        <v>39132</v>
      </c>
      <c r="I2582" t="s">
        <v>12</v>
      </c>
      <c r="J2582" t="s">
        <v>13352</v>
      </c>
    </row>
    <row r="2583" spans="1:10" x14ac:dyDescent="0.25">
      <c r="A2583">
        <v>284183</v>
      </c>
      <c r="B2583" t="s">
        <v>2709</v>
      </c>
      <c r="C2583" t="str">
        <f>"9781444350869"</f>
        <v>9781444350869</v>
      </c>
      <c r="D2583" t="str">
        <f>"9781405172769"</f>
        <v>9781405172769</v>
      </c>
      <c r="E2583" t="s">
        <v>1088</v>
      </c>
      <c r="F2583" t="s">
        <v>1089</v>
      </c>
      <c r="G2583" s="1">
        <v>39084</v>
      </c>
      <c r="H2583" s="1">
        <v>39132</v>
      </c>
      <c r="I2583" t="s">
        <v>12</v>
      </c>
      <c r="J2583" t="s">
        <v>13353</v>
      </c>
    </row>
    <row r="2584" spans="1:10" x14ac:dyDescent="0.25">
      <c r="A2584">
        <v>284247</v>
      </c>
      <c r="B2584" t="s">
        <v>2710</v>
      </c>
      <c r="C2584" t="str">
        <f>"9781405132534"</f>
        <v>9781405132534</v>
      </c>
      <c r="D2584" t="str">
        <f>"9781405171595"</f>
        <v>9781405171595</v>
      </c>
      <c r="E2584" t="s">
        <v>1088</v>
      </c>
      <c r="F2584" t="s">
        <v>1089</v>
      </c>
      <c r="G2584" s="1">
        <v>39091</v>
      </c>
      <c r="H2584" s="1">
        <v>39129</v>
      </c>
      <c r="I2584" t="s">
        <v>12</v>
      </c>
      <c r="J2584" t="s">
        <v>13354</v>
      </c>
    </row>
    <row r="2585" spans="1:10" x14ac:dyDescent="0.25">
      <c r="A2585">
        <v>284253</v>
      </c>
      <c r="B2585" t="s">
        <v>2711</v>
      </c>
      <c r="C2585" t="str">
        <f>"9781444334159"</f>
        <v>9781444334159</v>
      </c>
      <c r="D2585" t="str">
        <f>"9781405171984"</f>
        <v>9781405171984</v>
      </c>
      <c r="E2585" t="s">
        <v>1088</v>
      </c>
      <c r="F2585" t="s">
        <v>1089</v>
      </c>
      <c r="G2585" s="1">
        <v>39091</v>
      </c>
      <c r="H2585" s="1">
        <v>40696</v>
      </c>
      <c r="I2585" t="s">
        <v>12</v>
      </c>
      <c r="J2585" t="s">
        <v>13355</v>
      </c>
    </row>
    <row r="2586" spans="1:10" x14ac:dyDescent="0.25">
      <c r="A2586">
        <v>284255</v>
      </c>
      <c r="B2586" t="s">
        <v>2712</v>
      </c>
      <c r="C2586" t="str">
        <f>"9781444332063"</f>
        <v>9781444332063</v>
      </c>
      <c r="D2586" t="str">
        <f>"9781405172004"</f>
        <v>9781405172004</v>
      </c>
      <c r="E2586" t="s">
        <v>1088</v>
      </c>
      <c r="F2586" t="s">
        <v>1089</v>
      </c>
      <c r="G2586" s="1">
        <v>39073</v>
      </c>
      <c r="H2586" s="1">
        <v>40696</v>
      </c>
      <c r="I2586" t="s">
        <v>12</v>
      </c>
      <c r="J2586" t="s">
        <v>13356</v>
      </c>
    </row>
    <row r="2587" spans="1:10" x14ac:dyDescent="0.25">
      <c r="A2587">
        <v>284264</v>
      </c>
      <c r="B2587" t="s">
        <v>2713</v>
      </c>
      <c r="C2587" t="str">
        <f>"9781405110778"</f>
        <v>9781405110778</v>
      </c>
      <c r="D2587" t="str">
        <f>"9781405155335"</f>
        <v>9781405155335</v>
      </c>
      <c r="E2587" t="s">
        <v>1088</v>
      </c>
      <c r="F2587" t="s">
        <v>1089</v>
      </c>
      <c r="G2587" s="1">
        <v>38792</v>
      </c>
      <c r="H2587" s="1">
        <v>40696</v>
      </c>
      <c r="I2587" t="s">
        <v>12</v>
      </c>
      <c r="J2587" t="s">
        <v>13357</v>
      </c>
    </row>
    <row r="2588" spans="1:10" x14ac:dyDescent="0.25">
      <c r="A2588">
        <v>284316</v>
      </c>
      <c r="B2588" t="s">
        <v>2714</v>
      </c>
      <c r="C2588" t="str">
        <f>"9781933531076"</f>
        <v>9781933531076</v>
      </c>
      <c r="D2588" t="str">
        <f>"9781933531892"</f>
        <v>9781933531892</v>
      </c>
      <c r="E2588" t="s">
        <v>1848</v>
      </c>
      <c r="F2588" t="s">
        <v>1848</v>
      </c>
      <c r="G2588" s="1">
        <v>38991</v>
      </c>
      <c r="H2588" s="1">
        <v>39121</v>
      </c>
      <c r="I2588" t="s">
        <v>12</v>
      </c>
      <c r="J2588" t="s">
        <v>13358</v>
      </c>
    </row>
    <row r="2589" spans="1:10" x14ac:dyDescent="0.25">
      <c r="A2589">
        <v>284433</v>
      </c>
      <c r="B2589" t="s">
        <v>2715</v>
      </c>
      <c r="C2589" t="str">
        <f>"9780520247888"</f>
        <v>9780520247888</v>
      </c>
      <c r="D2589" t="str">
        <f>"9780520932920"</f>
        <v>9780520932920</v>
      </c>
      <c r="E2589" t="s">
        <v>2000</v>
      </c>
      <c r="F2589" t="s">
        <v>2000</v>
      </c>
      <c r="G2589" s="1">
        <v>39092</v>
      </c>
      <c r="H2589" s="1">
        <v>42337</v>
      </c>
      <c r="I2589" t="s">
        <v>12</v>
      </c>
      <c r="J2589" t="s">
        <v>13359</v>
      </c>
    </row>
    <row r="2590" spans="1:10" x14ac:dyDescent="0.25">
      <c r="A2590">
        <v>284650</v>
      </c>
      <c r="B2590" t="s">
        <v>2716</v>
      </c>
      <c r="C2590" t="str">
        <f>"9789241562829"</f>
        <v>9789241562829</v>
      </c>
      <c r="D2590" t="str">
        <f>"9789240681668"</f>
        <v>9789240681668</v>
      </c>
      <c r="E2590" t="s">
        <v>2717</v>
      </c>
      <c r="F2590" t="s">
        <v>2717</v>
      </c>
      <c r="G2590" s="1">
        <v>37853</v>
      </c>
      <c r="H2590" s="1">
        <v>39120</v>
      </c>
      <c r="I2590" t="s">
        <v>12</v>
      </c>
      <c r="J2590" t="s">
        <v>13360</v>
      </c>
    </row>
    <row r="2591" spans="1:10" x14ac:dyDescent="0.25">
      <c r="A2591">
        <v>284656</v>
      </c>
      <c r="B2591" t="s">
        <v>2718</v>
      </c>
      <c r="C2591" t="str">
        <f>"9789241545808"</f>
        <v>9789241545808</v>
      </c>
      <c r="D2591" t="str">
        <f>"9789240680524"</f>
        <v>9789240680524</v>
      </c>
      <c r="E2591" t="s">
        <v>2717</v>
      </c>
      <c r="F2591" t="s">
        <v>2717</v>
      </c>
      <c r="G2591" s="1">
        <v>37622</v>
      </c>
      <c r="H2591" s="1">
        <v>39120</v>
      </c>
      <c r="I2591" t="s">
        <v>12</v>
      </c>
      <c r="J2591" t="s">
        <v>13361</v>
      </c>
    </row>
    <row r="2592" spans="1:10" x14ac:dyDescent="0.25">
      <c r="A2592">
        <v>284663</v>
      </c>
      <c r="B2592" t="s">
        <v>2719</v>
      </c>
      <c r="C2592" t="str">
        <f>"9789289013734"</f>
        <v>9789289013734</v>
      </c>
      <c r="D2592" t="str">
        <f>"9789240680623"</f>
        <v>9789240680623</v>
      </c>
      <c r="E2592" t="s">
        <v>2717</v>
      </c>
      <c r="F2592" t="s">
        <v>2717</v>
      </c>
      <c r="G2592" s="1">
        <v>38353</v>
      </c>
      <c r="H2592" s="1">
        <v>39120</v>
      </c>
      <c r="I2592" t="s">
        <v>12</v>
      </c>
      <c r="J2592" t="s">
        <v>13362</v>
      </c>
    </row>
    <row r="2593" spans="1:10" x14ac:dyDescent="0.25">
      <c r="A2593">
        <v>284738</v>
      </c>
      <c r="B2593" t="s">
        <v>2720</v>
      </c>
      <c r="C2593" t="str">
        <f>"9789241562713"</f>
        <v>9789241562713</v>
      </c>
      <c r="D2593" t="str">
        <f>"9789240680685"</f>
        <v>9789240680685</v>
      </c>
      <c r="E2593" t="s">
        <v>2717</v>
      </c>
      <c r="F2593" t="s">
        <v>2717</v>
      </c>
      <c r="G2593" s="1">
        <v>37987</v>
      </c>
      <c r="H2593" s="1">
        <v>39129</v>
      </c>
      <c r="I2593" t="s">
        <v>12</v>
      </c>
      <c r="J2593" t="s">
        <v>13363</v>
      </c>
    </row>
    <row r="2594" spans="1:10" x14ac:dyDescent="0.25">
      <c r="A2594">
        <v>284760</v>
      </c>
      <c r="B2594" t="s">
        <v>2721</v>
      </c>
      <c r="C2594" t="str">
        <f>"9789241209342"</f>
        <v>9789241209342</v>
      </c>
      <c r="D2594" t="str">
        <f>"9789240680333"</f>
        <v>9789240680333</v>
      </c>
      <c r="E2594" t="s">
        <v>2717</v>
      </c>
      <c r="F2594" t="s">
        <v>2717</v>
      </c>
      <c r="G2594" s="1">
        <v>36951</v>
      </c>
      <c r="H2594" s="1">
        <v>39121</v>
      </c>
      <c r="I2594" t="s">
        <v>12</v>
      </c>
      <c r="J2594" t="s">
        <v>13364</v>
      </c>
    </row>
    <row r="2595" spans="1:10" x14ac:dyDescent="0.25">
      <c r="A2595">
        <v>284762</v>
      </c>
      <c r="B2595" t="s">
        <v>2722</v>
      </c>
      <c r="C2595" t="str">
        <f>"9789241209304"</f>
        <v>9789241209304</v>
      </c>
      <c r="D2595" t="str">
        <f>"9789240680364"</f>
        <v>9789240680364</v>
      </c>
      <c r="E2595" t="s">
        <v>2717</v>
      </c>
      <c r="F2595" t="s">
        <v>2717</v>
      </c>
      <c r="G2595" s="1">
        <v>38718</v>
      </c>
      <c r="H2595" s="1">
        <v>39121</v>
      </c>
      <c r="I2595" t="s">
        <v>12</v>
      </c>
      <c r="J2595" t="s">
        <v>13365</v>
      </c>
    </row>
    <row r="2596" spans="1:10" x14ac:dyDescent="0.25">
      <c r="A2596">
        <v>284778</v>
      </c>
      <c r="B2596" t="s">
        <v>2723</v>
      </c>
      <c r="C2596" t="str">
        <f>"9789289013772"</f>
        <v>9789289013772</v>
      </c>
      <c r="D2596" t="str">
        <f>"9781280268670"</f>
        <v>9781280268670</v>
      </c>
      <c r="E2596" t="s">
        <v>2717</v>
      </c>
      <c r="F2596" t="s">
        <v>2724</v>
      </c>
      <c r="G2596" s="1">
        <v>38353</v>
      </c>
      <c r="H2596" s="1">
        <v>39121</v>
      </c>
      <c r="I2596" t="s">
        <v>12</v>
      </c>
      <c r="J2596" t="s">
        <v>13366</v>
      </c>
    </row>
    <row r="2597" spans="1:10" x14ac:dyDescent="0.25">
      <c r="A2597">
        <v>284833</v>
      </c>
      <c r="B2597" t="s">
        <v>2725</v>
      </c>
      <c r="C2597" t="str">
        <f>"9780849331886"</f>
        <v>9780849331886</v>
      </c>
      <c r="D2597" t="str">
        <f>"9781420013016"</f>
        <v>9781420013016</v>
      </c>
      <c r="E2597" t="s">
        <v>1900</v>
      </c>
      <c r="F2597" t="s">
        <v>1900</v>
      </c>
      <c r="G2597" s="1">
        <v>39139</v>
      </c>
      <c r="H2597" s="1">
        <v>39123</v>
      </c>
      <c r="I2597" t="s">
        <v>12</v>
      </c>
      <c r="J2597" t="s">
        <v>13367</v>
      </c>
    </row>
    <row r="2598" spans="1:10" x14ac:dyDescent="0.25">
      <c r="A2598">
        <v>284834</v>
      </c>
      <c r="B2598" t="s">
        <v>2726</v>
      </c>
      <c r="C2598" t="str">
        <f>"9781574445657"</f>
        <v>9781574445657</v>
      </c>
      <c r="D2598" t="str">
        <f>"9781420017021"</f>
        <v>9781420017021</v>
      </c>
      <c r="E2598" t="s">
        <v>15</v>
      </c>
      <c r="F2598" t="s">
        <v>16</v>
      </c>
      <c r="G2598" s="1">
        <v>39135</v>
      </c>
      <c r="H2598" s="1">
        <v>39123</v>
      </c>
      <c r="I2598" t="s">
        <v>12</v>
      </c>
      <c r="J2598" t="s">
        <v>13368</v>
      </c>
    </row>
    <row r="2599" spans="1:10" x14ac:dyDescent="0.25">
      <c r="A2599">
        <v>285197</v>
      </c>
      <c r="B2599" t="s">
        <v>2727</v>
      </c>
      <c r="C2599" t="str">
        <f>"9780803211056"</f>
        <v>9780803211056</v>
      </c>
      <c r="D2599" t="str">
        <f>"9780803206687"</f>
        <v>9780803206687</v>
      </c>
      <c r="E2599" t="s">
        <v>2728</v>
      </c>
      <c r="F2599" t="s">
        <v>2729</v>
      </c>
      <c r="G2599" s="1">
        <v>39264</v>
      </c>
      <c r="H2599" s="1">
        <v>39211</v>
      </c>
      <c r="I2599" t="s">
        <v>12</v>
      </c>
      <c r="J2599" t="s">
        <v>13369</v>
      </c>
    </row>
    <row r="2600" spans="1:10" x14ac:dyDescent="0.25">
      <c r="A2600">
        <v>285198</v>
      </c>
      <c r="B2600" t="s">
        <v>2730</v>
      </c>
      <c r="C2600" t="str">
        <f>"9780803259904"</f>
        <v>9780803259904</v>
      </c>
      <c r="D2600" t="str">
        <f>"9780803206939"</f>
        <v>9780803206939</v>
      </c>
      <c r="E2600" t="s">
        <v>2728</v>
      </c>
      <c r="F2600" t="s">
        <v>2729</v>
      </c>
      <c r="G2600" s="1">
        <v>39203</v>
      </c>
      <c r="H2600" s="1">
        <v>39156</v>
      </c>
      <c r="I2600" t="s">
        <v>12</v>
      </c>
      <c r="J2600" t="s">
        <v>13370</v>
      </c>
    </row>
    <row r="2601" spans="1:10" x14ac:dyDescent="0.25">
      <c r="A2601">
        <v>285199</v>
      </c>
      <c r="B2601" t="s">
        <v>2731</v>
      </c>
      <c r="C2601" t="str">
        <f>"9780803298620"</f>
        <v>9780803298620</v>
      </c>
      <c r="D2601" t="str">
        <f>"9780803205802"</f>
        <v>9780803205802</v>
      </c>
      <c r="E2601" t="s">
        <v>2728</v>
      </c>
      <c r="F2601" t="s">
        <v>2729</v>
      </c>
      <c r="G2601" s="1">
        <v>39142</v>
      </c>
      <c r="H2601" s="1">
        <v>39124</v>
      </c>
      <c r="I2601" t="s">
        <v>12</v>
      </c>
      <c r="J2601" t="s">
        <v>13371</v>
      </c>
    </row>
    <row r="2602" spans="1:10" x14ac:dyDescent="0.25">
      <c r="A2602">
        <v>285202</v>
      </c>
      <c r="B2602" t="s">
        <v>2732</v>
      </c>
      <c r="C2602" t="str">
        <f>"9780803259928"</f>
        <v>9780803259928</v>
      </c>
      <c r="D2602" t="str">
        <f>"9780803206984"</f>
        <v>9780803206984</v>
      </c>
      <c r="E2602" t="s">
        <v>2728</v>
      </c>
      <c r="F2602" t="s">
        <v>2729</v>
      </c>
      <c r="G2602" s="1">
        <v>39234</v>
      </c>
      <c r="H2602" s="1">
        <v>39348</v>
      </c>
      <c r="I2602" t="s">
        <v>12</v>
      </c>
      <c r="J2602" t="s">
        <v>13372</v>
      </c>
    </row>
    <row r="2603" spans="1:10" x14ac:dyDescent="0.25">
      <c r="A2603">
        <v>285208</v>
      </c>
      <c r="B2603" t="s">
        <v>2733</v>
      </c>
      <c r="C2603" t="str">
        <f>"9780803211469"</f>
        <v>9780803211469</v>
      </c>
      <c r="D2603" t="str">
        <f>"9780803206977"</f>
        <v>9780803206977</v>
      </c>
      <c r="E2603" t="s">
        <v>2728</v>
      </c>
      <c r="F2603" t="s">
        <v>2729</v>
      </c>
      <c r="G2603" s="1">
        <v>39195</v>
      </c>
      <c r="H2603" s="1">
        <v>39124</v>
      </c>
      <c r="I2603" t="s">
        <v>12</v>
      </c>
      <c r="J2603" t="s">
        <v>13373</v>
      </c>
    </row>
    <row r="2604" spans="1:10" x14ac:dyDescent="0.25">
      <c r="A2604">
        <v>285212</v>
      </c>
      <c r="B2604" t="s">
        <v>2734</v>
      </c>
      <c r="C2604" t="str">
        <f>"9780803211155"</f>
        <v>9780803211155</v>
      </c>
      <c r="D2604" t="str">
        <f>"9780803205642"</f>
        <v>9780803205642</v>
      </c>
      <c r="E2604" t="s">
        <v>2735</v>
      </c>
      <c r="F2604" t="s">
        <v>2728</v>
      </c>
      <c r="G2604" s="1">
        <v>39142</v>
      </c>
      <c r="H2604" s="1">
        <v>39124</v>
      </c>
      <c r="I2604" t="s">
        <v>12</v>
      </c>
      <c r="J2604" t="s">
        <v>13374</v>
      </c>
    </row>
    <row r="2605" spans="1:10" x14ac:dyDescent="0.25">
      <c r="A2605">
        <v>285223</v>
      </c>
      <c r="B2605" t="s">
        <v>2736</v>
      </c>
      <c r="C2605" t="str">
        <f>"9780803243200"</f>
        <v>9780803243200</v>
      </c>
      <c r="D2605" t="str">
        <f>"9780803207004"</f>
        <v>9780803207004</v>
      </c>
      <c r="E2605" t="s">
        <v>2735</v>
      </c>
      <c r="F2605" t="s">
        <v>2728</v>
      </c>
      <c r="G2605" s="1">
        <v>39203</v>
      </c>
      <c r="H2605" s="1">
        <v>39156</v>
      </c>
      <c r="I2605" t="s">
        <v>12</v>
      </c>
      <c r="J2605" t="s">
        <v>13375</v>
      </c>
    </row>
    <row r="2606" spans="1:10" x14ac:dyDescent="0.25">
      <c r="A2606">
        <v>285234</v>
      </c>
      <c r="B2606" t="s">
        <v>2737</v>
      </c>
      <c r="C2606" t="str">
        <f>"9780803210912"</f>
        <v>9780803210912</v>
      </c>
      <c r="D2606" t="str">
        <f>"9780803206236"</f>
        <v>9780803206236</v>
      </c>
      <c r="E2606" t="s">
        <v>2735</v>
      </c>
      <c r="F2606" t="s">
        <v>2728</v>
      </c>
      <c r="G2606" s="1">
        <v>39234</v>
      </c>
      <c r="H2606" s="1">
        <v>39165</v>
      </c>
      <c r="I2606" t="s">
        <v>12</v>
      </c>
      <c r="J2606" t="s">
        <v>13376</v>
      </c>
    </row>
    <row r="2607" spans="1:10" x14ac:dyDescent="0.25">
      <c r="A2607">
        <v>285329</v>
      </c>
      <c r="B2607" t="s">
        <v>2738</v>
      </c>
      <c r="C2607" t="str">
        <f>"9781841501505"</f>
        <v>9781841501505</v>
      </c>
      <c r="D2607" t="str">
        <f>"9781841509792"</f>
        <v>9781841509792</v>
      </c>
      <c r="E2607" t="s">
        <v>2646</v>
      </c>
      <c r="F2607" t="s">
        <v>2647</v>
      </c>
      <c r="G2607" s="1">
        <v>39083</v>
      </c>
      <c r="H2607" s="1">
        <v>39133</v>
      </c>
      <c r="I2607" t="s">
        <v>12</v>
      </c>
      <c r="J2607" t="s">
        <v>13377</v>
      </c>
    </row>
    <row r="2608" spans="1:10" x14ac:dyDescent="0.25">
      <c r="A2608">
        <v>285346</v>
      </c>
      <c r="B2608" t="s">
        <v>2739</v>
      </c>
      <c r="C2608" t="str">
        <f>"9781840244991"</f>
        <v>9781840244991</v>
      </c>
      <c r="D2608" t="str">
        <f>"9781840248128"</f>
        <v>9781840248128</v>
      </c>
      <c r="E2608" t="s">
        <v>626</v>
      </c>
      <c r="F2608" t="s">
        <v>1114</v>
      </c>
      <c r="G2608" s="1">
        <v>37676</v>
      </c>
      <c r="H2608" s="1">
        <v>39132</v>
      </c>
      <c r="I2608" t="s">
        <v>12</v>
      </c>
      <c r="J2608" t="s">
        <v>13378</v>
      </c>
    </row>
    <row r="2609" spans="1:10" x14ac:dyDescent="0.25">
      <c r="A2609">
        <v>285509</v>
      </c>
      <c r="B2609" t="s">
        <v>2740</v>
      </c>
      <c r="C2609" t="str">
        <f>"9781846632549"</f>
        <v>9781846632549</v>
      </c>
      <c r="D2609" t="str">
        <f>"9781846632556"</f>
        <v>9781846632556</v>
      </c>
      <c r="E2609" t="s">
        <v>1116</v>
      </c>
      <c r="F2609" t="s">
        <v>1117</v>
      </c>
      <c r="G2609" s="1">
        <v>39052</v>
      </c>
      <c r="H2609" s="1">
        <v>39139</v>
      </c>
      <c r="I2609" t="s">
        <v>12</v>
      </c>
      <c r="J2609" t="s">
        <v>13379</v>
      </c>
    </row>
    <row r="2610" spans="1:10" x14ac:dyDescent="0.25">
      <c r="A2610">
        <v>285511</v>
      </c>
      <c r="B2610" t="s">
        <v>2741</v>
      </c>
      <c r="C2610" t="str">
        <f>"9781846633263"</f>
        <v>9781846633263</v>
      </c>
      <c r="D2610" t="str">
        <f>"9781846633270"</f>
        <v>9781846633270</v>
      </c>
      <c r="E2610" t="s">
        <v>1116</v>
      </c>
      <c r="F2610" t="s">
        <v>1117</v>
      </c>
      <c r="G2610" s="1">
        <v>39038</v>
      </c>
      <c r="H2610" s="1">
        <v>39139</v>
      </c>
      <c r="I2610" t="s">
        <v>12</v>
      </c>
      <c r="J2610" t="s">
        <v>13380</v>
      </c>
    </row>
    <row r="2611" spans="1:10" x14ac:dyDescent="0.25">
      <c r="A2611">
        <v>285529</v>
      </c>
      <c r="B2611" t="s">
        <v>2742</v>
      </c>
      <c r="C2611" t="str">
        <f>"9781846631788"</f>
        <v>9781846631788</v>
      </c>
      <c r="D2611" t="str">
        <f>"9781846631795"</f>
        <v>9781846631795</v>
      </c>
      <c r="E2611" t="s">
        <v>1116</v>
      </c>
      <c r="F2611" t="s">
        <v>1117</v>
      </c>
      <c r="G2611" s="1">
        <v>39017</v>
      </c>
      <c r="H2611" s="1">
        <v>39140</v>
      </c>
      <c r="I2611" t="s">
        <v>12</v>
      </c>
      <c r="J2611" t="s">
        <v>13381</v>
      </c>
    </row>
    <row r="2612" spans="1:10" x14ac:dyDescent="0.25">
      <c r="A2612">
        <v>285533</v>
      </c>
      <c r="B2612" t="s">
        <v>2743</v>
      </c>
      <c r="C2612" t="str">
        <f>"9781846632228"</f>
        <v>9781846632228</v>
      </c>
      <c r="D2612" t="str">
        <f>"9781846632235"</f>
        <v>9781846632235</v>
      </c>
      <c r="E2612" t="s">
        <v>1116</v>
      </c>
      <c r="F2612" t="s">
        <v>1117</v>
      </c>
      <c r="G2612" s="1">
        <v>39017</v>
      </c>
      <c r="H2612" s="1">
        <v>39140</v>
      </c>
      <c r="I2612" t="s">
        <v>12</v>
      </c>
      <c r="J2612" t="s">
        <v>13382</v>
      </c>
    </row>
    <row r="2613" spans="1:10" x14ac:dyDescent="0.25">
      <c r="A2613">
        <v>285541</v>
      </c>
      <c r="B2613" t="s">
        <v>2744</v>
      </c>
      <c r="C2613" t="str">
        <f>"9781846631849"</f>
        <v>9781846631849</v>
      </c>
      <c r="D2613" t="str">
        <f>"9781846631856"</f>
        <v>9781846631856</v>
      </c>
      <c r="E2613" t="s">
        <v>1116</v>
      </c>
      <c r="F2613" t="s">
        <v>1117</v>
      </c>
      <c r="G2613" s="1">
        <v>38968</v>
      </c>
      <c r="H2613" s="1">
        <v>39141</v>
      </c>
      <c r="I2613" t="s">
        <v>12</v>
      </c>
      <c r="J2613" t="s">
        <v>13383</v>
      </c>
    </row>
    <row r="2614" spans="1:10" x14ac:dyDescent="0.25">
      <c r="A2614">
        <v>285580</v>
      </c>
      <c r="B2614" t="s">
        <v>2745</v>
      </c>
      <c r="C2614" t="str">
        <f>"9780333990438"</f>
        <v>9780333990438</v>
      </c>
      <c r="D2614" t="str">
        <f>"9780230554726"</f>
        <v>9780230554726</v>
      </c>
      <c r="E2614" t="s">
        <v>875</v>
      </c>
      <c r="F2614" t="s">
        <v>876</v>
      </c>
      <c r="G2614" s="1">
        <v>37518</v>
      </c>
      <c r="H2614" s="1">
        <v>39135</v>
      </c>
      <c r="I2614" t="s">
        <v>12</v>
      </c>
      <c r="J2614" t="s">
        <v>13384</v>
      </c>
    </row>
    <row r="2615" spans="1:10" x14ac:dyDescent="0.25">
      <c r="A2615">
        <v>285595</v>
      </c>
      <c r="B2615" t="s">
        <v>2746</v>
      </c>
      <c r="C2615" t="str">
        <f>"9781403939715"</f>
        <v>9781403939715</v>
      </c>
      <c r="D2615" t="str">
        <f>"9780230504226"</f>
        <v>9780230504226</v>
      </c>
      <c r="E2615" t="s">
        <v>875</v>
      </c>
      <c r="F2615" t="s">
        <v>875</v>
      </c>
      <c r="G2615" s="1">
        <v>38569</v>
      </c>
      <c r="H2615" s="1">
        <v>39135</v>
      </c>
      <c r="I2615" t="s">
        <v>12</v>
      </c>
      <c r="J2615" t="s">
        <v>13385</v>
      </c>
    </row>
    <row r="2616" spans="1:10" x14ac:dyDescent="0.25">
      <c r="A2616">
        <v>285617</v>
      </c>
      <c r="B2616" t="s">
        <v>2747</v>
      </c>
      <c r="C2616" t="str">
        <f>"9781403997449"</f>
        <v>9781403997449</v>
      </c>
      <c r="D2616" t="str">
        <f>"9780230505292"</f>
        <v>9780230505292</v>
      </c>
      <c r="E2616" t="s">
        <v>875</v>
      </c>
      <c r="F2616" t="s">
        <v>875</v>
      </c>
      <c r="G2616" s="1">
        <v>38783</v>
      </c>
      <c r="H2616" s="1">
        <v>39135</v>
      </c>
      <c r="I2616" t="s">
        <v>12</v>
      </c>
      <c r="J2616" t="s">
        <v>13386</v>
      </c>
    </row>
    <row r="2617" spans="1:10" x14ac:dyDescent="0.25">
      <c r="A2617">
        <v>285651</v>
      </c>
      <c r="B2617" t="s">
        <v>2748</v>
      </c>
      <c r="C2617" t="str">
        <f>"9781403943323"</f>
        <v>9781403943323</v>
      </c>
      <c r="D2617" t="str">
        <f>"9780230554900"</f>
        <v>9780230554900</v>
      </c>
      <c r="E2617" t="s">
        <v>875</v>
      </c>
      <c r="F2617" t="s">
        <v>875</v>
      </c>
      <c r="G2617" s="1">
        <v>38657</v>
      </c>
      <c r="H2617" s="1">
        <v>39135</v>
      </c>
      <c r="I2617" t="s">
        <v>12</v>
      </c>
      <c r="J2617" t="s">
        <v>13387</v>
      </c>
    </row>
    <row r="2618" spans="1:10" x14ac:dyDescent="0.25">
      <c r="A2618">
        <v>285802</v>
      </c>
      <c r="B2618" t="s">
        <v>2749</v>
      </c>
      <c r="C2618" t="str">
        <f>"9780240808758"</f>
        <v>9780240808758</v>
      </c>
      <c r="D2618" t="str">
        <f>"9780080469270"</f>
        <v>9780080469270</v>
      </c>
      <c r="E2618" t="s">
        <v>15</v>
      </c>
      <c r="F2618" t="s">
        <v>1122</v>
      </c>
      <c r="G2618" s="1">
        <v>39417</v>
      </c>
      <c r="H2618" s="1">
        <v>39148</v>
      </c>
      <c r="I2618" t="s">
        <v>12</v>
      </c>
      <c r="J2618" t="s">
        <v>13388</v>
      </c>
    </row>
    <row r="2619" spans="1:10" x14ac:dyDescent="0.25">
      <c r="A2619">
        <v>285823</v>
      </c>
      <c r="B2619" t="s">
        <v>2750</v>
      </c>
      <c r="C2619" t="str">
        <f>"9780750678827"</f>
        <v>9780750678827</v>
      </c>
      <c r="D2619" t="str">
        <f>"9780080469492"</f>
        <v>9780080469492</v>
      </c>
      <c r="E2619" t="s">
        <v>1119</v>
      </c>
      <c r="F2619" t="s">
        <v>2125</v>
      </c>
      <c r="G2619" s="1">
        <v>39121</v>
      </c>
      <c r="H2619" s="1">
        <v>42341</v>
      </c>
      <c r="I2619" t="s">
        <v>12</v>
      </c>
      <c r="J2619" t="s">
        <v>13389</v>
      </c>
    </row>
    <row r="2620" spans="1:10" x14ac:dyDescent="0.25">
      <c r="A2620">
        <v>285838</v>
      </c>
      <c r="B2620" t="s">
        <v>2751</v>
      </c>
      <c r="C2620" t="str">
        <f>"9780240808413"</f>
        <v>9780240808413</v>
      </c>
      <c r="D2620" t="str">
        <f>"9780080469652"</f>
        <v>9780080469652</v>
      </c>
      <c r="E2620" t="s">
        <v>15</v>
      </c>
      <c r="F2620" t="s">
        <v>153</v>
      </c>
      <c r="G2620" s="1">
        <v>39084</v>
      </c>
      <c r="H2620" s="1">
        <v>39135</v>
      </c>
      <c r="I2620" t="s">
        <v>12</v>
      </c>
      <c r="J2620" t="s">
        <v>13390</v>
      </c>
    </row>
    <row r="2621" spans="1:10" x14ac:dyDescent="0.25">
      <c r="A2621">
        <v>285840</v>
      </c>
      <c r="B2621" t="s">
        <v>2752</v>
      </c>
      <c r="C2621" t="str">
        <f>"9780750668309"</f>
        <v>9780750668309</v>
      </c>
      <c r="D2621" t="str">
        <f>"9780080469676"</f>
        <v>9780080469676</v>
      </c>
      <c r="E2621" t="s">
        <v>15</v>
      </c>
      <c r="F2621" t="s">
        <v>16</v>
      </c>
      <c r="G2621" s="1">
        <v>39048</v>
      </c>
      <c r="H2621" s="1">
        <v>39139</v>
      </c>
      <c r="I2621" t="s">
        <v>12</v>
      </c>
      <c r="J2621" t="s">
        <v>13391</v>
      </c>
    </row>
    <row r="2622" spans="1:10" x14ac:dyDescent="0.25">
      <c r="A2622">
        <v>285846</v>
      </c>
      <c r="B2622" t="s">
        <v>2753</v>
      </c>
      <c r="C2622" t="str">
        <f>"9780750683357"</f>
        <v>9780750683357</v>
      </c>
      <c r="D2622" t="str">
        <f>"9780080469737"</f>
        <v>9780080469737</v>
      </c>
      <c r="E2622" t="s">
        <v>15</v>
      </c>
      <c r="F2622" t="s">
        <v>16</v>
      </c>
      <c r="G2622" s="1">
        <v>40746</v>
      </c>
      <c r="H2622" s="1">
        <v>39135</v>
      </c>
      <c r="I2622" t="s">
        <v>12</v>
      </c>
      <c r="J2622" t="s">
        <v>13392</v>
      </c>
    </row>
    <row r="2623" spans="1:10" x14ac:dyDescent="0.25">
      <c r="A2623">
        <v>285930</v>
      </c>
      <c r="B2623" t="s">
        <v>2754</v>
      </c>
      <c r="C2623" t="str">
        <f>"9780415951845"</f>
        <v>9780415951845</v>
      </c>
      <c r="D2623" t="str">
        <f>"9780203941027"</f>
        <v>9780203941027</v>
      </c>
      <c r="E2623" t="s">
        <v>15</v>
      </c>
      <c r="F2623" t="s">
        <v>153</v>
      </c>
      <c r="G2623" s="1">
        <v>39139</v>
      </c>
      <c r="H2623" s="1">
        <v>39255</v>
      </c>
      <c r="I2623" t="s">
        <v>12</v>
      </c>
      <c r="J2623" t="s">
        <v>13393</v>
      </c>
    </row>
    <row r="2624" spans="1:10" x14ac:dyDescent="0.25">
      <c r="A2624">
        <v>285984</v>
      </c>
      <c r="B2624" t="s">
        <v>2755</v>
      </c>
      <c r="C2624" t="str">
        <f>"9780415418485"</f>
        <v>9780415418485</v>
      </c>
      <c r="D2624" t="str">
        <f>"9780203966150"</f>
        <v>9780203966150</v>
      </c>
      <c r="E2624" t="s">
        <v>15</v>
      </c>
      <c r="F2624" t="s">
        <v>16</v>
      </c>
      <c r="G2624" s="1">
        <v>39069</v>
      </c>
      <c r="H2624" s="1">
        <v>39135</v>
      </c>
      <c r="I2624" t="s">
        <v>12</v>
      </c>
      <c r="J2624" t="s">
        <v>13394</v>
      </c>
    </row>
    <row r="2625" spans="1:10" x14ac:dyDescent="0.25">
      <c r="A2625">
        <v>286434</v>
      </c>
      <c r="B2625" t="s">
        <v>2756</v>
      </c>
      <c r="C2625" t="str">
        <f>"9781932792805"</f>
        <v>9781932792805</v>
      </c>
      <c r="D2625" t="str">
        <f>"9781602580992"</f>
        <v>9781602580992</v>
      </c>
      <c r="E2625" t="s">
        <v>2757</v>
      </c>
      <c r="F2625" t="s">
        <v>2757</v>
      </c>
      <c r="G2625" s="1">
        <v>39128</v>
      </c>
      <c r="H2625" s="1">
        <v>39170</v>
      </c>
      <c r="I2625" t="s">
        <v>12</v>
      </c>
      <c r="J2625" t="s">
        <v>13395</v>
      </c>
    </row>
    <row r="2626" spans="1:10" x14ac:dyDescent="0.25">
      <c r="A2626">
        <v>286459</v>
      </c>
      <c r="B2626" t="s">
        <v>2758</v>
      </c>
      <c r="C2626" t="str">
        <f>"9781851094196"</f>
        <v>9781851094196</v>
      </c>
      <c r="D2626" t="str">
        <f>"9781851094240"</f>
        <v>9781851094240</v>
      </c>
      <c r="E2626" t="s">
        <v>1951</v>
      </c>
      <c r="F2626" t="s">
        <v>1951</v>
      </c>
      <c r="G2626" s="1">
        <v>39079</v>
      </c>
      <c r="H2626" s="1">
        <v>39153</v>
      </c>
      <c r="I2626" t="s">
        <v>12</v>
      </c>
      <c r="J2626" t="s">
        <v>13396</v>
      </c>
    </row>
    <row r="2627" spans="1:10" x14ac:dyDescent="0.25">
      <c r="A2627">
        <v>286473</v>
      </c>
      <c r="B2627" t="s">
        <v>2759</v>
      </c>
      <c r="C2627" t="str">
        <f>"9781598840315"</f>
        <v>9781598840315</v>
      </c>
      <c r="D2627" t="str">
        <f>"9781598840322"</f>
        <v>9781598840322</v>
      </c>
      <c r="E2627" t="s">
        <v>1951</v>
      </c>
      <c r="F2627" t="s">
        <v>1951</v>
      </c>
      <c r="G2627" s="1">
        <v>39126</v>
      </c>
      <c r="H2627" s="1">
        <v>39153</v>
      </c>
      <c r="I2627" t="s">
        <v>12</v>
      </c>
      <c r="J2627" t="s">
        <v>13397</v>
      </c>
    </row>
    <row r="2628" spans="1:10" x14ac:dyDescent="0.25">
      <c r="A2628">
        <v>286610</v>
      </c>
      <c r="B2628" t="s">
        <v>2760</v>
      </c>
      <c r="C2628" t="str">
        <f>"9781865085166"</f>
        <v>9781865085166</v>
      </c>
      <c r="D2628" t="str">
        <f>"9781741150353"</f>
        <v>9781741150353</v>
      </c>
      <c r="E2628" t="s">
        <v>979</v>
      </c>
      <c r="F2628" t="s">
        <v>979</v>
      </c>
      <c r="G2628" s="1">
        <v>37500</v>
      </c>
      <c r="H2628" s="1">
        <v>39162</v>
      </c>
      <c r="I2628" t="s">
        <v>12</v>
      </c>
      <c r="J2628" t="s">
        <v>13398</v>
      </c>
    </row>
    <row r="2629" spans="1:10" x14ac:dyDescent="0.25">
      <c r="A2629">
        <v>286646</v>
      </c>
      <c r="B2629" t="s">
        <v>2761</v>
      </c>
      <c r="C2629" t="str">
        <f>"9780750651868"</f>
        <v>9780750651868</v>
      </c>
      <c r="D2629" t="str">
        <f>"9780080469812"</f>
        <v>9780080469812</v>
      </c>
      <c r="E2629" t="s">
        <v>15</v>
      </c>
      <c r="F2629" t="s">
        <v>16</v>
      </c>
      <c r="G2629" s="1">
        <v>37749</v>
      </c>
      <c r="H2629" s="1">
        <v>40171</v>
      </c>
      <c r="I2629" t="s">
        <v>12</v>
      </c>
      <c r="J2629" t="s">
        <v>13399</v>
      </c>
    </row>
    <row r="2630" spans="1:10" x14ac:dyDescent="0.25">
      <c r="A2630">
        <v>286651</v>
      </c>
      <c r="B2630" t="s">
        <v>2762</v>
      </c>
      <c r="C2630" t="str">
        <f>"9780750663489"</f>
        <v>9780750663489</v>
      </c>
      <c r="D2630" t="str">
        <f>"9780080470870"</f>
        <v>9780080470870</v>
      </c>
      <c r="E2630" t="s">
        <v>15</v>
      </c>
      <c r="F2630" t="s">
        <v>16</v>
      </c>
      <c r="G2630" s="1">
        <v>38951</v>
      </c>
      <c r="H2630" s="1">
        <v>40171</v>
      </c>
      <c r="I2630" t="s">
        <v>12</v>
      </c>
      <c r="J2630" t="s">
        <v>13400</v>
      </c>
    </row>
    <row r="2631" spans="1:10" x14ac:dyDescent="0.25">
      <c r="A2631">
        <v>286661</v>
      </c>
      <c r="B2631" t="s">
        <v>2763</v>
      </c>
      <c r="C2631" t="str">
        <f>"9780240806648"</f>
        <v>9780240806648</v>
      </c>
      <c r="D2631" t="str">
        <f>"9780080470825"</f>
        <v>9780080470825</v>
      </c>
      <c r="E2631" t="s">
        <v>16</v>
      </c>
      <c r="F2631" t="s">
        <v>16</v>
      </c>
      <c r="G2631" s="1">
        <v>38755</v>
      </c>
      <c r="H2631" s="1">
        <v>39170</v>
      </c>
      <c r="I2631" t="s">
        <v>12</v>
      </c>
      <c r="J2631" t="s">
        <v>13401</v>
      </c>
    </row>
    <row r="2632" spans="1:10" x14ac:dyDescent="0.25">
      <c r="A2632">
        <v>286662</v>
      </c>
      <c r="B2632" t="s">
        <v>2764</v>
      </c>
      <c r="C2632" t="str">
        <f>"9780240805344"</f>
        <v>9780240805344</v>
      </c>
      <c r="D2632" t="str">
        <f>"9780080470245"</f>
        <v>9780080470245</v>
      </c>
      <c r="E2632" t="s">
        <v>15</v>
      </c>
      <c r="F2632" t="s">
        <v>1122</v>
      </c>
      <c r="G2632" s="1">
        <v>38097</v>
      </c>
      <c r="H2632" s="1">
        <v>40202</v>
      </c>
      <c r="I2632" t="s">
        <v>12</v>
      </c>
      <c r="J2632" t="s">
        <v>13402</v>
      </c>
    </row>
    <row r="2633" spans="1:10" x14ac:dyDescent="0.25">
      <c r="A2633">
        <v>286674</v>
      </c>
      <c r="B2633" t="s">
        <v>2765</v>
      </c>
      <c r="C2633" t="str">
        <f>"9780240808727"</f>
        <v>9780240808727</v>
      </c>
      <c r="D2633" t="str">
        <f>"9780080470832"</f>
        <v>9780080470832</v>
      </c>
      <c r="E2633" t="s">
        <v>15</v>
      </c>
      <c r="F2633" t="s">
        <v>16</v>
      </c>
      <c r="G2633" s="1">
        <v>38806</v>
      </c>
      <c r="H2633" s="1">
        <v>39170</v>
      </c>
      <c r="I2633" t="s">
        <v>12</v>
      </c>
      <c r="J2633" t="s">
        <v>13403</v>
      </c>
    </row>
    <row r="2634" spans="1:10" x14ac:dyDescent="0.25">
      <c r="A2634">
        <v>286691</v>
      </c>
      <c r="B2634" t="s">
        <v>2766</v>
      </c>
      <c r="C2634" t="str">
        <f>"9780121479527"</f>
        <v>9780121479527</v>
      </c>
      <c r="D2634" t="str">
        <f>"9780080470610"</f>
        <v>9780080470610</v>
      </c>
      <c r="E2634" t="s">
        <v>1119</v>
      </c>
      <c r="F2634" t="s">
        <v>1120</v>
      </c>
      <c r="G2634" s="1">
        <v>38391</v>
      </c>
      <c r="H2634" s="1">
        <v>42341</v>
      </c>
      <c r="I2634" t="s">
        <v>12</v>
      </c>
      <c r="J2634" t="s">
        <v>13404</v>
      </c>
    </row>
    <row r="2635" spans="1:10" x14ac:dyDescent="0.25">
      <c r="A2635">
        <v>286715</v>
      </c>
      <c r="B2635" t="s">
        <v>2767</v>
      </c>
      <c r="C2635" t="str">
        <f>"9780750678056"</f>
        <v>9780750678056</v>
      </c>
      <c r="D2635" t="str">
        <f>"9780080470658"</f>
        <v>9780080470658</v>
      </c>
      <c r="E2635" t="s">
        <v>1119</v>
      </c>
      <c r="F2635" t="s">
        <v>2125</v>
      </c>
      <c r="G2635" s="1">
        <v>38491</v>
      </c>
      <c r="H2635" s="1">
        <v>39170</v>
      </c>
      <c r="I2635" t="s">
        <v>12</v>
      </c>
      <c r="J2635" t="s">
        <v>13405</v>
      </c>
    </row>
    <row r="2636" spans="1:10" x14ac:dyDescent="0.25">
      <c r="A2636">
        <v>286719</v>
      </c>
      <c r="B2636" t="s">
        <v>2768</v>
      </c>
      <c r="C2636" t="str">
        <f>"9780750677325"</f>
        <v>9780750677325</v>
      </c>
      <c r="D2636" t="str">
        <f>"9780080469898"</f>
        <v>9780080469898</v>
      </c>
      <c r="E2636" t="s">
        <v>1119</v>
      </c>
      <c r="F2636" t="s">
        <v>2125</v>
      </c>
      <c r="G2636" s="1">
        <v>37910</v>
      </c>
      <c r="H2636" s="1">
        <v>39170</v>
      </c>
      <c r="I2636" t="s">
        <v>12</v>
      </c>
      <c r="J2636" t="s">
        <v>13406</v>
      </c>
    </row>
    <row r="2637" spans="1:10" x14ac:dyDescent="0.25">
      <c r="A2637">
        <v>286726</v>
      </c>
      <c r="B2637" t="s">
        <v>2769</v>
      </c>
      <c r="C2637" t="str">
        <f>"9780240519692"</f>
        <v>9780240519692</v>
      </c>
      <c r="D2637" t="str">
        <f>"9780080470948"</f>
        <v>9780080470948</v>
      </c>
      <c r="E2637" t="s">
        <v>15</v>
      </c>
      <c r="F2637" t="s">
        <v>1122</v>
      </c>
      <c r="G2637" s="1">
        <v>41127</v>
      </c>
      <c r="H2637" s="1">
        <v>39170</v>
      </c>
      <c r="I2637" t="s">
        <v>12</v>
      </c>
      <c r="J2637" t="s">
        <v>13407</v>
      </c>
    </row>
    <row r="2638" spans="1:10" x14ac:dyDescent="0.25">
      <c r="A2638">
        <v>286751</v>
      </c>
      <c r="B2638" t="s">
        <v>2770</v>
      </c>
      <c r="C2638" t="str">
        <f>"9780240519159"</f>
        <v>9780240519159</v>
      </c>
      <c r="D2638" t="str">
        <f>"9780080470306"</f>
        <v>9780080470306</v>
      </c>
      <c r="E2638" t="s">
        <v>15</v>
      </c>
      <c r="F2638" t="s">
        <v>1122</v>
      </c>
      <c r="G2638" s="1">
        <v>41773</v>
      </c>
      <c r="H2638" s="1">
        <v>39189</v>
      </c>
      <c r="I2638" t="s">
        <v>12</v>
      </c>
      <c r="J2638" t="s">
        <v>13408</v>
      </c>
    </row>
    <row r="2639" spans="1:10" x14ac:dyDescent="0.25">
      <c r="A2639">
        <v>286758</v>
      </c>
      <c r="B2639" t="s">
        <v>2771</v>
      </c>
      <c r="C2639" t="str">
        <f>"9780240806174"</f>
        <v>9780240806174</v>
      </c>
      <c r="D2639" t="str">
        <f>"9780080470443"</f>
        <v>9780080470443</v>
      </c>
      <c r="E2639" t="s">
        <v>15</v>
      </c>
      <c r="F2639" t="s">
        <v>16</v>
      </c>
      <c r="G2639" s="1">
        <v>38288</v>
      </c>
      <c r="H2639" s="1">
        <v>39241</v>
      </c>
      <c r="I2639" t="s">
        <v>12</v>
      </c>
      <c r="J2639" t="s">
        <v>13409</v>
      </c>
    </row>
    <row r="2640" spans="1:10" x14ac:dyDescent="0.25">
      <c r="A2640">
        <v>286936</v>
      </c>
      <c r="B2640" t="s">
        <v>2772</v>
      </c>
      <c r="C2640" t="str">
        <f>"9780815713630"</f>
        <v>9780815713630</v>
      </c>
      <c r="D2640" t="str">
        <f>"9780815713692"</f>
        <v>9780815713692</v>
      </c>
      <c r="E2640" t="s">
        <v>2013</v>
      </c>
      <c r="F2640" t="s">
        <v>2013</v>
      </c>
      <c r="G2640" s="1">
        <v>39323</v>
      </c>
      <c r="H2640" s="1">
        <v>39162</v>
      </c>
      <c r="I2640" t="s">
        <v>12</v>
      </c>
      <c r="J2640" t="s">
        <v>13410</v>
      </c>
    </row>
    <row r="2641" spans="1:10" x14ac:dyDescent="0.25">
      <c r="A2641">
        <v>286937</v>
      </c>
      <c r="B2641" t="s">
        <v>2773</v>
      </c>
      <c r="C2641" t="str">
        <f>"9780815710172"</f>
        <v>9780815710172</v>
      </c>
      <c r="D2641" t="str">
        <f>"9780815710189"</f>
        <v>9780815710189</v>
      </c>
      <c r="E2641" t="s">
        <v>2013</v>
      </c>
      <c r="F2641" t="s">
        <v>2013</v>
      </c>
      <c r="G2641" s="1">
        <v>39323</v>
      </c>
      <c r="H2641" s="1">
        <v>39162</v>
      </c>
      <c r="I2641" t="s">
        <v>12</v>
      </c>
      <c r="J2641" t="s">
        <v>13411</v>
      </c>
    </row>
    <row r="2642" spans="1:10" x14ac:dyDescent="0.25">
      <c r="A2642">
        <v>286942</v>
      </c>
      <c r="B2642" t="s">
        <v>2774</v>
      </c>
      <c r="C2642" t="str">
        <f>"9780815731467"</f>
        <v>9780815731467</v>
      </c>
      <c r="D2642" t="str">
        <f>"9780815731474"</f>
        <v>9780815731474</v>
      </c>
      <c r="E2642" t="s">
        <v>2013</v>
      </c>
      <c r="F2642" t="s">
        <v>2013</v>
      </c>
      <c r="G2642" s="1">
        <v>39264</v>
      </c>
      <c r="H2642" s="1">
        <v>39162</v>
      </c>
      <c r="I2642" t="s">
        <v>12</v>
      </c>
      <c r="J2642" t="s">
        <v>13412</v>
      </c>
    </row>
    <row r="2643" spans="1:10" x14ac:dyDescent="0.25">
      <c r="A2643">
        <v>286947</v>
      </c>
      <c r="B2643" t="s">
        <v>2775</v>
      </c>
      <c r="C2643" t="str">
        <f>"9780815714194"</f>
        <v>9780815714194</v>
      </c>
      <c r="D2643" t="str">
        <f>"9780815714187"</f>
        <v>9780815714187</v>
      </c>
      <c r="E2643" t="s">
        <v>2013</v>
      </c>
      <c r="F2643" t="s">
        <v>2013</v>
      </c>
      <c r="G2643" s="1">
        <v>39203</v>
      </c>
      <c r="H2643" s="1">
        <v>39162</v>
      </c>
      <c r="I2643" t="s">
        <v>12</v>
      </c>
      <c r="J2643" t="s">
        <v>13413</v>
      </c>
    </row>
    <row r="2644" spans="1:10" x14ac:dyDescent="0.25">
      <c r="A2644">
        <v>286948</v>
      </c>
      <c r="B2644" t="s">
        <v>2776</v>
      </c>
      <c r="C2644" t="str">
        <f>"9781932792409"</f>
        <v>9781932792409</v>
      </c>
      <c r="D2644" t="str">
        <f>"9781602581005"</f>
        <v>9781602581005</v>
      </c>
      <c r="E2644" t="s">
        <v>2757</v>
      </c>
      <c r="F2644" t="s">
        <v>2757</v>
      </c>
      <c r="G2644" s="1">
        <v>39005</v>
      </c>
      <c r="H2644" s="1">
        <v>39170</v>
      </c>
      <c r="I2644" t="s">
        <v>12</v>
      </c>
      <c r="J2644" t="s">
        <v>13414</v>
      </c>
    </row>
    <row r="2645" spans="1:10" x14ac:dyDescent="0.25">
      <c r="A2645">
        <v>286950</v>
      </c>
      <c r="B2645" t="s">
        <v>2777</v>
      </c>
      <c r="C2645" t="str">
        <f>"9781932792393"</f>
        <v>9781932792393</v>
      </c>
      <c r="D2645" t="str">
        <f>"9781602581050"</f>
        <v>9781602581050</v>
      </c>
      <c r="E2645" t="s">
        <v>2757</v>
      </c>
      <c r="F2645" t="s">
        <v>2757</v>
      </c>
      <c r="G2645" s="1">
        <v>38930</v>
      </c>
      <c r="H2645" s="1">
        <v>39170</v>
      </c>
      <c r="I2645" t="s">
        <v>12</v>
      </c>
      <c r="J2645" t="s">
        <v>13415</v>
      </c>
    </row>
    <row r="2646" spans="1:10" x14ac:dyDescent="0.25">
      <c r="A2646">
        <v>286951</v>
      </c>
      <c r="B2646" t="s">
        <v>2778</v>
      </c>
      <c r="C2646" t="str">
        <f>"9781932792416"</f>
        <v>9781932792416</v>
      </c>
      <c r="D2646" t="str">
        <f>"9781602581067"</f>
        <v>9781602581067</v>
      </c>
      <c r="E2646" t="s">
        <v>2757</v>
      </c>
      <c r="F2646" t="s">
        <v>2757</v>
      </c>
      <c r="G2646" s="1">
        <v>38985</v>
      </c>
      <c r="H2646" s="1">
        <v>39170</v>
      </c>
      <c r="I2646" t="s">
        <v>12</v>
      </c>
      <c r="J2646" t="s">
        <v>13416</v>
      </c>
    </row>
    <row r="2647" spans="1:10" x14ac:dyDescent="0.25">
      <c r="A2647">
        <v>286954</v>
      </c>
      <c r="B2647" t="s">
        <v>2779</v>
      </c>
      <c r="C2647" t="str">
        <f>"9781932792379"</f>
        <v>9781932792379</v>
      </c>
      <c r="D2647" t="str">
        <f>"9781602581098"</f>
        <v>9781602581098</v>
      </c>
      <c r="E2647" t="s">
        <v>2757</v>
      </c>
      <c r="F2647" t="s">
        <v>2757</v>
      </c>
      <c r="G2647" s="1">
        <v>38929</v>
      </c>
      <c r="H2647" s="1">
        <v>39170</v>
      </c>
      <c r="I2647" t="s">
        <v>12</v>
      </c>
      <c r="J2647" t="s">
        <v>13417</v>
      </c>
    </row>
    <row r="2648" spans="1:10" x14ac:dyDescent="0.25">
      <c r="A2648">
        <v>286956</v>
      </c>
      <c r="B2648" t="s">
        <v>2780</v>
      </c>
      <c r="C2648" t="str">
        <f>"9781932792294"</f>
        <v>9781932792294</v>
      </c>
      <c r="D2648" t="str">
        <f>"9781602581203"</f>
        <v>9781602581203</v>
      </c>
      <c r="E2648" t="s">
        <v>2757</v>
      </c>
      <c r="F2648" t="s">
        <v>2757</v>
      </c>
      <c r="G2648" s="1">
        <v>38937</v>
      </c>
      <c r="H2648" s="1">
        <v>39165</v>
      </c>
      <c r="I2648" t="s">
        <v>12</v>
      </c>
      <c r="J2648" t="s">
        <v>13418</v>
      </c>
    </row>
    <row r="2649" spans="1:10" x14ac:dyDescent="0.25">
      <c r="A2649">
        <v>286960</v>
      </c>
      <c r="B2649" t="s">
        <v>2781</v>
      </c>
      <c r="C2649" t="str">
        <f>"9781932792539"</f>
        <v>9781932792539</v>
      </c>
      <c r="D2649" t="str">
        <f>"9781602581012"</f>
        <v>9781602581012</v>
      </c>
      <c r="E2649" t="s">
        <v>2757</v>
      </c>
      <c r="F2649" t="s">
        <v>2757</v>
      </c>
      <c r="G2649" s="1">
        <v>38991</v>
      </c>
      <c r="H2649" s="1">
        <v>39170</v>
      </c>
      <c r="I2649" t="s">
        <v>12</v>
      </c>
      <c r="J2649" t="s">
        <v>13419</v>
      </c>
    </row>
    <row r="2650" spans="1:10" x14ac:dyDescent="0.25">
      <c r="A2650">
        <v>286967</v>
      </c>
      <c r="B2650" t="s">
        <v>2782</v>
      </c>
      <c r="C2650" t="str">
        <f>"9781932792362"</f>
        <v>9781932792362</v>
      </c>
      <c r="D2650" t="str">
        <f>"9781602581081"</f>
        <v>9781602581081</v>
      </c>
      <c r="E2650" t="s">
        <v>2757</v>
      </c>
      <c r="F2650" t="s">
        <v>2757</v>
      </c>
      <c r="G2650" s="1">
        <v>39066</v>
      </c>
      <c r="H2650" s="1">
        <v>39170</v>
      </c>
      <c r="I2650" t="s">
        <v>12</v>
      </c>
      <c r="J2650" t="s">
        <v>13420</v>
      </c>
    </row>
    <row r="2651" spans="1:10" x14ac:dyDescent="0.25">
      <c r="A2651">
        <v>286970</v>
      </c>
      <c r="B2651" t="s">
        <v>2783</v>
      </c>
      <c r="C2651" t="str">
        <f>"9781932792478"</f>
        <v>9781932792478</v>
      </c>
      <c r="D2651" t="str">
        <f>"9781602581265"</f>
        <v>9781602581265</v>
      </c>
      <c r="E2651" t="s">
        <v>2757</v>
      </c>
      <c r="F2651" t="s">
        <v>2757</v>
      </c>
      <c r="G2651" s="1">
        <v>38791</v>
      </c>
      <c r="H2651" s="1">
        <v>39170</v>
      </c>
      <c r="I2651" t="s">
        <v>12</v>
      </c>
      <c r="J2651" t="s">
        <v>13421</v>
      </c>
    </row>
    <row r="2652" spans="1:10" x14ac:dyDescent="0.25">
      <c r="A2652">
        <v>286972</v>
      </c>
      <c r="B2652" t="s">
        <v>2784</v>
      </c>
      <c r="C2652" t="str">
        <f>"9781932792164"</f>
        <v>9781932792164</v>
      </c>
      <c r="D2652" t="str">
        <f>"9781602581296"</f>
        <v>9781602581296</v>
      </c>
      <c r="E2652" t="s">
        <v>2757</v>
      </c>
      <c r="F2652" t="s">
        <v>2757</v>
      </c>
      <c r="G2652" s="1">
        <v>38581</v>
      </c>
      <c r="H2652" s="1">
        <v>39165</v>
      </c>
      <c r="I2652" t="s">
        <v>12</v>
      </c>
      <c r="J2652" t="s">
        <v>13422</v>
      </c>
    </row>
    <row r="2653" spans="1:10" x14ac:dyDescent="0.25">
      <c r="A2653">
        <v>286978</v>
      </c>
      <c r="B2653" t="s">
        <v>2785</v>
      </c>
      <c r="C2653" t="str">
        <f>"9780748623792"</f>
        <v>9780748623792</v>
      </c>
      <c r="D2653" t="str">
        <f>"9780748630196"</f>
        <v>9780748630196</v>
      </c>
      <c r="E2653" t="s">
        <v>1942</v>
      </c>
      <c r="F2653" t="s">
        <v>1942</v>
      </c>
      <c r="G2653" s="1">
        <v>39127</v>
      </c>
      <c r="H2653" s="1">
        <v>39476</v>
      </c>
      <c r="I2653" t="s">
        <v>12</v>
      </c>
      <c r="J2653" t="s">
        <v>13423</v>
      </c>
    </row>
    <row r="2654" spans="1:10" x14ac:dyDescent="0.25">
      <c r="A2654">
        <v>286983</v>
      </c>
      <c r="B2654" t="s">
        <v>2786</v>
      </c>
      <c r="C2654" t="str">
        <f>"9780748623099"</f>
        <v>9780748623099</v>
      </c>
      <c r="D2654" t="str">
        <f>"9780748629947"</f>
        <v>9780748629947</v>
      </c>
      <c r="E2654" t="s">
        <v>1942</v>
      </c>
      <c r="F2654" t="s">
        <v>1942</v>
      </c>
      <c r="G2654" s="1">
        <v>39114</v>
      </c>
      <c r="H2654" s="1">
        <v>39162</v>
      </c>
      <c r="I2654" t="s">
        <v>12</v>
      </c>
      <c r="J2654" t="s">
        <v>13424</v>
      </c>
    </row>
    <row r="2655" spans="1:10" x14ac:dyDescent="0.25">
      <c r="A2655">
        <v>286986</v>
      </c>
      <c r="B2655" t="s">
        <v>2787</v>
      </c>
      <c r="C2655" t="str">
        <f>"9780748625284"</f>
        <v>9780748625284</v>
      </c>
      <c r="D2655" t="str">
        <f>"9780748630868"</f>
        <v>9780748630868</v>
      </c>
      <c r="E2655" t="s">
        <v>1942</v>
      </c>
      <c r="F2655" t="s">
        <v>1942</v>
      </c>
      <c r="G2655" s="1">
        <v>39104</v>
      </c>
      <c r="H2655" s="1">
        <v>39162</v>
      </c>
      <c r="I2655" t="s">
        <v>12</v>
      </c>
      <c r="J2655" t="s">
        <v>13425</v>
      </c>
    </row>
    <row r="2656" spans="1:10" x14ac:dyDescent="0.25">
      <c r="A2656">
        <v>286987</v>
      </c>
      <c r="B2656" t="s">
        <v>2788</v>
      </c>
      <c r="C2656" t="str">
        <f>"9780748620739"</f>
        <v>9780748620739</v>
      </c>
      <c r="D2656" t="str">
        <f>"9780748626441"</f>
        <v>9780748626441</v>
      </c>
      <c r="E2656" t="s">
        <v>1942</v>
      </c>
      <c r="F2656" t="s">
        <v>2789</v>
      </c>
      <c r="G2656" s="1">
        <v>38763</v>
      </c>
      <c r="H2656" s="1">
        <v>39162</v>
      </c>
      <c r="I2656" t="s">
        <v>12</v>
      </c>
      <c r="J2656" t="s">
        <v>13426</v>
      </c>
    </row>
    <row r="2657" spans="1:10" x14ac:dyDescent="0.25">
      <c r="A2657">
        <v>286991</v>
      </c>
      <c r="B2657" t="s">
        <v>2790</v>
      </c>
      <c r="C2657" t="str">
        <f>"9780748619894"</f>
        <v>9780748619894</v>
      </c>
      <c r="D2657" t="str">
        <f>"9780748629091"</f>
        <v>9780748629091</v>
      </c>
      <c r="E2657" t="s">
        <v>1942</v>
      </c>
      <c r="F2657" t="s">
        <v>1942</v>
      </c>
      <c r="G2657" s="1">
        <v>39128</v>
      </c>
      <c r="H2657" s="1">
        <v>39162</v>
      </c>
      <c r="I2657" t="s">
        <v>12</v>
      </c>
      <c r="J2657" t="s">
        <v>13427</v>
      </c>
    </row>
    <row r="2658" spans="1:10" x14ac:dyDescent="0.25">
      <c r="A2658">
        <v>286992</v>
      </c>
      <c r="B2658" t="s">
        <v>2791</v>
      </c>
      <c r="C2658" t="str">
        <f>"9780748621415"</f>
        <v>9780748621415</v>
      </c>
      <c r="D2658" t="str">
        <f>"9780748629442"</f>
        <v>9780748629442</v>
      </c>
      <c r="E2658" t="s">
        <v>1942</v>
      </c>
      <c r="F2658" t="s">
        <v>1942</v>
      </c>
      <c r="G2658" s="1">
        <v>39127</v>
      </c>
      <c r="H2658" s="1">
        <v>39162</v>
      </c>
      <c r="I2658" t="s">
        <v>12</v>
      </c>
      <c r="J2658" t="s">
        <v>13428</v>
      </c>
    </row>
    <row r="2659" spans="1:10" x14ac:dyDescent="0.25">
      <c r="A2659">
        <v>286993</v>
      </c>
      <c r="B2659" t="s">
        <v>2792</v>
      </c>
      <c r="C2659" t="str">
        <f>"9780748611461"</f>
        <v>9780748611461</v>
      </c>
      <c r="D2659" t="str">
        <f>"9780748628186"</f>
        <v>9780748628186</v>
      </c>
      <c r="E2659" t="s">
        <v>1942</v>
      </c>
      <c r="F2659" t="s">
        <v>1942</v>
      </c>
      <c r="G2659" s="1">
        <v>39127</v>
      </c>
      <c r="H2659" s="1">
        <v>39162</v>
      </c>
      <c r="I2659" t="s">
        <v>12</v>
      </c>
      <c r="J2659" t="s">
        <v>13429</v>
      </c>
    </row>
    <row r="2660" spans="1:10" x14ac:dyDescent="0.25">
      <c r="A2660">
        <v>287195</v>
      </c>
      <c r="B2660" t="s">
        <v>2793</v>
      </c>
      <c r="C2660" t="str">
        <f>"9781865088082"</f>
        <v>9781865088082</v>
      </c>
      <c r="D2660" t="str">
        <f>"9781741150759"</f>
        <v>9781741150759</v>
      </c>
      <c r="E2660" t="s">
        <v>979</v>
      </c>
      <c r="F2660" t="s">
        <v>979</v>
      </c>
      <c r="G2660" s="1">
        <v>37561</v>
      </c>
      <c r="H2660" s="1">
        <v>39169</v>
      </c>
      <c r="I2660" t="s">
        <v>12</v>
      </c>
      <c r="J2660" t="s">
        <v>13430</v>
      </c>
    </row>
    <row r="2661" spans="1:10" x14ac:dyDescent="0.25">
      <c r="A2661">
        <v>287785</v>
      </c>
      <c r="B2661" t="s">
        <v>2794</v>
      </c>
      <c r="C2661" t="str">
        <f>"9780335200597"</f>
        <v>9780335200597</v>
      </c>
      <c r="D2661" t="str">
        <f>"9780335224661"</f>
        <v>9780335224661</v>
      </c>
      <c r="E2661" t="s">
        <v>2795</v>
      </c>
      <c r="F2661" t="s">
        <v>2796</v>
      </c>
      <c r="G2661" s="1">
        <v>37803</v>
      </c>
      <c r="H2661" s="1">
        <v>39279</v>
      </c>
      <c r="I2661" t="s">
        <v>12</v>
      </c>
      <c r="J2661" t="s">
        <v>13431</v>
      </c>
    </row>
    <row r="2662" spans="1:10" x14ac:dyDescent="0.25">
      <c r="A2662">
        <v>287786</v>
      </c>
      <c r="B2662" t="s">
        <v>2797</v>
      </c>
      <c r="C2662" t="str">
        <f>"9780335215096"</f>
        <v>9780335215096</v>
      </c>
      <c r="D2662" t="str">
        <f>"9780335224340"</f>
        <v>9780335224340</v>
      </c>
      <c r="E2662" t="s">
        <v>2795</v>
      </c>
      <c r="F2662" t="s">
        <v>2796</v>
      </c>
      <c r="G2662" s="1">
        <v>38626</v>
      </c>
      <c r="H2662" s="1">
        <v>39279</v>
      </c>
      <c r="I2662" t="s">
        <v>12</v>
      </c>
      <c r="J2662" t="s">
        <v>13432</v>
      </c>
    </row>
    <row r="2663" spans="1:10" x14ac:dyDescent="0.25">
      <c r="A2663">
        <v>287798</v>
      </c>
      <c r="B2663" t="s">
        <v>2798</v>
      </c>
      <c r="C2663" t="str">
        <f>"9780335219766"</f>
        <v>9780335219766</v>
      </c>
      <c r="D2663" t="str">
        <f>"9780335224081"</f>
        <v>9780335224081</v>
      </c>
      <c r="E2663" t="s">
        <v>2795</v>
      </c>
      <c r="F2663" t="s">
        <v>2796</v>
      </c>
      <c r="G2663" s="1">
        <v>38808</v>
      </c>
      <c r="H2663" s="1">
        <v>39295</v>
      </c>
      <c r="I2663" t="s">
        <v>12</v>
      </c>
      <c r="J2663" t="s">
        <v>13433</v>
      </c>
    </row>
    <row r="2664" spans="1:10" x14ac:dyDescent="0.25">
      <c r="A2664">
        <v>287800</v>
      </c>
      <c r="B2664" t="s">
        <v>2799</v>
      </c>
      <c r="C2664" t="str">
        <f>"9780335213856"</f>
        <v>9780335213856</v>
      </c>
      <c r="D2664" t="str">
        <f>"9780335224173"</f>
        <v>9780335224173</v>
      </c>
      <c r="E2664" t="s">
        <v>2795</v>
      </c>
      <c r="F2664" t="s">
        <v>2796</v>
      </c>
      <c r="G2664" s="1">
        <v>37926</v>
      </c>
      <c r="H2664" s="1">
        <v>39276</v>
      </c>
      <c r="I2664" t="s">
        <v>12</v>
      </c>
      <c r="J2664" t="s">
        <v>13434</v>
      </c>
    </row>
    <row r="2665" spans="1:10" x14ac:dyDescent="0.25">
      <c r="A2665">
        <v>287801</v>
      </c>
      <c r="B2665" t="s">
        <v>2800</v>
      </c>
      <c r="C2665" t="str">
        <f>"9780335213078"</f>
        <v>9780335213078</v>
      </c>
      <c r="D2665" t="str">
        <f>"9780335225170"</f>
        <v>9780335225170</v>
      </c>
      <c r="E2665" t="s">
        <v>2795</v>
      </c>
      <c r="F2665" t="s">
        <v>2796</v>
      </c>
      <c r="G2665" s="1">
        <v>38231</v>
      </c>
      <c r="H2665" s="1">
        <v>39276</v>
      </c>
      <c r="I2665" t="s">
        <v>12</v>
      </c>
      <c r="J2665" t="s">
        <v>13435</v>
      </c>
    </row>
    <row r="2666" spans="1:10" x14ac:dyDescent="0.25">
      <c r="A2666">
        <v>287803</v>
      </c>
      <c r="B2666" t="s">
        <v>2801</v>
      </c>
      <c r="C2666" t="str">
        <f>"9780335209491"</f>
        <v>9780335209491</v>
      </c>
      <c r="D2666" t="str">
        <f>"9780335224944"</f>
        <v>9780335224944</v>
      </c>
      <c r="E2666" t="s">
        <v>2795</v>
      </c>
      <c r="F2666" t="s">
        <v>2796</v>
      </c>
      <c r="G2666" s="1">
        <v>37926</v>
      </c>
      <c r="H2666" s="1">
        <v>39171</v>
      </c>
      <c r="I2666" t="s">
        <v>12</v>
      </c>
      <c r="J2666" t="s">
        <v>13436</v>
      </c>
    </row>
    <row r="2667" spans="1:10" x14ac:dyDescent="0.25">
      <c r="A2667">
        <v>287810</v>
      </c>
      <c r="B2667" t="s">
        <v>2802</v>
      </c>
      <c r="C2667" t="str">
        <f>"9780335206575"</f>
        <v>9780335206575</v>
      </c>
      <c r="D2667" t="str">
        <f>"9780335224845"</f>
        <v>9780335224845</v>
      </c>
      <c r="E2667" t="s">
        <v>2795</v>
      </c>
      <c r="F2667" t="s">
        <v>2796</v>
      </c>
      <c r="G2667" s="1">
        <v>38322</v>
      </c>
      <c r="H2667" s="1">
        <v>39171</v>
      </c>
      <c r="I2667" t="s">
        <v>12</v>
      </c>
      <c r="J2667" t="s">
        <v>13437</v>
      </c>
    </row>
    <row r="2668" spans="1:10" x14ac:dyDescent="0.25">
      <c r="A2668">
        <v>287811</v>
      </c>
      <c r="B2668" t="s">
        <v>2803</v>
      </c>
      <c r="C2668" t="str">
        <f>"9780335215423"</f>
        <v>9780335215423</v>
      </c>
      <c r="D2668" t="str">
        <f>"9780335224579"</f>
        <v>9780335224579</v>
      </c>
      <c r="E2668" t="s">
        <v>2795</v>
      </c>
      <c r="F2668" t="s">
        <v>2796</v>
      </c>
      <c r="G2668" s="1">
        <v>37926</v>
      </c>
      <c r="H2668" s="1">
        <v>39295</v>
      </c>
      <c r="I2668" t="s">
        <v>12</v>
      </c>
      <c r="J2668" t="s">
        <v>13438</v>
      </c>
    </row>
    <row r="2669" spans="1:10" x14ac:dyDescent="0.25">
      <c r="A2669">
        <v>287819</v>
      </c>
      <c r="B2669" t="s">
        <v>2804</v>
      </c>
      <c r="C2669" t="str">
        <f>"9780335212897"</f>
        <v>9780335212897</v>
      </c>
      <c r="D2669" t="str">
        <f>"9780335224142"</f>
        <v>9780335224142</v>
      </c>
      <c r="E2669" t="s">
        <v>2795</v>
      </c>
      <c r="F2669" t="s">
        <v>2796</v>
      </c>
      <c r="G2669" s="1">
        <v>38261</v>
      </c>
      <c r="H2669" s="1">
        <v>39276</v>
      </c>
      <c r="I2669" t="s">
        <v>12</v>
      </c>
      <c r="J2669" t="s">
        <v>13439</v>
      </c>
    </row>
    <row r="2670" spans="1:10" x14ac:dyDescent="0.25">
      <c r="A2670">
        <v>287820</v>
      </c>
      <c r="B2670" t="s">
        <v>2805</v>
      </c>
      <c r="C2670" t="str">
        <f>"9780335216505"</f>
        <v>9780335216505</v>
      </c>
      <c r="D2670" t="str">
        <f>"9780335224982"</f>
        <v>9780335224982</v>
      </c>
      <c r="E2670" t="s">
        <v>2795</v>
      </c>
      <c r="F2670" t="s">
        <v>2796</v>
      </c>
      <c r="G2670" s="1">
        <v>38657</v>
      </c>
      <c r="H2670" s="1">
        <v>39276</v>
      </c>
      <c r="I2670" t="s">
        <v>12</v>
      </c>
      <c r="J2670" t="s">
        <v>13440</v>
      </c>
    </row>
    <row r="2671" spans="1:10" x14ac:dyDescent="0.25">
      <c r="A2671">
        <v>287822</v>
      </c>
      <c r="B2671" t="s">
        <v>2806</v>
      </c>
      <c r="C2671" t="str">
        <f>"9780335213573"</f>
        <v>9780335213573</v>
      </c>
      <c r="D2671" t="str">
        <f>"9780335224876"</f>
        <v>9780335224876</v>
      </c>
      <c r="E2671" t="s">
        <v>2795</v>
      </c>
      <c r="F2671" t="s">
        <v>2796</v>
      </c>
      <c r="G2671" s="1">
        <v>37712</v>
      </c>
      <c r="H2671" s="1">
        <v>39300</v>
      </c>
      <c r="I2671" t="s">
        <v>12</v>
      </c>
      <c r="J2671" t="s">
        <v>13441</v>
      </c>
    </row>
    <row r="2672" spans="1:10" x14ac:dyDescent="0.25">
      <c r="A2672">
        <v>287823</v>
      </c>
      <c r="B2672" t="s">
        <v>2807</v>
      </c>
      <c r="C2672" t="str">
        <f>"9780335213191"</f>
        <v>9780335213191</v>
      </c>
      <c r="D2672" t="str">
        <f>"9780335224067"</f>
        <v>9780335224067</v>
      </c>
      <c r="E2672" t="s">
        <v>2795</v>
      </c>
      <c r="F2672" t="s">
        <v>2796</v>
      </c>
      <c r="G2672" s="1">
        <v>37926</v>
      </c>
      <c r="H2672" s="1">
        <v>39276</v>
      </c>
      <c r="I2672" t="s">
        <v>12</v>
      </c>
      <c r="J2672" t="s">
        <v>13442</v>
      </c>
    </row>
    <row r="2673" spans="1:10" x14ac:dyDescent="0.25">
      <c r="A2673">
        <v>287852</v>
      </c>
      <c r="B2673" t="s">
        <v>2808</v>
      </c>
      <c r="C2673" t="str">
        <f>"9780335215508"</f>
        <v>9780335215508</v>
      </c>
      <c r="D2673" t="str">
        <f>"9780335224203"</f>
        <v>9780335224203</v>
      </c>
      <c r="E2673" t="s">
        <v>2795</v>
      </c>
      <c r="F2673" t="s">
        <v>2796</v>
      </c>
      <c r="G2673" s="1">
        <v>38657</v>
      </c>
      <c r="H2673" s="1">
        <v>39171</v>
      </c>
      <c r="I2673" t="s">
        <v>12</v>
      </c>
      <c r="J2673" t="s">
        <v>13443</v>
      </c>
    </row>
    <row r="2674" spans="1:10" x14ac:dyDescent="0.25">
      <c r="A2674">
        <v>287858</v>
      </c>
      <c r="B2674" t="s">
        <v>2809</v>
      </c>
      <c r="C2674" t="str">
        <f>"9780335219704"</f>
        <v>9780335219704</v>
      </c>
      <c r="D2674" t="str">
        <f>"9780335224043"</f>
        <v>9780335224043</v>
      </c>
      <c r="E2674" t="s">
        <v>2795</v>
      </c>
      <c r="F2674" t="s">
        <v>2796</v>
      </c>
      <c r="G2674" s="1">
        <v>38596</v>
      </c>
      <c r="H2674" s="1">
        <v>39171</v>
      </c>
      <c r="I2674" t="s">
        <v>12</v>
      </c>
      <c r="J2674" t="s">
        <v>13444</v>
      </c>
    </row>
    <row r="2675" spans="1:10" x14ac:dyDescent="0.25">
      <c r="A2675">
        <v>287863</v>
      </c>
      <c r="B2675" t="s">
        <v>2810</v>
      </c>
      <c r="C2675" t="str">
        <f>"9780335215867"</f>
        <v>9780335215867</v>
      </c>
      <c r="D2675" t="str">
        <f>"9780335225132"</f>
        <v>9780335225132</v>
      </c>
      <c r="E2675" t="s">
        <v>2795</v>
      </c>
      <c r="F2675" t="s">
        <v>2796</v>
      </c>
      <c r="G2675" s="1">
        <v>38412</v>
      </c>
      <c r="H2675" s="1">
        <v>39275</v>
      </c>
      <c r="I2675" t="s">
        <v>12</v>
      </c>
      <c r="J2675" t="s">
        <v>13445</v>
      </c>
    </row>
    <row r="2676" spans="1:10" x14ac:dyDescent="0.25">
      <c r="A2676">
        <v>287883</v>
      </c>
      <c r="B2676" t="s">
        <v>2811</v>
      </c>
      <c r="C2676" t="str">
        <f>"9780335212187"</f>
        <v>9780335212187</v>
      </c>
      <c r="D2676" t="str">
        <f>"9780335224494"</f>
        <v>9780335224494</v>
      </c>
      <c r="E2676" t="s">
        <v>2795</v>
      </c>
      <c r="F2676" t="s">
        <v>2796</v>
      </c>
      <c r="G2676" s="1">
        <v>37865</v>
      </c>
      <c r="H2676" s="1">
        <v>39275</v>
      </c>
      <c r="I2676" t="s">
        <v>12</v>
      </c>
      <c r="J2676" t="s">
        <v>13446</v>
      </c>
    </row>
    <row r="2677" spans="1:10" x14ac:dyDescent="0.25">
      <c r="A2677">
        <v>287935</v>
      </c>
      <c r="B2677" t="s">
        <v>2812</v>
      </c>
      <c r="C2677" t="str">
        <f>"9780240808277"</f>
        <v>9780240808277</v>
      </c>
      <c r="D2677" t="str">
        <f>"9780080471228"</f>
        <v>9780080471228</v>
      </c>
      <c r="E2677" t="s">
        <v>15</v>
      </c>
      <c r="F2677" t="s">
        <v>1122</v>
      </c>
      <c r="G2677" s="1">
        <v>39016</v>
      </c>
      <c r="H2677" s="1">
        <v>39164</v>
      </c>
      <c r="I2677" t="s">
        <v>12</v>
      </c>
      <c r="J2677" t="s">
        <v>13447</v>
      </c>
    </row>
    <row r="2678" spans="1:10" x14ac:dyDescent="0.25">
      <c r="A2678">
        <v>287951</v>
      </c>
      <c r="B2678" t="s">
        <v>2813</v>
      </c>
      <c r="C2678" t="str">
        <f>"9780750667869"</f>
        <v>9780750667869</v>
      </c>
      <c r="D2678" t="str">
        <f>"9780080471396"</f>
        <v>9780080471396</v>
      </c>
      <c r="E2678" t="s">
        <v>15</v>
      </c>
      <c r="F2678" t="s">
        <v>16</v>
      </c>
      <c r="G2678" s="1">
        <v>39120</v>
      </c>
      <c r="H2678" s="1">
        <v>39170</v>
      </c>
      <c r="I2678" t="s">
        <v>12</v>
      </c>
      <c r="J2678" t="s">
        <v>13448</v>
      </c>
    </row>
    <row r="2679" spans="1:10" x14ac:dyDescent="0.25">
      <c r="A2679">
        <v>287956</v>
      </c>
      <c r="B2679" t="s">
        <v>2814</v>
      </c>
      <c r="C2679" t="str">
        <f>"9780750679299"</f>
        <v>9780750679299</v>
      </c>
      <c r="D2679" t="str">
        <f>"9780080468204"</f>
        <v>9780080468204</v>
      </c>
      <c r="E2679" t="s">
        <v>1119</v>
      </c>
      <c r="F2679" t="s">
        <v>2125</v>
      </c>
      <c r="G2679" s="1">
        <v>38999</v>
      </c>
      <c r="H2679" s="1">
        <v>42341</v>
      </c>
      <c r="I2679" t="s">
        <v>12</v>
      </c>
      <c r="J2679" t="s">
        <v>13449</v>
      </c>
    </row>
    <row r="2680" spans="1:10" x14ac:dyDescent="0.25">
      <c r="A2680">
        <v>287957</v>
      </c>
      <c r="B2680" t="s">
        <v>2815</v>
      </c>
      <c r="C2680" t="str">
        <f>"9780750679831"</f>
        <v>9780750679831</v>
      </c>
      <c r="D2680" t="str">
        <f>"9780080471464"</f>
        <v>9780080471464</v>
      </c>
      <c r="E2680" t="s">
        <v>15</v>
      </c>
      <c r="F2680" t="s">
        <v>16</v>
      </c>
      <c r="G2680" s="1">
        <v>40751</v>
      </c>
      <c r="H2680" s="1">
        <v>40171</v>
      </c>
      <c r="I2680" t="s">
        <v>12</v>
      </c>
      <c r="J2680" t="s">
        <v>13450</v>
      </c>
    </row>
    <row r="2681" spans="1:10" x14ac:dyDescent="0.25">
      <c r="A2681">
        <v>288447</v>
      </c>
      <c r="B2681" t="s">
        <v>2816</v>
      </c>
      <c r="C2681" t="str">
        <f>"9780521858748"</f>
        <v>9780521858748</v>
      </c>
      <c r="D2681" t="str">
        <f>"9780511268069"</f>
        <v>9780511268069</v>
      </c>
      <c r="E2681" t="s">
        <v>18</v>
      </c>
      <c r="F2681" t="s">
        <v>18</v>
      </c>
      <c r="G2681" s="1">
        <v>39076</v>
      </c>
      <c r="H2681" s="1">
        <v>39168</v>
      </c>
      <c r="I2681" t="s">
        <v>12</v>
      </c>
      <c r="J2681" t="s">
        <v>13451</v>
      </c>
    </row>
    <row r="2682" spans="1:10" x14ac:dyDescent="0.25">
      <c r="A2682">
        <v>288451</v>
      </c>
      <c r="B2682" t="s">
        <v>2817</v>
      </c>
      <c r="C2682" t="str">
        <f>"9780521859288"</f>
        <v>9780521859288</v>
      </c>
      <c r="D2682" t="str">
        <f>"9780511268762"</f>
        <v>9780511268762</v>
      </c>
      <c r="E2682" t="s">
        <v>18</v>
      </c>
      <c r="F2682" t="s">
        <v>18</v>
      </c>
      <c r="G2682" s="1">
        <v>39062</v>
      </c>
      <c r="H2682" s="1">
        <v>39168</v>
      </c>
      <c r="I2682" t="s">
        <v>12</v>
      </c>
      <c r="J2682" t="s">
        <v>13452</v>
      </c>
    </row>
    <row r="2683" spans="1:10" x14ac:dyDescent="0.25">
      <c r="A2683">
        <v>288452</v>
      </c>
      <c r="B2683" t="s">
        <v>2818</v>
      </c>
      <c r="C2683" t="str">
        <f>"9780521842563"</f>
        <v>9780521842563</v>
      </c>
      <c r="D2683" t="str">
        <f>"9780511268397"</f>
        <v>9780511268397</v>
      </c>
      <c r="E2683" t="s">
        <v>18</v>
      </c>
      <c r="F2683" t="s">
        <v>18</v>
      </c>
      <c r="G2683" s="1">
        <v>39052</v>
      </c>
      <c r="H2683" s="1">
        <v>39168</v>
      </c>
      <c r="I2683" t="s">
        <v>12</v>
      </c>
      <c r="J2683" t="s">
        <v>13453</v>
      </c>
    </row>
    <row r="2684" spans="1:10" x14ac:dyDescent="0.25">
      <c r="A2684">
        <v>288460</v>
      </c>
      <c r="B2684" t="s">
        <v>2819</v>
      </c>
      <c r="C2684" t="str">
        <f>"9780521853507"</f>
        <v>9780521853507</v>
      </c>
      <c r="D2684" t="str">
        <f>"9780511268618"</f>
        <v>9780511268618</v>
      </c>
      <c r="E2684" t="s">
        <v>18</v>
      </c>
      <c r="F2684" t="s">
        <v>18</v>
      </c>
      <c r="G2684" s="1">
        <v>39135</v>
      </c>
      <c r="H2684" s="1">
        <v>39168</v>
      </c>
      <c r="I2684" t="s">
        <v>12</v>
      </c>
      <c r="J2684" t="s">
        <v>13454</v>
      </c>
    </row>
    <row r="2685" spans="1:10" x14ac:dyDescent="0.25">
      <c r="A2685">
        <v>288461</v>
      </c>
      <c r="B2685" t="s">
        <v>2820</v>
      </c>
      <c r="C2685" t="str">
        <f>"9780521859271"</f>
        <v>9780521859271</v>
      </c>
      <c r="D2685" t="str">
        <f>"9780511268083"</f>
        <v>9780511268083</v>
      </c>
      <c r="E2685" t="s">
        <v>18</v>
      </c>
      <c r="F2685" t="s">
        <v>18</v>
      </c>
      <c r="G2685" s="1">
        <v>39041</v>
      </c>
      <c r="H2685" s="1">
        <v>39168</v>
      </c>
      <c r="I2685" t="s">
        <v>12</v>
      </c>
      <c r="J2685" t="s">
        <v>13455</v>
      </c>
    </row>
    <row r="2686" spans="1:10" x14ac:dyDescent="0.25">
      <c r="A2686">
        <v>288464</v>
      </c>
      <c r="B2686" t="s">
        <v>2821</v>
      </c>
      <c r="C2686" t="str">
        <f>"9780521815130"</f>
        <v>9780521815130</v>
      </c>
      <c r="D2686" t="str">
        <f>"9780511268595"</f>
        <v>9780511268595</v>
      </c>
      <c r="E2686" t="s">
        <v>18</v>
      </c>
      <c r="F2686" t="s">
        <v>18</v>
      </c>
      <c r="G2686" s="1">
        <v>39417</v>
      </c>
      <c r="H2686" s="1">
        <v>39168</v>
      </c>
      <c r="I2686" t="s">
        <v>12</v>
      </c>
      <c r="J2686" t="s">
        <v>13456</v>
      </c>
    </row>
    <row r="2687" spans="1:10" x14ac:dyDescent="0.25">
      <c r="A2687">
        <v>288472</v>
      </c>
      <c r="B2687" t="s">
        <v>2822</v>
      </c>
      <c r="C2687" t="str">
        <f>"9780521872225"</f>
        <v>9780521872225</v>
      </c>
      <c r="D2687" t="str">
        <f>"9780511268540"</f>
        <v>9780511268540</v>
      </c>
      <c r="E2687" t="s">
        <v>18</v>
      </c>
      <c r="F2687" t="s">
        <v>18</v>
      </c>
      <c r="G2687" s="1">
        <v>39100</v>
      </c>
      <c r="H2687" s="1">
        <v>39168</v>
      </c>
      <c r="I2687" t="s">
        <v>12</v>
      </c>
      <c r="J2687" t="s">
        <v>13457</v>
      </c>
    </row>
    <row r="2688" spans="1:10" x14ac:dyDescent="0.25">
      <c r="A2688">
        <v>288473</v>
      </c>
      <c r="B2688" t="s">
        <v>2823</v>
      </c>
      <c r="C2688" t="str">
        <f>"9780521852401"</f>
        <v>9780521852401</v>
      </c>
      <c r="D2688" t="str">
        <f>"9780511268250"</f>
        <v>9780511268250</v>
      </c>
      <c r="E2688" t="s">
        <v>18</v>
      </c>
      <c r="F2688" t="s">
        <v>18</v>
      </c>
      <c r="G2688" s="1">
        <v>39052</v>
      </c>
      <c r="H2688" s="1">
        <v>39168</v>
      </c>
      <c r="I2688" t="s">
        <v>12</v>
      </c>
      <c r="J2688" t="s">
        <v>13458</v>
      </c>
    </row>
    <row r="2689" spans="1:10" x14ac:dyDescent="0.25">
      <c r="A2689">
        <v>288474</v>
      </c>
      <c r="B2689" t="s">
        <v>2824</v>
      </c>
      <c r="C2689" t="str">
        <f>"9780521863209"</f>
        <v>9780521863209</v>
      </c>
      <c r="D2689" t="str">
        <f>"9780511268663"</f>
        <v>9780511268663</v>
      </c>
      <c r="E2689" t="s">
        <v>18</v>
      </c>
      <c r="F2689" t="s">
        <v>18</v>
      </c>
      <c r="G2689" s="1">
        <v>39086</v>
      </c>
      <c r="H2689" s="1">
        <v>39168</v>
      </c>
      <c r="I2689" t="s">
        <v>12</v>
      </c>
      <c r="J2689" t="s">
        <v>13459</v>
      </c>
    </row>
    <row r="2690" spans="1:10" x14ac:dyDescent="0.25">
      <c r="A2690">
        <v>288487</v>
      </c>
      <c r="B2690" t="s">
        <v>2825</v>
      </c>
      <c r="C2690" t="str">
        <f>"9780521819503"</f>
        <v>9780521819503</v>
      </c>
      <c r="D2690" t="str">
        <f>"9780511268366"</f>
        <v>9780511268366</v>
      </c>
      <c r="E2690" t="s">
        <v>18</v>
      </c>
      <c r="F2690" t="s">
        <v>18</v>
      </c>
      <c r="G2690" s="1">
        <v>39100</v>
      </c>
      <c r="H2690" s="1">
        <v>39168</v>
      </c>
      <c r="I2690" t="s">
        <v>12</v>
      </c>
      <c r="J2690" t="s">
        <v>13460</v>
      </c>
    </row>
    <row r="2691" spans="1:10" x14ac:dyDescent="0.25">
      <c r="A2691">
        <v>288491</v>
      </c>
      <c r="B2691" t="s">
        <v>2826</v>
      </c>
      <c r="C2691" t="str">
        <f>"9780521867252"</f>
        <v>9780521867252</v>
      </c>
      <c r="D2691" t="str">
        <f>"9780511268298"</f>
        <v>9780511268298</v>
      </c>
      <c r="E2691" t="s">
        <v>18</v>
      </c>
      <c r="F2691" t="s">
        <v>18</v>
      </c>
      <c r="G2691" s="1">
        <v>39093</v>
      </c>
      <c r="H2691" s="1">
        <v>39168</v>
      </c>
      <c r="I2691" t="s">
        <v>12</v>
      </c>
      <c r="J2691" t="s">
        <v>13461</v>
      </c>
    </row>
    <row r="2692" spans="1:10" x14ac:dyDescent="0.25">
      <c r="A2692">
        <v>288492</v>
      </c>
      <c r="B2692" t="s">
        <v>2827</v>
      </c>
      <c r="C2692" t="str">
        <f>"9780521846172"</f>
        <v>9780521846172</v>
      </c>
      <c r="D2692" t="str">
        <f>"9780511268229"</f>
        <v>9780511268229</v>
      </c>
      <c r="E2692" t="s">
        <v>18</v>
      </c>
      <c r="F2692" t="s">
        <v>18</v>
      </c>
      <c r="G2692" s="1">
        <v>39051</v>
      </c>
      <c r="H2692" s="1">
        <v>39168</v>
      </c>
      <c r="I2692" t="s">
        <v>12</v>
      </c>
      <c r="J2692" t="s">
        <v>13462</v>
      </c>
    </row>
    <row r="2693" spans="1:10" x14ac:dyDescent="0.25">
      <c r="A2693">
        <v>288506</v>
      </c>
      <c r="B2693" t="s">
        <v>2828</v>
      </c>
      <c r="C2693" t="str">
        <f>"9780521860284"</f>
        <v>9780521860284</v>
      </c>
      <c r="D2693" t="str">
        <f>"9780511268458"</f>
        <v>9780511268458</v>
      </c>
      <c r="E2693" t="s">
        <v>18</v>
      </c>
      <c r="F2693" t="s">
        <v>18</v>
      </c>
      <c r="G2693" s="1">
        <v>39083</v>
      </c>
      <c r="H2693" s="1">
        <v>39168</v>
      </c>
      <c r="I2693" t="s">
        <v>12</v>
      </c>
      <c r="J2693" t="s">
        <v>13463</v>
      </c>
    </row>
    <row r="2694" spans="1:10" x14ac:dyDescent="0.25">
      <c r="A2694">
        <v>288510</v>
      </c>
      <c r="B2694" t="s">
        <v>2829</v>
      </c>
      <c r="C2694" t="str">
        <f>"9780749448714"</f>
        <v>9780749448714</v>
      </c>
      <c r="D2694" t="str">
        <f>"9780749450526"</f>
        <v>9780749450526</v>
      </c>
      <c r="E2694" t="s">
        <v>1059</v>
      </c>
      <c r="F2694" t="s">
        <v>1059</v>
      </c>
      <c r="G2694" s="1">
        <v>39022</v>
      </c>
      <c r="H2694" s="1">
        <v>39179</v>
      </c>
      <c r="I2694" t="s">
        <v>12</v>
      </c>
      <c r="J2694" t="s">
        <v>13464</v>
      </c>
    </row>
    <row r="2695" spans="1:10" x14ac:dyDescent="0.25">
      <c r="A2695">
        <v>288514</v>
      </c>
      <c r="B2695" t="s">
        <v>2830</v>
      </c>
      <c r="C2695" t="str">
        <f>"9780749448387"</f>
        <v>9780749448387</v>
      </c>
      <c r="D2695" t="str">
        <f>"9780749450410"</f>
        <v>9780749450410</v>
      </c>
      <c r="E2695" t="s">
        <v>1059</v>
      </c>
      <c r="F2695" t="s">
        <v>1059</v>
      </c>
      <c r="G2695" s="1">
        <v>39116</v>
      </c>
      <c r="H2695" s="1">
        <v>39179</v>
      </c>
      <c r="I2695" t="s">
        <v>12</v>
      </c>
      <c r="J2695" t="s">
        <v>13465</v>
      </c>
    </row>
    <row r="2696" spans="1:10" x14ac:dyDescent="0.25">
      <c r="A2696">
        <v>288515</v>
      </c>
      <c r="B2696" t="s">
        <v>2831</v>
      </c>
      <c r="C2696" t="str">
        <f>"9780749447977"</f>
        <v>9780749447977</v>
      </c>
      <c r="D2696" t="str">
        <f>"9780749450335"</f>
        <v>9780749450335</v>
      </c>
      <c r="E2696" t="s">
        <v>1059</v>
      </c>
      <c r="F2696" t="s">
        <v>1059</v>
      </c>
      <c r="G2696" s="1">
        <v>38961</v>
      </c>
      <c r="H2696" s="1">
        <v>39179</v>
      </c>
      <c r="I2696" t="s">
        <v>12</v>
      </c>
      <c r="J2696" t="s">
        <v>13466</v>
      </c>
    </row>
    <row r="2697" spans="1:10" x14ac:dyDescent="0.25">
      <c r="A2697">
        <v>288516</v>
      </c>
      <c r="B2697" t="s">
        <v>2832</v>
      </c>
      <c r="C2697" t="str">
        <f>"9780749448301"</f>
        <v>9780749448301</v>
      </c>
      <c r="D2697" t="str">
        <f>"9780749450458"</f>
        <v>9780749450458</v>
      </c>
      <c r="E2697" t="s">
        <v>1770</v>
      </c>
      <c r="F2697" t="s">
        <v>1770</v>
      </c>
      <c r="G2697" s="1">
        <v>38991</v>
      </c>
      <c r="H2697" s="1">
        <v>39511</v>
      </c>
      <c r="I2697" t="s">
        <v>12</v>
      </c>
      <c r="J2697" t="s">
        <v>13467</v>
      </c>
    </row>
    <row r="2698" spans="1:10" x14ac:dyDescent="0.25">
      <c r="A2698">
        <v>288517</v>
      </c>
      <c r="B2698" t="s">
        <v>2833</v>
      </c>
      <c r="C2698" t="str">
        <f>"9780749447984"</f>
        <v>9780749447984</v>
      </c>
      <c r="D2698" t="str">
        <f>"9780749450496"</f>
        <v>9780749450496</v>
      </c>
      <c r="E2698" t="s">
        <v>1059</v>
      </c>
      <c r="F2698" t="s">
        <v>1059</v>
      </c>
      <c r="G2698" s="1">
        <v>39022</v>
      </c>
      <c r="H2698" s="1">
        <v>39179</v>
      </c>
      <c r="I2698" t="s">
        <v>12</v>
      </c>
      <c r="J2698" t="s">
        <v>13468</v>
      </c>
    </row>
    <row r="2699" spans="1:10" x14ac:dyDescent="0.25">
      <c r="A2699">
        <v>288520</v>
      </c>
      <c r="B2699" t="s">
        <v>2834</v>
      </c>
      <c r="C2699" t="str">
        <f>"9780749443771"</f>
        <v>9780749443771</v>
      </c>
      <c r="D2699" t="str">
        <f>"9780749450359"</f>
        <v>9780749450359</v>
      </c>
      <c r="E2699" t="s">
        <v>1059</v>
      </c>
      <c r="F2699" t="s">
        <v>1059</v>
      </c>
      <c r="G2699" s="1">
        <v>38961</v>
      </c>
      <c r="H2699" s="1">
        <v>39179</v>
      </c>
      <c r="I2699" t="s">
        <v>12</v>
      </c>
      <c r="J2699" t="s">
        <v>13469</v>
      </c>
    </row>
    <row r="2700" spans="1:10" x14ac:dyDescent="0.25">
      <c r="A2700">
        <v>288524</v>
      </c>
      <c r="B2700" t="s">
        <v>2835</v>
      </c>
      <c r="C2700" t="str">
        <f>"9780749447809"</f>
        <v>9780749447809</v>
      </c>
      <c r="D2700" t="str">
        <f>"9780749450311"</f>
        <v>9780749450311</v>
      </c>
      <c r="E2700" t="s">
        <v>1059</v>
      </c>
      <c r="F2700" t="s">
        <v>1059</v>
      </c>
      <c r="G2700" s="1">
        <v>38961</v>
      </c>
      <c r="H2700" s="1">
        <v>39179</v>
      </c>
      <c r="I2700" t="s">
        <v>12</v>
      </c>
      <c r="J2700" t="s">
        <v>13470</v>
      </c>
    </row>
    <row r="2701" spans="1:10" x14ac:dyDescent="0.25">
      <c r="A2701">
        <v>288607</v>
      </c>
      <c r="B2701" t="s">
        <v>2836</v>
      </c>
      <c r="C2701" t="str">
        <f>"9780521864763"</f>
        <v>9780521864763</v>
      </c>
      <c r="D2701" t="str">
        <f>"9780511273261"</f>
        <v>9780511273261</v>
      </c>
      <c r="E2701" t="s">
        <v>18</v>
      </c>
      <c r="F2701" t="s">
        <v>18</v>
      </c>
      <c r="G2701" s="1">
        <v>39076</v>
      </c>
      <c r="H2701" s="1">
        <v>39181</v>
      </c>
      <c r="I2701" t="s">
        <v>12</v>
      </c>
      <c r="J2701" t="s">
        <v>13471</v>
      </c>
    </row>
    <row r="2702" spans="1:10" x14ac:dyDescent="0.25">
      <c r="A2702">
        <v>288609</v>
      </c>
      <c r="B2702" t="s">
        <v>2837</v>
      </c>
      <c r="C2702" t="str">
        <f>"9780521873307"</f>
        <v>9780521873307</v>
      </c>
      <c r="D2702" t="str">
        <f>"9780511273414"</f>
        <v>9780511273414</v>
      </c>
      <c r="E2702" t="s">
        <v>18</v>
      </c>
      <c r="F2702" t="s">
        <v>18</v>
      </c>
      <c r="G2702" s="1">
        <v>39114</v>
      </c>
      <c r="H2702" s="1">
        <v>39172</v>
      </c>
      <c r="I2702" t="s">
        <v>12</v>
      </c>
      <c r="J2702" t="s">
        <v>13472</v>
      </c>
    </row>
    <row r="2703" spans="1:10" x14ac:dyDescent="0.25">
      <c r="A2703">
        <v>288610</v>
      </c>
      <c r="B2703" t="s">
        <v>2838</v>
      </c>
      <c r="C2703" t="str">
        <f>"9780521847124"</f>
        <v>9780521847124</v>
      </c>
      <c r="D2703" t="str">
        <f>"9780511272899"</f>
        <v>9780511272899</v>
      </c>
      <c r="E2703" t="s">
        <v>18</v>
      </c>
      <c r="F2703" t="s">
        <v>18</v>
      </c>
      <c r="G2703" s="1">
        <v>39142</v>
      </c>
      <c r="H2703" s="1">
        <v>39172</v>
      </c>
      <c r="I2703" t="s">
        <v>12</v>
      </c>
      <c r="J2703" t="s">
        <v>13473</v>
      </c>
    </row>
    <row r="2704" spans="1:10" x14ac:dyDescent="0.25">
      <c r="A2704">
        <v>288612</v>
      </c>
      <c r="B2704" t="s">
        <v>2839</v>
      </c>
      <c r="C2704" t="str">
        <f>"9780521868723"</f>
        <v>9780521868723</v>
      </c>
      <c r="D2704" t="str">
        <f>"9780511273308"</f>
        <v>9780511273308</v>
      </c>
      <c r="E2704" t="s">
        <v>18</v>
      </c>
      <c r="F2704" t="s">
        <v>18</v>
      </c>
      <c r="G2704" s="1">
        <v>39090</v>
      </c>
      <c r="H2704" s="1">
        <v>39176</v>
      </c>
      <c r="I2704" t="s">
        <v>12</v>
      </c>
      <c r="J2704" t="s">
        <v>13474</v>
      </c>
    </row>
    <row r="2705" spans="1:10" x14ac:dyDescent="0.25">
      <c r="A2705">
        <v>288622</v>
      </c>
      <c r="B2705" t="s">
        <v>2840</v>
      </c>
      <c r="C2705" t="str">
        <f>"9780521873529"</f>
        <v>9780521873529</v>
      </c>
      <c r="D2705" t="str">
        <f>"9780511273421"</f>
        <v>9780511273421</v>
      </c>
      <c r="E2705" t="s">
        <v>18</v>
      </c>
      <c r="F2705" t="s">
        <v>18</v>
      </c>
      <c r="G2705" s="1">
        <v>39128</v>
      </c>
      <c r="H2705" s="1">
        <v>39172</v>
      </c>
      <c r="I2705" t="s">
        <v>12</v>
      </c>
      <c r="J2705" t="s">
        <v>13475</v>
      </c>
    </row>
    <row r="2706" spans="1:10" x14ac:dyDescent="0.25">
      <c r="A2706">
        <v>288628</v>
      </c>
      <c r="B2706" t="s">
        <v>2841</v>
      </c>
      <c r="C2706" t="str">
        <f>"9780521842822"</f>
        <v>9780521842822</v>
      </c>
      <c r="D2706" t="str">
        <f>"9780511272844"</f>
        <v>9780511272844</v>
      </c>
      <c r="E2706" t="s">
        <v>18</v>
      </c>
      <c r="F2706" t="s">
        <v>18</v>
      </c>
      <c r="G2706" s="1">
        <v>39083</v>
      </c>
      <c r="H2706" s="1">
        <v>39176</v>
      </c>
      <c r="I2706" t="s">
        <v>12</v>
      </c>
      <c r="J2706" t="s">
        <v>13476</v>
      </c>
    </row>
    <row r="2707" spans="1:10" x14ac:dyDescent="0.25">
      <c r="A2707">
        <v>288635</v>
      </c>
      <c r="B2707" t="s">
        <v>2842</v>
      </c>
      <c r="C2707" t="str">
        <f>"9780521851435"</f>
        <v>9780521851435</v>
      </c>
      <c r="D2707" t="str">
        <f>"9780511272974"</f>
        <v>9780511272974</v>
      </c>
      <c r="E2707" t="s">
        <v>18</v>
      </c>
      <c r="F2707" t="s">
        <v>18</v>
      </c>
      <c r="G2707" s="1">
        <v>39121</v>
      </c>
      <c r="H2707" s="1">
        <v>39181</v>
      </c>
      <c r="I2707" t="s">
        <v>12</v>
      </c>
      <c r="J2707" t="s">
        <v>13477</v>
      </c>
    </row>
    <row r="2708" spans="1:10" x14ac:dyDescent="0.25">
      <c r="A2708">
        <v>288637</v>
      </c>
      <c r="B2708" t="s">
        <v>2843</v>
      </c>
      <c r="C2708" t="str">
        <f>"9780521865593"</f>
        <v>9780521865593</v>
      </c>
      <c r="D2708" t="str">
        <f>"9780511273285"</f>
        <v>9780511273285</v>
      </c>
      <c r="E2708" t="s">
        <v>18</v>
      </c>
      <c r="F2708" t="s">
        <v>18</v>
      </c>
      <c r="G2708" s="1">
        <v>39114</v>
      </c>
      <c r="H2708" s="1">
        <v>39181</v>
      </c>
      <c r="I2708" t="s">
        <v>12</v>
      </c>
      <c r="J2708" t="s">
        <v>13478</v>
      </c>
    </row>
    <row r="2709" spans="1:10" x14ac:dyDescent="0.25">
      <c r="A2709">
        <v>288642</v>
      </c>
      <c r="B2709" t="s">
        <v>2844</v>
      </c>
      <c r="C2709" t="str">
        <f>"9780521871006"</f>
        <v>9780521871006</v>
      </c>
      <c r="D2709" t="str">
        <f>"9780511273360"</f>
        <v>9780511273360</v>
      </c>
      <c r="E2709" t="s">
        <v>18</v>
      </c>
      <c r="F2709" t="s">
        <v>18</v>
      </c>
      <c r="G2709" s="1">
        <v>39184</v>
      </c>
      <c r="H2709" s="1">
        <v>39172</v>
      </c>
      <c r="I2709" t="s">
        <v>12</v>
      </c>
      <c r="J2709" t="s">
        <v>13479</v>
      </c>
    </row>
    <row r="2710" spans="1:10" x14ac:dyDescent="0.25">
      <c r="A2710">
        <v>288646</v>
      </c>
      <c r="B2710" t="s">
        <v>2845</v>
      </c>
      <c r="C2710" t="str">
        <f>"9780521843201"</f>
        <v>9780521843201</v>
      </c>
      <c r="D2710" t="str">
        <f>"9780511272851"</f>
        <v>9780511272851</v>
      </c>
      <c r="E2710" t="s">
        <v>18</v>
      </c>
      <c r="F2710" t="s">
        <v>18</v>
      </c>
      <c r="G2710" s="1">
        <v>39125</v>
      </c>
      <c r="H2710" s="1">
        <v>39172</v>
      </c>
      <c r="I2710" t="s">
        <v>12</v>
      </c>
      <c r="J2710" t="s">
        <v>13480</v>
      </c>
    </row>
    <row r="2711" spans="1:10" x14ac:dyDescent="0.25">
      <c r="A2711">
        <v>288650</v>
      </c>
      <c r="B2711" t="s">
        <v>2846</v>
      </c>
      <c r="C2711" t="str">
        <f>"9780521846592"</f>
        <v>9780521846592</v>
      </c>
      <c r="D2711" t="str">
        <f>"9780511272882"</f>
        <v>9780511272882</v>
      </c>
      <c r="E2711" t="s">
        <v>18</v>
      </c>
      <c r="F2711" t="s">
        <v>18</v>
      </c>
      <c r="G2711" s="1">
        <v>38991</v>
      </c>
      <c r="H2711" s="1">
        <v>39172</v>
      </c>
      <c r="I2711" t="s">
        <v>12</v>
      </c>
      <c r="J2711" t="s">
        <v>13481</v>
      </c>
    </row>
    <row r="2712" spans="1:10" x14ac:dyDescent="0.25">
      <c r="A2712">
        <v>288651</v>
      </c>
      <c r="B2712" t="s">
        <v>2847</v>
      </c>
      <c r="C2712" t="str">
        <f>"9780521875516"</f>
        <v>9780521875516</v>
      </c>
      <c r="D2712" t="str">
        <f>"9780511273445"</f>
        <v>9780511273445</v>
      </c>
      <c r="E2712" t="s">
        <v>18</v>
      </c>
      <c r="F2712" t="s">
        <v>18</v>
      </c>
      <c r="G2712" s="1">
        <v>39142</v>
      </c>
      <c r="H2712" s="1">
        <v>39172</v>
      </c>
      <c r="I2712" t="s">
        <v>12</v>
      </c>
      <c r="J2712" t="s">
        <v>13482</v>
      </c>
    </row>
    <row r="2713" spans="1:10" x14ac:dyDescent="0.25">
      <c r="A2713">
        <v>288664</v>
      </c>
      <c r="B2713" t="s">
        <v>2848</v>
      </c>
      <c r="C2713" t="str">
        <f>"9780521856706"</f>
        <v>9780521856706</v>
      </c>
      <c r="D2713" t="str">
        <f>"9780511273124"</f>
        <v>9780511273124</v>
      </c>
      <c r="E2713" t="s">
        <v>18</v>
      </c>
      <c r="F2713" t="s">
        <v>18</v>
      </c>
      <c r="G2713" s="1">
        <v>39142</v>
      </c>
      <c r="H2713" s="1">
        <v>39181</v>
      </c>
      <c r="I2713" t="s">
        <v>12</v>
      </c>
      <c r="J2713" t="s">
        <v>13483</v>
      </c>
    </row>
    <row r="2714" spans="1:10" x14ac:dyDescent="0.25">
      <c r="A2714">
        <v>288665</v>
      </c>
      <c r="B2714" t="s">
        <v>2849</v>
      </c>
      <c r="C2714" t="str">
        <f>"9780521853910"</f>
        <v>9780521853910</v>
      </c>
      <c r="D2714" t="str">
        <f>"9780511273018"</f>
        <v>9780511273018</v>
      </c>
      <c r="E2714" t="s">
        <v>18</v>
      </c>
      <c r="F2714" t="s">
        <v>18</v>
      </c>
      <c r="G2714" s="1">
        <v>39177</v>
      </c>
      <c r="H2714" s="1">
        <v>39176</v>
      </c>
      <c r="I2714" t="s">
        <v>12</v>
      </c>
      <c r="J2714" t="s">
        <v>13484</v>
      </c>
    </row>
    <row r="2715" spans="1:10" x14ac:dyDescent="0.25">
      <c r="A2715">
        <v>288666</v>
      </c>
      <c r="B2715" t="s">
        <v>2850</v>
      </c>
      <c r="C2715" t="str">
        <f>"9780521859097"</f>
        <v>9780521859097</v>
      </c>
      <c r="D2715" t="str">
        <f>"9780511273148"</f>
        <v>9780511273148</v>
      </c>
      <c r="E2715" t="s">
        <v>18</v>
      </c>
      <c r="F2715" t="s">
        <v>18</v>
      </c>
      <c r="G2715" s="1">
        <v>39142</v>
      </c>
      <c r="H2715" s="1">
        <v>39172</v>
      </c>
      <c r="I2715" t="s">
        <v>12</v>
      </c>
      <c r="J2715" t="s">
        <v>13485</v>
      </c>
    </row>
    <row r="2716" spans="1:10" x14ac:dyDescent="0.25">
      <c r="A2716">
        <v>288667</v>
      </c>
      <c r="B2716" t="s">
        <v>2851</v>
      </c>
      <c r="C2716" t="str">
        <f>"9780521855440"</f>
        <v>9780521855440</v>
      </c>
      <c r="D2716" t="str">
        <f>"9780511273094"</f>
        <v>9780511273094</v>
      </c>
      <c r="E2716" t="s">
        <v>18</v>
      </c>
      <c r="F2716" t="s">
        <v>18</v>
      </c>
      <c r="G2716" s="1">
        <v>39142</v>
      </c>
      <c r="H2716" s="1">
        <v>39169</v>
      </c>
      <c r="I2716" t="s">
        <v>12</v>
      </c>
      <c r="J2716" t="s">
        <v>13486</v>
      </c>
    </row>
    <row r="2717" spans="1:10" x14ac:dyDescent="0.25">
      <c r="A2717">
        <v>288668</v>
      </c>
      <c r="B2717" t="s">
        <v>2852</v>
      </c>
      <c r="C2717" t="str">
        <f>"9780521854801"</f>
        <v>9780521854801</v>
      </c>
      <c r="D2717" t="str">
        <f>"9780511273063"</f>
        <v>9780511273063</v>
      </c>
      <c r="E2717" t="s">
        <v>18</v>
      </c>
      <c r="F2717" t="s">
        <v>18</v>
      </c>
      <c r="G2717" s="1">
        <v>39142</v>
      </c>
      <c r="H2717" s="1">
        <v>39172</v>
      </c>
      <c r="I2717" t="s">
        <v>12</v>
      </c>
      <c r="J2717" t="s">
        <v>13487</v>
      </c>
    </row>
    <row r="2718" spans="1:10" x14ac:dyDescent="0.25">
      <c r="A2718">
        <v>288669</v>
      </c>
      <c r="B2718" t="s">
        <v>2853</v>
      </c>
      <c r="C2718" t="str">
        <f>"9780521854450"</f>
        <v>9780521854450</v>
      </c>
      <c r="D2718" t="str">
        <f>"9780511273025"</f>
        <v>9780511273025</v>
      </c>
      <c r="E2718" t="s">
        <v>18</v>
      </c>
      <c r="F2718" t="s">
        <v>18</v>
      </c>
      <c r="G2718" s="1">
        <v>39142</v>
      </c>
      <c r="H2718" s="1">
        <v>39181</v>
      </c>
      <c r="I2718" t="s">
        <v>12</v>
      </c>
      <c r="J2718" t="s">
        <v>13488</v>
      </c>
    </row>
    <row r="2719" spans="1:10" x14ac:dyDescent="0.25">
      <c r="A2719">
        <v>288670</v>
      </c>
      <c r="B2719" t="s">
        <v>2854</v>
      </c>
      <c r="C2719" t="str">
        <f>"9780521854580"</f>
        <v>9780521854580</v>
      </c>
      <c r="D2719" t="str">
        <f>"9780511273049"</f>
        <v>9780511273049</v>
      </c>
      <c r="E2719" t="s">
        <v>18</v>
      </c>
      <c r="F2719" t="s">
        <v>18</v>
      </c>
      <c r="G2719" s="1">
        <v>39142</v>
      </c>
      <c r="H2719" s="1">
        <v>39176</v>
      </c>
      <c r="I2719" t="s">
        <v>12</v>
      </c>
      <c r="J2719" t="s">
        <v>13489</v>
      </c>
    </row>
    <row r="2720" spans="1:10" x14ac:dyDescent="0.25">
      <c r="A2720">
        <v>288671</v>
      </c>
      <c r="B2720" t="s">
        <v>2855</v>
      </c>
      <c r="C2720" t="str">
        <f>"9780521855990"</f>
        <v>9780521855990</v>
      </c>
      <c r="D2720" t="str">
        <f>"9780511273117"</f>
        <v>9780511273117</v>
      </c>
      <c r="E2720" t="s">
        <v>18</v>
      </c>
      <c r="F2720" t="s">
        <v>18</v>
      </c>
      <c r="G2720" s="1">
        <v>39149</v>
      </c>
      <c r="H2720" s="1">
        <v>39169</v>
      </c>
      <c r="I2720" t="s">
        <v>12</v>
      </c>
      <c r="J2720" t="s">
        <v>13490</v>
      </c>
    </row>
    <row r="2721" spans="1:10" x14ac:dyDescent="0.25">
      <c r="A2721">
        <v>288672</v>
      </c>
      <c r="B2721" t="s">
        <v>2856</v>
      </c>
      <c r="C2721" t="str">
        <f>"9780521858175"</f>
        <v>9780521858175</v>
      </c>
      <c r="D2721" t="str">
        <f>"9780511273131"</f>
        <v>9780511273131</v>
      </c>
      <c r="E2721" t="s">
        <v>18</v>
      </c>
      <c r="F2721" t="s">
        <v>18</v>
      </c>
      <c r="G2721" s="1">
        <v>39149</v>
      </c>
      <c r="H2721" s="1">
        <v>39181</v>
      </c>
      <c r="I2721" t="s">
        <v>12</v>
      </c>
      <c r="J2721" t="s">
        <v>13491</v>
      </c>
    </row>
    <row r="2722" spans="1:10" x14ac:dyDescent="0.25">
      <c r="A2722">
        <v>288673</v>
      </c>
      <c r="B2722" t="s">
        <v>2857</v>
      </c>
      <c r="C2722" t="str">
        <f>"9780521854566"</f>
        <v>9780521854566</v>
      </c>
      <c r="D2722" t="str">
        <f>"9780511273032"</f>
        <v>9780511273032</v>
      </c>
      <c r="E2722" t="s">
        <v>18</v>
      </c>
      <c r="F2722" t="s">
        <v>18</v>
      </c>
      <c r="G2722" s="1">
        <v>39149</v>
      </c>
      <c r="H2722" s="1">
        <v>39170</v>
      </c>
      <c r="I2722" t="s">
        <v>12</v>
      </c>
      <c r="J2722" t="s">
        <v>13492</v>
      </c>
    </row>
    <row r="2723" spans="1:10" x14ac:dyDescent="0.25">
      <c r="A2723">
        <v>288679</v>
      </c>
      <c r="B2723" t="s">
        <v>2858</v>
      </c>
      <c r="C2723" t="str">
        <f>"9780521875110"</f>
        <v>9780521875110</v>
      </c>
      <c r="D2723" t="str">
        <f>"9780511273438"</f>
        <v>9780511273438</v>
      </c>
      <c r="E2723" t="s">
        <v>18</v>
      </c>
      <c r="F2723" t="s">
        <v>18</v>
      </c>
      <c r="G2723" s="1">
        <v>39219</v>
      </c>
      <c r="H2723" s="1">
        <v>39176</v>
      </c>
      <c r="I2723" t="s">
        <v>12</v>
      </c>
      <c r="J2723" t="s">
        <v>13493</v>
      </c>
    </row>
    <row r="2724" spans="1:10" x14ac:dyDescent="0.25">
      <c r="A2724">
        <v>288705</v>
      </c>
      <c r="B2724" t="s">
        <v>2859</v>
      </c>
      <c r="C2724" t="str">
        <f>"9780080442938"</f>
        <v>9780080442938</v>
      </c>
      <c r="D2724" t="str">
        <f>"9780080473109"</f>
        <v>9780080473109</v>
      </c>
      <c r="E2724" t="s">
        <v>1116</v>
      </c>
      <c r="F2724" t="s">
        <v>2860</v>
      </c>
      <c r="G2724" s="1">
        <v>37894</v>
      </c>
      <c r="H2724" s="1">
        <v>39199</v>
      </c>
      <c r="I2724" t="s">
        <v>12</v>
      </c>
      <c r="J2724" t="s">
        <v>13494</v>
      </c>
    </row>
    <row r="2725" spans="1:10" x14ac:dyDescent="0.25">
      <c r="A2725">
        <v>288764</v>
      </c>
      <c r="B2725" t="s">
        <v>2861</v>
      </c>
      <c r="C2725" t="str">
        <f>"9780124977822"</f>
        <v>9780124977822</v>
      </c>
      <c r="D2725" t="str">
        <f>"9780080472041"</f>
        <v>9780080472041</v>
      </c>
      <c r="E2725" t="s">
        <v>144</v>
      </c>
      <c r="F2725" t="s">
        <v>139</v>
      </c>
      <c r="G2725" s="1">
        <v>38926</v>
      </c>
      <c r="H2725" s="1">
        <v>40084</v>
      </c>
      <c r="I2725" t="s">
        <v>12</v>
      </c>
      <c r="J2725" t="s">
        <v>13495</v>
      </c>
    </row>
    <row r="2726" spans="1:10" x14ac:dyDescent="0.25">
      <c r="A2726">
        <v>288772</v>
      </c>
      <c r="B2726" t="s">
        <v>2862</v>
      </c>
      <c r="C2726" t="str">
        <f>"9780126419559"</f>
        <v>9780126419559</v>
      </c>
      <c r="D2726" t="str">
        <f>"9780080473444"</f>
        <v>9780080473444</v>
      </c>
      <c r="E2726" t="s">
        <v>1116</v>
      </c>
      <c r="F2726" t="s">
        <v>2863</v>
      </c>
      <c r="G2726" s="1">
        <v>38063</v>
      </c>
      <c r="H2726" s="1">
        <v>39289</v>
      </c>
      <c r="I2726" t="s">
        <v>12</v>
      </c>
      <c r="J2726" t="s">
        <v>13496</v>
      </c>
    </row>
    <row r="2727" spans="1:10" x14ac:dyDescent="0.25">
      <c r="A2727">
        <v>288786</v>
      </c>
      <c r="B2727" t="s">
        <v>2864</v>
      </c>
      <c r="C2727" t="str">
        <f>"9780240519722"</f>
        <v>9780240519722</v>
      </c>
      <c r="D2727" t="str">
        <f>"9780080468471"</f>
        <v>9780080468471</v>
      </c>
      <c r="E2727" t="s">
        <v>15</v>
      </c>
      <c r="F2727" t="s">
        <v>1122</v>
      </c>
      <c r="G2727" s="1">
        <v>38496</v>
      </c>
      <c r="H2727" s="1">
        <v>39179</v>
      </c>
      <c r="I2727" t="s">
        <v>12</v>
      </c>
      <c r="J2727" t="s">
        <v>13497</v>
      </c>
    </row>
    <row r="2728" spans="1:10" x14ac:dyDescent="0.25">
      <c r="A2728">
        <v>288789</v>
      </c>
      <c r="B2728" t="s">
        <v>2865</v>
      </c>
      <c r="C2728" t="str">
        <f>"9780240806808"</f>
        <v>9780240806808</v>
      </c>
      <c r="D2728" t="str">
        <f>"9780080472027"</f>
        <v>9780080472027</v>
      </c>
      <c r="E2728" t="s">
        <v>15</v>
      </c>
      <c r="F2728" t="s">
        <v>1122</v>
      </c>
      <c r="G2728" s="1">
        <v>38548</v>
      </c>
      <c r="H2728" s="1">
        <v>39217</v>
      </c>
      <c r="I2728" t="s">
        <v>12</v>
      </c>
      <c r="J2728" t="s">
        <v>13498</v>
      </c>
    </row>
    <row r="2729" spans="1:10" x14ac:dyDescent="0.25">
      <c r="A2729">
        <v>288791</v>
      </c>
      <c r="B2729" t="s">
        <v>2866</v>
      </c>
      <c r="C2729" t="str">
        <f>"9780240807621"</f>
        <v>9780240807621</v>
      </c>
      <c r="D2729" t="str">
        <f>"9780080473437"</f>
        <v>9780080473437</v>
      </c>
      <c r="E2729" t="s">
        <v>15</v>
      </c>
      <c r="F2729" t="s">
        <v>16</v>
      </c>
      <c r="G2729" s="1">
        <v>38740</v>
      </c>
      <c r="H2729" s="1">
        <v>39179</v>
      </c>
      <c r="I2729" t="s">
        <v>12</v>
      </c>
      <c r="J2729" t="s">
        <v>13499</v>
      </c>
    </row>
    <row r="2730" spans="1:10" x14ac:dyDescent="0.25">
      <c r="A2730">
        <v>288835</v>
      </c>
      <c r="B2730" t="s">
        <v>2867</v>
      </c>
      <c r="C2730" t="str">
        <f>"9780750649414"</f>
        <v>9780750649414</v>
      </c>
      <c r="D2730" t="str">
        <f>"9780080474571"</f>
        <v>9780080474571</v>
      </c>
      <c r="E2730" t="s">
        <v>15</v>
      </c>
      <c r="F2730" t="s">
        <v>16</v>
      </c>
      <c r="G2730" s="1">
        <v>37838</v>
      </c>
      <c r="H2730" s="1">
        <v>40171</v>
      </c>
      <c r="I2730" t="s">
        <v>12</v>
      </c>
      <c r="J2730" t="s">
        <v>13500</v>
      </c>
    </row>
    <row r="2731" spans="1:10" x14ac:dyDescent="0.25">
      <c r="A2731">
        <v>288892</v>
      </c>
      <c r="B2731" t="s">
        <v>2868</v>
      </c>
      <c r="C2731" t="str">
        <f>"9780750658713"</f>
        <v>9780750658713</v>
      </c>
      <c r="D2731" t="str">
        <f>"9780080473017"</f>
        <v>9780080473017</v>
      </c>
      <c r="E2731" t="s">
        <v>15</v>
      </c>
      <c r="F2731" t="s">
        <v>16</v>
      </c>
      <c r="G2731" s="1">
        <v>37623</v>
      </c>
      <c r="H2731" s="1">
        <v>39179</v>
      </c>
      <c r="I2731" t="s">
        <v>12</v>
      </c>
      <c r="J2731" t="s">
        <v>13501</v>
      </c>
    </row>
    <row r="2732" spans="1:10" x14ac:dyDescent="0.25">
      <c r="A2732">
        <v>288899</v>
      </c>
      <c r="B2732" t="s">
        <v>2869</v>
      </c>
      <c r="C2732" t="str">
        <f>"9780750658904"</f>
        <v>9780750658904</v>
      </c>
      <c r="D2732" t="str">
        <f>"9780080473055"</f>
        <v>9780080473055</v>
      </c>
      <c r="E2732" t="s">
        <v>15</v>
      </c>
      <c r="F2732" t="s">
        <v>16</v>
      </c>
      <c r="G2732" s="1">
        <v>37868</v>
      </c>
      <c r="H2732" s="1">
        <v>39179</v>
      </c>
      <c r="I2732" t="s">
        <v>12</v>
      </c>
      <c r="J2732" t="s">
        <v>13502</v>
      </c>
    </row>
    <row r="2733" spans="1:10" x14ac:dyDescent="0.25">
      <c r="A2733">
        <v>288900</v>
      </c>
      <c r="B2733" t="s">
        <v>2870</v>
      </c>
      <c r="C2733" t="str">
        <f>"9780750658980"</f>
        <v>9780750658980</v>
      </c>
      <c r="D2733" t="str">
        <f>"9780080474069"</f>
        <v>9780080474069</v>
      </c>
      <c r="E2733" t="s">
        <v>15</v>
      </c>
      <c r="F2733" t="s">
        <v>16</v>
      </c>
      <c r="G2733" s="1">
        <v>38334</v>
      </c>
      <c r="H2733" s="1">
        <v>39290</v>
      </c>
      <c r="I2733" t="s">
        <v>12</v>
      </c>
      <c r="J2733" t="s">
        <v>13503</v>
      </c>
    </row>
    <row r="2734" spans="1:10" x14ac:dyDescent="0.25">
      <c r="A2734">
        <v>288907</v>
      </c>
      <c r="B2734" t="s">
        <v>2871</v>
      </c>
      <c r="C2734" t="str">
        <f>"9780750659680"</f>
        <v>9780750659680</v>
      </c>
      <c r="D2734" t="str">
        <f>"9780080472058"</f>
        <v>9780080472058</v>
      </c>
      <c r="E2734" t="s">
        <v>15</v>
      </c>
      <c r="F2734" t="s">
        <v>16</v>
      </c>
      <c r="G2734" s="1">
        <v>38175</v>
      </c>
      <c r="H2734" s="1">
        <v>39179</v>
      </c>
      <c r="I2734" t="s">
        <v>12</v>
      </c>
      <c r="J2734" t="s">
        <v>13504</v>
      </c>
    </row>
    <row r="2735" spans="1:10" x14ac:dyDescent="0.25">
      <c r="A2735">
        <v>288914</v>
      </c>
      <c r="B2735" t="s">
        <v>2872</v>
      </c>
      <c r="C2735" t="str">
        <f>"9780750660853"</f>
        <v>9780750660853</v>
      </c>
      <c r="D2735" t="str">
        <f>"9780080472164"</f>
        <v>9780080472164</v>
      </c>
      <c r="E2735" t="s">
        <v>15</v>
      </c>
      <c r="F2735" t="s">
        <v>16</v>
      </c>
      <c r="G2735" s="1">
        <v>38299</v>
      </c>
      <c r="H2735" s="1">
        <v>40305</v>
      </c>
      <c r="I2735" t="s">
        <v>12</v>
      </c>
      <c r="J2735" t="s">
        <v>13505</v>
      </c>
    </row>
    <row r="2736" spans="1:10" x14ac:dyDescent="0.25">
      <c r="A2736">
        <v>288916</v>
      </c>
      <c r="B2736" t="s">
        <v>2873</v>
      </c>
      <c r="C2736" t="str">
        <f>"9780750661010"</f>
        <v>9780750661010</v>
      </c>
      <c r="D2736" t="str">
        <f>"9780080473307"</f>
        <v>9780080473307</v>
      </c>
      <c r="E2736" t="s">
        <v>15</v>
      </c>
      <c r="F2736" t="s">
        <v>16</v>
      </c>
      <c r="G2736" s="1">
        <v>38261</v>
      </c>
      <c r="H2736" s="1">
        <v>39179</v>
      </c>
      <c r="I2736" t="s">
        <v>12</v>
      </c>
      <c r="J2736" t="s">
        <v>13506</v>
      </c>
    </row>
    <row r="2737" spans="1:10" x14ac:dyDescent="0.25">
      <c r="A2737">
        <v>288946</v>
      </c>
      <c r="B2737" t="s">
        <v>2874</v>
      </c>
      <c r="C2737" t="str">
        <f>"9780750668965"</f>
        <v>9780750668965</v>
      </c>
      <c r="D2737" t="str">
        <f>"9780080473192"</f>
        <v>9780080473192</v>
      </c>
      <c r="E2737" t="s">
        <v>1119</v>
      </c>
      <c r="F2737" t="s">
        <v>2125</v>
      </c>
      <c r="G2737" s="1">
        <v>38706</v>
      </c>
      <c r="H2737" s="1">
        <v>39179</v>
      </c>
      <c r="I2737" t="s">
        <v>12</v>
      </c>
      <c r="J2737" t="s">
        <v>13507</v>
      </c>
    </row>
    <row r="2738" spans="1:10" x14ac:dyDescent="0.25">
      <c r="A2738">
        <v>288947</v>
      </c>
      <c r="B2738" t="s">
        <v>2875</v>
      </c>
      <c r="C2738" t="str">
        <f>"9780750669016"</f>
        <v>9780750669016</v>
      </c>
      <c r="D2738" t="str">
        <f>"9780080473154"</f>
        <v>9780080473154</v>
      </c>
      <c r="E2738" t="s">
        <v>16</v>
      </c>
      <c r="F2738" t="s">
        <v>16</v>
      </c>
      <c r="G2738" s="1">
        <v>39007</v>
      </c>
      <c r="H2738" s="1">
        <v>40305</v>
      </c>
      <c r="I2738" t="s">
        <v>12</v>
      </c>
      <c r="J2738" t="s">
        <v>13508</v>
      </c>
    </row>
    <row r="2739" spans="1:10" x14ac:dyDescent="0.25">
      <c r="A2739">
        <v>288951</v>
      </c>
      <c r="B2739" t="s">
        <v>2876</v>
      </c>
      <c r="C2739" t="str">
        <f>"9780750679848"</f>
        <v>9780750679848</v>
      </c>
      <c r="D2739" t="str">
        <f>"9780080472829"</f>
        <v>9780080472829</v>
      </c>
      <c r="E2739" t="s">
        <v>1119</v>
      </c>
      <c r="F2739" t="s">
        <v>2125</v>
      </c>
      <c r="G2739" s="1">
        <v>38959</v>
      </c>
      <c r="H2739" s="1">
        <v>39179</v>
      </c>
      <c r="I2739" t="s">
        <v>12</v>
      </c>
      <c r="J2739" t="s">
        <v>13509</v>
      </c>
    </row>
    <row r="2740" spans="1:10" x14ac:dyDescent="0.25">
      <c r="A2740">
        <v>289169</v>
      </c>
      <c r="B2740" t="s">
        <v>2877</v>
      </c>
      <c r="C2740" t="str">
        <f>"9780851990033"</f>
        <v>9780851990033</v>
      </c>
      <c r="D2740" t="str">
        <f>"9781845931469"</f>
        <v>9781845931469</v>
      </c>
      <c r="E2740" t="s">
        <v>2878</v>
      </c>
      <c r="F2740" t="s">
        <v>2879</v>
      </c>
      <c r="G2740" s="1">
        <v>38700</v>
      </c>
      <c r="H2740" s="1">
        <v>39167</v>
      </c>
      <c r="I2740" t="s">
        <v>12</v>
      </c>
      <c r="J2740" t="s">
        <v>13510</v>
      </c>
    </row>
    <row r="2741" spans="1:10" x14ac:dyDescent="0.25">
      <c r="A2741">
        <v>289173</v>
      </c>
      <c r="B2741" t="s">
        <v>2880</v>
      </c>
      <c r="C2741" t="str">
        <f>"9781841501451"</f>
        <v>9781841501451</v>
      </c>
      <c r="D2741" t="str">
        <f>"9781841509570"</f>
        <v>9781841509570</v>
      </c>
      <c r="E2741" t="s">
        <v>2646</v>
      </c>
      <c r="F2741" t="s">
        <v>2647</v>
      </c>
      <c r="G2741" s="1">
        <v>39083</v>
      </c>
      <c r="H2741" s="1">
        <v>39171</v>
      </c>
      <c r="I2741" t="s">
        <v>12</v>
      </c>
      <c r="J2741" t="s">
        <v>13511</v>
      </c>
    </row>
    <row r="2742" spans="1:10" x14ac:dyDescent="0.25">
      <c r="A2742">
        <v>289175</v>
      </c>
      <c r="B2742" t="s">
        <v>2881</v>
      </c>
      <c r="C2742" t="str">
        <f>"9781841501420"</f>
        <v>9781841501420</v>
      </c>
      <c r="D2742" t="str">
        <f>"9781841509549"</f>
        <v>9781841509549</v>
      </c>
      <c r="E2742" t="s">
        <v>2646</v>
      </c>
      <c r="F2742" t="s">
        <v>2647</v>
      </c>
      <c r="G2742" s="1">
        <v>39142</v>
      </c>
      <c r="H2742" s="1">
        <v>39171</v>
      </c>
      <c r="I2742" t="s">
        <v>12</v>
      </c>
      <c r="J2742" t="s">
        <v>13512</v>
      </c>
    </row>
    <row r="2743" spans="1:10" x14ac:dyDescent="0.25">
      <c r="A2743">
        <v>289322</v>
      </c>
      <c r="B2743" t="s">
        <v>2882</v>
      </c>
      <c r="C2743" t="str">
        <f>"9783805579445"</f>
        <v>9783805579445</v>
      </c>
      <c r="D2743" t="str">
        <f>"9783318012286"</f>
        <v>9783318012286</v>
      </c>
      <c r="E2743" t="s">
        <v>2883</v>
      </c>
      <c r="F2743" t="s">
        <v>2883</v>
      </c>
      <c r="G2743" s="1">
        <v>38611</v>
      </c>
      <c r="H2743" s="1">
        <v>39289</v>
      </c>
      <c r="I2743" t="s">
        <v>12</v>
      </c>
      <c r="J2743" t="s">
        <v>13513</v>
      </c>
    </row>
    <row r="2744" spans="1:10" x14ac:dyDescent="0.25">
      <c r="A2744">
        <v>289340</v>
      </c>
      <c r="B2744" t="s">
        <v>2884</v>
      </c>
      <c r="C2744" t="str">
        <f>"9783805581219"</f>
        <v>9783805581219</v>
      </c>
      <c r="D2744" t="str">
        <f>"9783318013498"</f>
        <v>9783318013498</v>
      </c>
      <c r="E2744" t="s">
        <v>2883</v>
      </c>
      <c r="F2744" t="s">
        <v>2883</v>
      </c>
      <c r="G2744" s="1">
        <v>38889</v>
      </c>
      <c r="H2744" s="1">
        <v>39289</v>
      </c>
      <c r="I2744" t="s">
        <v>12</v>
      </c>
      <c r="J2744" t="s">
        <v>13514</v>
      </c>
    </row>
    <row r="2745" spans="1:10" x14ac:dyDescent="0.25">
      <c r="A2745">
        <v>289346</v>
      </c>
      <c r="B2745" t="s">
        <v>2885</v>
      </c>
      <c r="C2745" t="str">
        <f>"9783805580816"</f>
        <v>9783805580816</v>
      </c>
      <c r="D2745" t="str">
        <f>"9783318013207"</f>
        <v>9783318013207</v>
      </c>
      <c r="E2745" t="s">
        <v>2883</v>
      </c>
      <c r="F2745" t="s">
        <v>2883</v>
      </c>
      <c r="G2745" s="1">
        <v>38947</v>
      </c>
      <c r="H2745" s="1">
        <v>39289</v>
      </c>
      <c r="I2745" t="s">
        <v>12</v>
      </c>
      <c r="J2745" t="s">
        <v>13515</v>
      </c>
    </row>
    <row r="2746" spans="1:10" x14ac:dyDescent="0.25">
      <c r="A2746">
        <v>289394</v>
      </c>
      <c r="B2746" t="s">
        <v>2886</v>
      </c>
      <c r="C2746" t="str">
        <f>"9780849392542"</f>
        <v>9780849392542</v>
      </c>
      <c r="D2746" t="str">
        <f>"9781420013825"</f>
        <v>9781420013825</v>
      </c>
      <c r="E2746" t="s">
        <v>1900</v>
      </c>
      <c r="F2746" t="s">
        <v>1900</v>
      </c>
      <c r="G2746" s="1">
        <v>39169</v>
      </c>
      <c r="H2746" s="1">
        <v>39171</v>
      </c>
      <c r="I2746" t="s">
        <v>12</v>
      </c>
      <c r="J2746" t="s">
        <v>13516</v>
      </c>
    </row>
    <row r="2747" spans="1:10" x14ac:dyDescent="0.25">
      <c r="A2747">
        <v>289430</v>
      </c>
      <c r="B2747" t="s">
        <v>2887</v>
      </c>
      <c r="C2747" t="str">
        <f>"9780851990156"</f>
        <v>9780851990156</v>
      </c>
      <c r="D2747" t="str">
        <f>"9781845932176"</f>
        <v>9781845932176</v>
      </c>
      <c r="E2747" t="s">
        <v>2878</v>
      </c>
      <c r="F2747" t="s">
        <v>2879</v>
      </c>
      <c r="G2747" s="1">
        <v>38718</v>
      </c>
      <c r="H2747" s="1">
        <v>39181</v>
      </c>
      <c r="I2747" t="s">
        <v>12</v>
      </c>
      <c r="J2747" t="s">
        <v>13517</v>
      </c>
    </row>
    <row r="2748" spans="1:10" x14ac:dyDescent="0.25">
      <c r="A2748">
        <v>289434</v>
      </c>
      <c r="B2748" t="s">
        <v>2888</v>
      </c>
      <c r="C2748" t="str">
        <f>"9780851999081"</f>
        <v>9780851999081</v>
      </c>
      <c r="D2748" t="str">
        <f>"9781845930837"</f>
        <v>9781845930837</v>
      </c>
      <c r="E2748" t="s">
        <v>2878</v>
      </c>
      <c r="F2748" t="s">
        <v>2879</v>
      </c>
      <c r="G2748" s="1">
        <v>38718</v>
      </c>
      <c r="H2748" s="1">
        <v>39171</v>
      </c>
      <c r="I2748" t="s">
        <v>12</v>
      </c>
      <c r="J2748" t="s">
        <v>13518</v>
      </c>
    </row>
    <row r="2749" spans="1:10" x14ac:dyDescent="0.25">
      <c r="A2749">
        <v>289437</v>
      </c>
      <c r="B2749" t="s">
        <v>2889</v>
      </c>
      <c r="C2749" t="str">
        <f>"9780851990514"</f>
        <v>9780851990514</v>
      </c>
      <c r="D2749" t="str">
        <f>"9781845930899"</f>
        <v>9781845930899</v>
      </c>
      <c r="E2749" t="s">
        <v>2878</v>
      </c>
      <c r="F2749" t="s">
        <v>2879</v>
      </c>
      <c r="G2749" s="1">
        <v>38353</v>
      </c>
      <c r="H2749" s="1">
        <v>39171</v>
      </c>
      <c r="I2749" t="s">
        <v>12</v>
      </c>
      <c r="J2749" t="s">
        <v>13519</v>
      </c>
    </row>
    <row r="2750" spans="1:10" x14ac:dyDescent="0.25">
      <c r="A2750">
        <v>289447</v>
      </c>
      <c r="B2750" t="s">
        <v>2890</v>
      </c>
      <c r="C2750" t="str">
        <f>"9780851990088"</f>
        <v>9780851990088</v>
      </c>
      <c r="D2750" t="str">
        <f>"9781845930875"</f>
        <v>9781845930875</v>
      </c>
      <c r="E2750" t="s">
        <v>2878</v>
      </c>
      <c r="F2750" t="s">
        <v>2879</v>
      </c>
      <c r="G2750" s="1">
        <v>38353</v>
      </c>
      <c r="H2750" s="1">
        <v>39171</v>
      </c>
      <c r="I2750" t="s">
        <v>12</v>
      </c>
      <c r="J2750" t="s">
        <v>13520</v>
      </c>
    </row>
    <row r="2751" spans="1:10" x14ac:dyDescent="0.25">
      <c r="A2751">
        <v>289454</v>
      </c>
      <c r="B2751" t="s">
        <v>2891</v>
      </c>
      <c r="C2751" t="str">
        <f>"9780851990149"</f>
        <v>9780851990149</v>
      </c>
      <c r="D2751" t="str">
        <f>"9781845930165"</f>
        <v>9781845930165</v>
      </c>
      <c r="E2751" t="s">
        <v>2878</v>
      </c>
      <c r="F2751" t="s">
        <v>2879</v>
      </c>
      <c r="G2751" s="1">
        <v>38718</v>
      </c>
      <c r="H2751" s="1">
        <v>39171</v>
      </c>
      <c r="I2751" t="s">
        <v>12</v>
      </c>
      <c r="J2751" t="s">
        <v>13521</v>
      </c>
    </row>
    <row r="2752" spans="1:10" x14ac:dyDescent="0.25">
      <c r="A2752">
        <v>289456</v>
      </c>
      <c r="B2752" t="s">
        <v>2892</v>
      </c>
      <c r="C2752" t="str">
        <f>"9780851990217"</f>
        <v>9780851990217</v>
      </c>
      <c r="D2752" t="str">
        <f>"9781845931018"</f>
        <v>9781845931018</v>
      </c>
      <c r="E2752" t="s">
        <v>2878</v>
      </c>
      <c r="F2752" t="s">
        <v>2879</v>
      </c>
      <c r="G2752" s="1">
        <v>38353</v>
      </c>
      <c r="H2752" s="1">
        <v>39171</v>
      </c>
      <c r="I2752" t="s">
        <v>12</v>
      </c>
      <c r="J2752" t="s">
        <v>13522</v>
      </c>
    </row>
    <row r="2753" spans="1:10" x14ac:dyDescent="0.25">
      <c r="A2753">
        <v>289457</v>
      </c>
      <c r="B2753" t="s">
        <v>2893</v>
      </c>
      <c r="C2753" t="str">
        <f>"9780851990118"</f>
        <v>9780851990118</v>
      </c>
      <c r="D2753" t="str">
        <f>"9781845930882"</f>
        <v>9781845930882</v>
      </c>
      <c r="E2753" t="s">
        <v>2878</v>
      </c>
      <c r="F2753" t="s">
        <v>2879</v>
      </c>
      <c r="G2753" s="1">
        <v>38353</v>
      </c>
      <c r="H2753" s="1">
        <v>39171</v>
      </c>
      <c r="I2753" t="s">
        <v>12</v>
      </c>
      <c r="J2753" t="s">
        <v>13523</v>
      </c>
    </row>
    <row r="2754" spans="1:10" x14ac:dyDescent="0.25">
      <c r="A2754">
        <v>289463</v>
      </c>
      <c r="B2754" t="s">
        <v>2894</v>
      </c>
      <c r="C2754" t="str">
        <f>"9788171886142"</f>
        <v>9788171886142</v>
      </c>
      <c r="D2754" t="str">
        <f>"9781552503379"</f>
        <v>9781552503379</v>
      </c>
      <c r="E2754" t="s">
        <v>1968</v>
      </c>
      <c r="F2754" t="s">
        <v>1969</v>
      </c>
      <c r="G2754" s="1">
        <v>39083</v>
      </c>
      <c r="H2754" s="1">
        <v>39181</v>
      </c>
      <c r="I2754" t="s">
        <v>12</v>
      </c>
      <c r="J2754" t="s">
        <v>13524</v>
      </c>
    </row>
    <row r="2755" spans="1:10" x14ac:dyDescent="0.25">
      <c r="A2755">
        <v>289647</v>
      </c>
      <c r="B2755" t="s">
        <v>2895</v>
      </c>
      <c r="C2755" t="str">
        <f>"9780803615939"</f>
        <v>9780803615939</v>
      </c>
      <c r="D2755" t="str">
        <f>"9780803618879"</f>
        <v>9780803618879</v>
      </c>
      <c r="E2755" t="s">
        <v>1445</v>
      </c>
      <c r="F2755" t="s">
        <v>1445</v>
      </c>
      <c r="G2755" s="1">
        <v>39169</v>
      </c>
      <c r="H2755" s="1">
        <v>39221</v>
      </c>
      <c r="I2755" t="s">
        <v>12</v>
      </c>
      <c r="J2755" t="s">
        <v>13525</v>
      </c>
    </row>
    <row r="2756" spans="1:10" x14ac:dyDescent="0.25">
      <c r="A2756">
        <v>289648</v>
      </c>
      <c r="B2756" t="s">
        <v>2896</v>
      </c>
      <c r="C2756" t="str">
        <f>"9780803613621"</f>
        <v>9780803613621</v>
      </c>
      <c r="D2756" t="str">
        <f>"9780803618886"</f>
        <v>9780803618886</v>
      </c>
      <c r="E2756" t="s">
        <v>1445</v>
      </c>
      <c r="F2756" t="s">
        <v>1445</v>
      </c>
      <c r="G2756" s="1">
        <v>39169</v>
      </c>
      <c r="H2756" s="1">
        <v>39226</v>
      </c>
      <c r="I2756" t="s">
        <v>12</v>
      </c>
      <c r="J2756" t="s">
        <v>13526</v>
      </c>
    </row>
    <row r="2757" spans="1:10" x14ac:dyDescent="0.25">
      <c r="A2757">
        <v>289651</v>
      </c>
      <c r="B2757" t="s">
        <v>2897</v>
      </c>
      <c r="C2757" t="str">
        <f>"9781416604235"</f>
        <v>9781416604235</v>
      </c>
      <c r="D2757" t="str">
        <f>"9781416605539"</f>
        <v>9781416605539</v>
      </c>
      <c r="E2757" t="s">
        <v>2492</v>
      </c>
      <c r="F2757" t="s">
        <v>2492</v>
      </c>
      <c r="G2757" s="1">
        <v>39083</v>
      </c>
      <c r="H2757" s="1">
        <v>39178</v>
      </c>
      <c r="I2757" t="s">
        <v>12</v>
      </c>
      <c r="J2757" t="s">
        <v>13527</v>
      </c>
    </row>
    <row r="2758" spans="1:10" x14ac:dyDescent="0.25">
      <c r="A2758">
        <v>289652</v>
      </c>
      <c r="B2758" t="s">
        <v>2898</v>
      </c>
      <c r="C2758" t="str">
        <f>"9781416605195"</f>
        <v>9781416605195</v>
      </c>
      <c r="D2758" t="str">
        <f>"9781416606178"</f>
        <v>9781416606178</v>
      </c>
      <c r="E2758" t="s">
        <v>2492</v>
      </c>
      <c r="F2758" t="s">
        <v>2492</v>
      </c>
      <c r="G2758" s="1">
        <v>41327</v>
      </c>
      <c r="H2758" s="1">
        <v>39174</v>
      </c>
      <c r="I2758" t="s">
        <v>12</v>
      </c>
      <c r="J2758" t="s">
        <v>13528</v>
      </c>
    </row>
    <row r="2759" spans="1:10" x14ac:dyDescent="0.25">
      <c r="A2759">
        <v>289653</v>
      </c>
      <c r="B2759" t="s">
        <v>2899</v>
      </c>
      <c r="C2759" t="str">
        <f>"9781416604617"</f>
        <v>9781416604617</v>
      </c>
      <c r="D2759" t="str">
        <f>"9781416606079"</f>
        <v>9781416606079</v>
      </c>
      <c r="E2759" t="s">
        <v>2492</v>
      </c>
      <c r="F2759" t="s">
        <v>2494</v>
      </c>
      <c r="G2759" s="1">
        <v>39097</v>
      </c>
      <c r="H2759" s="1">
        <v>39174</v>
      </c>
      <c r="I2759" t="s">
        <v>12</v>
      </c>
      <c r="J2759" t="s">
        <v>13529</v>
      </c>
    </row>
    <row r="2760" spans="1:10" x14ac:dyDescent="0.25">
      <c r="A2760">
        <v>289654</v>
      </c>
      <c r="B2760" t="s">
        <v>2900</v>
      </c>
      <c r="C2760" t="str">
        <f>"9781416605171"</f>
        <v>9781416605171</v>
      </c>
      <c r="D2760" t="str">
        <f>"9781416606208"</f>
        <v>9781416606208</v>
      </c>
      <c r="E2760" t="s">
        <v>2492</v>
      </c>
      <c r="F2760" t="s">
        <v>2492</v>
      </c>
      <c r="G2760" s="1">
        <v>39083</v>
      </c>
      <c r="H2760" s="1">
        <v>39176</v>
      </c>
      <c r="I2760" t="s">
        <v>12</v>
      </c>
      <c r="J2760" t="s">
        <v>13530</v>
      </c>
    </row>
    <row r="2761" spans="1:10" x14ac:dyDescent="0.25">
      <c r="A2761">
        <v>289655</v>
      </c>
      <c r="B2761" t="s">
        <v>2901</v>
      </c>
      <c r="C2761" t="str">
        <f>"9781416604570"</f>
        <v>9781416604570</v>
      </c>
      <c r="D2761" t="str">
        <f>"9781416605850"</f>
        <v>9781416605850</v>
      </c>
      <c r="E2761" t="s">
        <v>2492</v>
      </c>
      <c r="F2761" t="s">
        <v>2492</v>
      </c>
      <c r="G2761" s="1">
        <v>39022</v>
      </c>
      <c r="H2761" s="1">
        <v>39174</v>
      </c>
      <c r="I2761" t="s">
        <v>12</v>
      </c>
      <c r="J2761" t="s">
        <v>13531</v>
      </c>
    </row>
    <row r="2762" spans="1:10" x14ac:dyDescent="0.25">
      <c r="A2762">
        <v>289662</v>
      </c>
      <c r="B2762" t="s">
        <v>2902</v>
      </c>
      <c r="C2762" t="str">
        <f>"9780851999128"</f>
        <v>9780851999128</v>
      </c>
      <c r="D2762" t="str">
        <f>"9781845930141"</f>
        <v>9781845930141</v>
      </c>
      <c r="E2762" t="s">
        <v>2878</v>
      </c>
      <c r="F2762" t="s">
        <v>2879</v>
      </c>
      <c r="G2762" s="1">
        <v>38353</v>
      </c>
      <c r="H2762" s="1">
        <v>39172</v>
      </c>
      <c r="I2762" t="s">
        <v>12</v>
      </c>
      <c r="J2762" t="s">
        <v>13532</v>
      </c>
    </row>
    <row r="2763" spans="1:10" x14ac:dyDescent="0.25">
      <c r="A2763">
        <v>289664</v>
      </c>
      <c r="B2763" t="s">
        <v>2903</v>
      </c>
      <c r="C2763" t="str">
        <f>"9780851999494"</f>
        <v>9780851999494</v>
      </c>
      <c r="D2763" t="str">
        <f>"9781845930035"</f>
        <v>9781845930035</v>
      </c>
      <c r="E2763" t="s">
        <v>2878</v>
      </c>
      <c r="F2763" t="s">
        <v>2879</v>
      </c>
      <c r="G2763" s="1">
        <v>38718</v>
      </c>
      <c r="H2763" s="1">
        <v>39172</v>
      </c>
      <c r="I2763" t="s">
        <v>12</v>
      </c>
      <c r="J2763" t="s">
        <v>13533</v>
      </c>
    </row>
    <row r="2764" spans="1:10" x14ac:dyDescent="0.25">
      <c r="A2764">
        <v>289665</v>
      </c>
      <c r="B2764" t="s">
        <v>2904</v>
      </c>
      <c r="C2764" t="str">
        <f>"9780851999968"</f>
        <v>9780851999968</v>
      </c>
      <c r="D2764" t="str">
        <f>"9781845930967"</f>
        <v>9781845930967</v>
      </c>
      <c r="E2764" t="s">
        <v>2878</v>
      </c>
      <c r="F2764" t="s">
        <v>2879</v>
      </c>
      <c r="G2764" s="1">
        <v>38353</v>
      </c>
      <c r="H2764" s="1">
        <v>39172</v>
      </c>
      <c r="I2764" t="s">
        <v>12</v>
      </c>
      <c r="J2764" t="s">
        <v>13534</v>
      </c>
    </row>
    <row r="2765" spans="1:10" x14ac:dyDescent="0.25">
      <c r="A2765">
        <v>289671</v>
      </c>
      <c r="B2765" t="s">
        <v>2905</v>
      </c>
      <c r="C2765" t="str">
        <f>"9781845930127"</f>
        <v>9781845930127</v>
      </c>
      <c r="D2765" t="str">
        <f>"9781845930158"</f>
        <v>9781845930158</v>
      </c>
      <c r="E2765" t="s">
        <v>2878</v>
      </c>
      <c r="F2765" t="s">
        <v>2879</v>
      </c>
      <c r="G2765" s="1">
        <v>38718</v>
      </c>
      <c r="H2765" s="1">
        <v>39172</v>
      </c>
      <c r="I2765" t="s">
        <v>12</v>
      </c>
      <c r="J2765" t="s">
        <v>13535</v>
      </c>
    </row>
    <row r="2766" spans="1:10" x14ac:dyDescent="0.25">
      <c r="A2766">
        <v>289677</v>
      </c>
      <c r="B2766" t="s">
        <v>2906</v>
      </c>
      <c r="C2766" t="str">
        <f>"9781845930486"</f>
        <v>9781845930486</v>
      </c>
      <c r="D2766" t="str">
        <f>"9781845930493"</f>
        <v>9781845930493</v>
      </c>
      <c r="E2766" t="s">
        <v>2878</v>
      </c>
      <c r="F2766" t="s">
        <v>2879</v>
      </c>
      <c r="G2766" s="1">
        <v>38718</v>
      </c>
      <c r="H2766" s="1">
        <v>39172</v>
      </c>
      <c r="I2766" t="s">
        <v>12</v>
      </c>
      <c r="J2766" t="s">
        <v>13536</v>
      </c>
    </row>
    <row r="2767" spans="1:10" x14ac:dyDescent="0.25">
      <c r="A2767">
        <v>289678</v>
      </c>
      <c r="B2767" t="s">
        <v>2907</v>
      </c>
      <c r="C2767" t="str">
        <f>"9781845930509"</f>
        <v>9781845930509</v>
      </c>
      <c r="D2767" t="str">
        <f>"9781845930813"</f>
        <v>9781845930813</v>
      </c>
      <c r="E2767" t="s">
        <v>2878</v>
      </c>
      <c r="F2767" t="s">
        <v>2879</v>
      </c>
      <c r="G2767" s="1">
        <v>38718</v>
      </c>
      <c r="H2767" s="1">
        <v>39173</v>
      </c>
      <c r="I2767" t="s">
        <v>12</v>
      </c>
      <c r="J2767" t="s">
        <v>13537</v>
      </c>
    </row>
    <row r="2768" spans="1:10" x14ac:dyDescent="0.25">
      <c r="A2768">
        <v>289685</v>
      </c>
      <c r="B2768" t="s">
        <v>2908</v>
      </c>
      <c r="C2768" t="str">
        <f>"9781845930660"</f>
        <v>9781845930660</v>
      </c>
      <c r="D2768" t="str">
        <f>"9781845931049"</f>
        <v>9781845931049</v>
      </c>
      <c r="E2768" t="s">
        <v>2878</v>
      </c>
      <c r="F2768" t="s">
        <v>2879</v>
      </c>
      <c r="G2768" s="1">
        <v>38718</v>
      </c>
      <c r="H2768" s="1">
        <v>39172</v>
      </c>
      <c r="I2768" t="s">
        <v>12</v>
      </c>
      <c r="J2768" t="s">
        <v>13538</v>
      </c>
    </row>
    <row r="2769" spans="1:10" x14ac:dyDescent="0.25">
      <c r="A2769">
        <v>289692</v>
      </c>
      <c r="B2769" t="s">
        <v>2909</v>
      </c>
      <c r="C2769" t="str">
        <f>"9781845931070"</f>
        <v>9781845931070</v>
      </c>
      <c r="D2769" t="str">
        <f>"9781845932183"</f>
        <v>9781845932183</v>
      </c>
      <c r="E2769" t="s">
        <v>2878</v>
      </c>
      <c r="F2769" t="s">
        <v>2879</v>
      </c>
      <c r="G2769" s="1">
        <v>38718</v>
      </c>
      <c r="H2769" s="1">
        <v>39172</v>
      </c>
      <c r="I2769" t="s">
        <v>12</v>
      </c>
      <c r="J2769" t="s">
        <v>13539</v>
      </c>
    </row>
    <row r="2770" spans="1:10" x14ac:dyDescent="0.25">
      <c r="A2770">
        <v>289694</v>
      </c>
      <c r="B2770" t="s">
        <v>2910</v>
      </c>
      <c r="C2770" t="str">
        <f>"9781845931179"</f>
        <v>9781845931179</v>
      </c>
      <c r="D2770" t="str">
        <f>"9781845931186"</f>
        <v>9781845931186</v>
      </c>
      <c r="E2770" t="s">
        <v>2878</v>
      </c>
      <c r="F2770" t="s">
        <v>2879</v>
      </c>
      <c r="G2770" s="1">
        <v>38718</v>
      </c>
      <c r="H2770" s="1">
        <v>39172</v>
      </c>
      <c r="I2770" t="s">
        <v>12</v>
      </c>
      <c r="J2770" t="s">
        <v>13540</v>
      </c>
    </row>
    <row r="2771" spans="1:10" x14ac:dyDescent="0.25">
      <c r="A2771">
        <v>289697</v>
      </c>
      <c r="B2771" t="s">
        <v>2911</v>
      </c>
      <c r="C2771" t="str">
        <f>"9781845931247"</f>
        <v>9781845931247</v>
      </c>
      <c r="D2771" t="str">
        <f>"9781845931254"</f>
        <v>9781845931254</v>
      </c>
      <c r="E2771" t="s">
        <v>2878</v>
      </c>
      <c r="F2771" t="s">
        <v>2879</v>
      </c>
      <c r="G2771" s="1">
        <v>38718</v>
      </c>
      <c r="H2771" s="1">
        <v>39181</v>
      </c>
      <c r="I2771" t="s">
        <v>12</v>
      </c>
      <c r="J2771" t="s">
        <v>13541</v>
      </c>
    </row>
    <row r="2772" spans="1:10" x14ac:dyDescent="0.25">
      <c r="A2772">
        <v>289702</v>
      </c>
      <c r="B2772" t="s">
        <v>2912</v>
      </c>
      <c r="C2772" t="str">
        <f>"9781845931773"</f>
        <v>9781845931773</v>
      </c>
      <c r="D2772" t="str">
        <f>"9781845931797"</f>
        <v>9781845931797</v>
      </c>
      <c r="E2772" t="s">
        <v>2878</v>
      </c>
      <c r="F2772" t="s">
        <v>2879</v>
      </c>
      <c r="G2772" s="1">
        <v>38718</v>
      </c>
      <c r="H2772" s="1">
        <v>39173</v>
      </c>
      <c r="I2772" t="s">
        <v>12</v>
      </c>
      <c r="J2772" t="s">
        <v>13542</v>
      </c>
    </row>
    <row r="2773" spans="1:10" x14ac:dyDescent="0.25">
      <c r="A2773">
        <v>289703</v>
      </c>
      <c r="B2773" t="s">
        <v>2913</v>
      </c>
      <c r="C2773" t="str">
        <f>"9780851993959"</f>
        <v>9780851993959</v>
      </c>
      <c r="D2773" t="str">
        <f>"9781845931384"</f>
        <v>9781845931384</v>
      </c>
      <c r="E2773" t="s">
        <v>2878</v>
      </c>
      <c r="F2773" t="s">
        <v>2879</v>
      </c>
      <c r="G2773" s="1">
        <v>38718</v>
      </c>
      <c r="H2773" s="1">
        <v>39172</v>
      </c>
      <c r="I2773" t="s">
        <v>12</v>
      </c>
      <c r="J2773" t="s">
        <v>13543</v>
      </c>
    </row>
    <row r="2774" spans="1:10" x14ac:dyDescent="0.25">
      <c r="A2774">
        <v>289798</v>
      </c>
      <c r="B2774" t="s">
        <v>2914</v>
      </c>
      <c r="C2774" t="str">
        <f>"9780861769544"</f>
        <v>9780861769544</v>
      </c>
      <c r="D2774" t="str">
        <f>"9781845443580"</f>
        <v>9781845443580</v>
      </c>
      <c r="E2774" t="s">
        <v>1116</v>
      </c>
      <c r="F2774" t="s">
        <v>1117</v>
      </c>
      <c r="G2774" s="1">
        <v>38107</v>
      </c>
      <c r="H2774" s="1">
        <v>39173</v>
      </c>
      <c r="I2774" t="s">
        <v>12</v>
      </c>
      <c r="J2774" t="s">
        <v>13544</v>
      </c>
    </row>
    <row r="2775" spans="1:10" x14ac:dyDescent="0.25">
      <c r="A2775">
        <v>289815</v>
      </c>
      <c r="B2775" t="s">
        <v>2915</v>
      </c>
      <c r="C2775" t="str">
        <f>"9780861769247"</f>
        <v>9780861769247</v>
      </c>
      <c r="D2775" t="str">
        <f>"9781845443948"</f>
        <v>9781845443948</v>
      </c>
      <c r="E2775" t="s">
        <v>1116</v>
      </c>
      <c r="F2775" t="s">
        <v>1117</v>
      </c>
      <c r="G2775" s="1">
        <v>38009</v>
      </c>
      <c r="H2775" s="1">
        <v>39173</v>
      </c>
      <c r="I2775" t="s">
        <v>1504</v>
      </c>
      <c r="J2775" t="s">
        <v>13545</v>
      </c>
    </row>
    <row r="2776" spans="1:10" x14ac:dyDescent="0.25">
      <c r="A2776">
        <v>289823</v>
      </c>
      <c r="B2776" t="s">
        <v>2916</v>
      </c>
      <c r="C2776" t="str">
        <f>"9780861769100"</f>
        <v>9780861769100</v>
      </c>
      <c r="D2776" t="str">
        <f>"9781845445201"</f>
        <v>9781845445201</v>
      </c>
      <c r="E2776" t="s">
        <v>1116</v>
      </c>
      <c r="F2776" t="s">
        <v>1117</v>
      </c>
      <c r="G2776" s="1">
        <v>37987</v>
      </c>
      <c r="H2776" s="1">
        <v>39173</v>
      </c>
      <c r="I2776" t="s">
        <v>12</v>
      </c>
      <c r="J2776" t="s">
        <v>13546</v>
      </c>
    </row>
    <row r="2777" spans="1:10" x14ac:dyDescent="0.25">
      <c r="A2777">
        <v>289830</v>
      </c>
      <c r="B2777" t="s">
        <v>2917</v>
      </c>
      <c r="C2777" t="str">
        <f>"9780861769261"</f>
        <v>9780861769261</v>
      </c>
      <c r="D2777" t="str">
        <f>"9781845443894"</f>
        <v>9781845443894</v>
      </c>
      <c r="E2777" t="s">
        <v>1116</v>
      </c>
      <c r="F2777" t="s">
        <v>1117</v>
      </c>
      <c r="G2777" s="1">
        <v>38030</v>
      </c>
      <c r="H2777" s="1">
        <v>39173</v>
      </c>
      <c r="I2777" t="s">
        <v>12</v>
      </c>
      <c r="J2777" t="s">
        <v>13547</v>
      </c>
    </row>
    <row r="2778" spans="1:10" x14ac:dyDescent="0.25">
      <c r="A2778">
        <v>289834</v>
      </c>
      <c r="B2778" t="s">
        <v>2918</v>
      </c>
      <c r="C2778" t="str">
        <f>"9780861769964"</f>
        <v>9780861769964</v>
      </c>
      <c r="D2778" t="str">
        <f>"9781845443719"</f>
        <v>9781845443719</v>
      </c>
      <c r="E2778" t="s">
        <v>1116</v>
      </c>
      <c r="F2778" t="s">
        <v>1117</v>
      </c>
      <c r="G2778" s="1">
        <v>38205</v>
      </c>
      <c r="H2778" s="1">
        <v>39173</v>
      </c>
      <c r="I2778" t="s">
        <v>12</v>
      </c>
      <c r="J2778" t="s">
        <v>13548</v>
      </c>
    </row>
    <row r="2779" spans="1:10" x14ac:dyDescent="0.25">
      <c r="A2779">
        <v>289858</v>
      </c>
      <c r="B2779" t="s">
        <v>2919</v>
      </c>
      <c r="C2779" t="str">
        <f>"9780861769957"</f>
        <v>9780861769957</v>
      </c>
      <c r="D2779" t="str">
        <f>"9781845443764"</f>
        <v>9781845443764</v>
      </c>
      <c r="E2779" t="s">
        <v>1116</v>
      </c>
      <c r="F2779" t="s">
        <v>1117</v>
      </c>
      <c r="G2779" s="1">
        <v>38198</v>
      </c>
      <c r="H2779" s="1">
        <v>39173</v>
      </c>
      <c r="I2779" t="s">
        <v>12</v>
      </c>
      <c r="J2779" t="s">
        <v>13549</v>
      </c>
    </row>
    <row r="2780" spans="1:10" x14ac:dyDescent="0.25">
      <c r="A2780">
        <v>289864</v>
      </c>
      <c r="B2780" t="s">
        <v>2920</v>
      </c>
      <c r="C2780" t="str">
        <f>"9781845440015"</f>
        <v>9781845440015</v>
      </c>
      <c r="D2780" t="str">
        <f>"9781845441654"</f>
        <v>9781845441654</v>
      </c>
      <c r="E2780" t="s">
        <v>1116</v>
      </c>
      <c r="F2780" t="s">
        <v>1117</v>
      </c>
      <c r="G2780" s="1">
        <v>38128</v>
      </c>
      <c r="H2780" s="1">
        <v>39173</v>
      </c>
      <c r="I2780" t="s">
        <v>12</v>
      </c>
      <c r="J2780" t="s">
        <v>13550</v>
      </c>
    </row>
    <row r="2781" spans="1:10" x14ac:dyDescent="0.25">
      <c r="A2781">
        <v>289869</v>
      </c>
      <c r="B2781" t="s">
        <v>2921</v>
      </c>
      <c r="C2781" t="str">
        <f>"9780861769704"</f>
        <v>9780861769704</v>
      </c>
      <c r="D2781" t="str">
        <f>"9781845444174"</f>
        <v>9781845444174</v>
      </c>
      <c r="E2781" t="s">
        <v>1116</v>
      </c>
      <c r="F2781" t="s">
        <v>1117</v>
      </c>
      <c r="G2781" s="1">
        <v>38142</v>
      </c>
      <c r="H2781" s="1">
        <v>39173</v>
      </c>
      <c r="I2781" t="s">
        <v>12</v>
      </c>
      <c r="J2781" t="s">
        <v>13551</v>
      </c>
    </row>
    <row r="2782" spans="1:10" x14ac:dyDescent="0.25">
      <c r="A2782">
        <v>289880</v>
      </c>
      <c r="B2782" t="s">
        <v>2922</v>
      </c>
      <c r="C2782" t="str">
        <f>"9780861769353"</f>
        <v>9780861769353</v>
      </c>
      <c r="D2782" t="str">
        <f>"9781845443597"</f>
        <v>9781845443597</v>
      </c>
      <c r="E2782" t="s">
        <v>1116</v>
      </c>
      <c r="F2782" t="s">
        <v>1117</v>
      </c>
      <c r="G2782" s="1">
        <v>38072</v>
      </c>
      <c r="H2782" s="1">
        <v>39173</v>
      </c>
      <c r="I2782" t="s">
        <v>12</v>
      </c>
      <c r="J2782" t="s">
        <v>13552</v>
      </c>
    </row>
    <row r="2783" spans="1:10" x14ac:dyDescent="0.25">
      <c r="A2783">
        <v>289901</v>
      </c>
      <c r="B2783" t="s">
        <v>2923</v>
      </c>
      <c r="C2783" t="str">
        <f>"9781845931858"</f>
        <v>9781845931858</v>
      </c>
      <c r="D2783" t="str">
        <f>"9781845931865"</f>
        <v>9781845931865</v>
      </c>
      <c r="E2783" t="s">
        <v>2878</v>
      </c>
      <c r="F2783" t="s">
        <v>2879</v>
      </c>
      <c r="G2783" s="1">
        <v>39083</v>
      </c>
      <c r="H2783" s="1">
        <v>39173</v>
      </c>
      <c r="I2783" t="s">
        <v>12</v>
      </c>
      <c r="J2783" t="s">
        <v>13553</v>
      </c>
    </row>
    <row r="2784" spans="1:10" x14ac:dyDescent="0.25">
      <c r="A2784">
        <v>289902</v>
      </c>
      <c r="B2784" t="s">
        <v>2924</v>
      </c>
      <c r="C2784" t="str">
        <f>"9781845932466"</f>
        <v>9781845932466</v>
      </c>
      <c r="D2784" t="str">
        <f>"9781845932497"</f>
        <v>9781845932497</v>
      </c>
      <c r="E2784" t="s">
        <v>2878</v>
      </c>
      <c r="F2784" t="s">
        <v>2879</v>
      </c>
      <c r="G2784" s="1">
        <v>39083</v>
      </c>
      <c r="H2784" s="1">
        <v>39173</v>
      </c>
      <c r="I2784" t="s">
        <v>12</v>
      </c>
      <c r="J2784" t="s">
        <v>13554</v>
      </c>
    </row>
    <row r="2785" spans="1:10" x14ac:dyDescent="0.25">
      <c r="A2785">
        <v>289909</v>
      </c>
      <c r="B2785" t="s">
        <v>2925</v>
      </c>
      <c r="C2785" t="str">
        <f>"9781845930646"</f>
        <v>9781845930646</v>
      </c>
      <c r="D2785" t="str">
        <f>"9781845931636"</f>
        <v>9781845931636</v>
      </c>
      <c r="E2785" t="s">
        <v>2878</v>
      </c>
      <c r="F2785" t="s">
        <v>2879</v>
      </c>
      <c r="G2785" s="1">
        <v>38718</v>
      </c>
      <c r="H2785" s="1">
        <v>39173</v>
      </c>
      <c r="I2785" t="s">
        <v>12</v>
      </c>
      <c r="J2785" t="s">
        <v>13555</v>
      </c>
    </row>
    <row r="2786" spans="1:10" x14ac:dyDescent="0.25">
      <c r="A2786">
        <v>289911</v>
      </c>
      <c r="B2786" t="s">
        <v>2926</v>
      </c>
      <c r="C2786" t="str">
        <f>"9781845932213"</f>
        <v>9781845932213</v>
      </c>
      <c r="D2786" t="str">
        <f>"9781845932220"</f>
        <v>9781845932220</v>
      </c>
      <c r="E2786" t="s">
        <v>2878</v>
      </c>
      <c r="F2786" t="s">
        <v>2879</v>
      </c>
      <c r="G2786" s="1">
        <v>39083</v>
      </c>
      <c r="H2786" s="1">
        <v>39173</v>
      </c>
      <c r="I2786" t="s">
        <v>12</v>
      </c>
      <c r="J2786" t="s">
        <v>13556</v>
      </c>
    </row>
    <row r="2787" spans="1:10" x14ac:dyDescent="0.25">
      <c r="A2787">
        <v>289912</v>
      </c>
      <c r="B2787" t="s">
        <v>2927</v>
      </c>
      <c r="C2787" t="str">
        <f>"9781845931742"</f>
        <v>9781845931742</v>
      </c>
      <c r="D2787" t="str">
        <f>"9781845931759"</f>
        <v>9781845931759</v>
      </c>
      <c r="E2787" t="s">
        <v>2878</v>
      </c>
      <c r="F2787" t="s">
        <v>2879</v>
      </c>
      <c r="G2787" s="1">
        <v>39083</v>
      </c>
      <c r="H2787" s="1">
        <v>39173</v>
      </c>
      <c r="I2787" t="s">
        <v>12</v>
      </c>
      <c r="J2787" t="s">
        <v>13557</v>
      </c>
    </row>
    <row r="2788" spans="1:10" x14ac:dyDescent="0.25">
      <c r="A2788">
        <v>289913</v>
      </c>
      <c r="B2788" t="s">
        <v>2928</v>
      </c>
      <c r="C2788" t="str">
        <f>"9781845931896"</f>
        <v>9781845931896</v>
      </c>
      <c r="D2788" t="str">
        <f>"9781845931902"</f>
        <v>9781845931902</v>
      </c>
      <c r="E2788" t="s">
        <v>2878</v>
      </c>
      <c r="F2788" t="s">
        <v>2879</v>
      </c>
      <c r="G2788" s="1">
        <v>39083</v>
      </c>
      <c r="H2788" s="1">
        <v>39173</v>
      </c>
      <c r="I2788" t="s">
        <v>12</v>
      </c>
      <c r="J2788" t="s">
        <v>13558</v>
      </c>
    </row>
    <row r="2789" spans="1:10" x14ac:dyDescent="0.25">
      <c r="A2789">
        <v>289914</v>
      </c>
      <c r="B2789" t="s">
        <v>2929</v>
      </c>
      <c r="C2789" t="str">
        <f>"9781845931728"</f>
        <v>9781845931728</v>
      </c>
      <c r="D2789" t="str">
        <f>"9781845931735"</f>
        <v>9781845931735</v>
      </c>
      <c r="E2789" t="s">
        <v>2878</v>
      </c>
      <c r="F2789" t="s">
        <v>2879</v>
      </c>
      <c r="G2789" s="1">
        <v>38718</v>
      </c>
      <c r="H2789" s="1">
        <v>39173</v>
      </c>
      <c r="I2789" t="s">
        <v>12</v>
      </c>
      <c r="J2789" t="s">
        <v>13559</v>
      </c>
    </row>
    <row r="2790" spans="1:10" x14ac:dyDescent="0.25">
      <c r="A2790">
        <v>289918</v>
      </c>
      <c r="B2790" t="s">
        <v>2930</v>
      </c>
      <c r="C2790" t="str">
        <f>"9781845931308"</f>
        <v>9781845931308</v>
      </c>
      <c r="D2790" t="str">
        <f>"9781845931315"</f>
        <v>9781845931315</v>
      </c>
      <c r="E2790" t="s">
        <v>2878</v>
      </c>
      <c r="F2790" t="s">
        <v>2879</v>
      </c>
      <c r="G2790" s="1">
        <v>38718</v>
      </c>
      <c r="H2790" s="1">
        <v>39173</v>
      </c>
      <c r="I2790" t="s">
        <v>12</v>
      </c>
      <c r="J2790" t="s">
        <v>13560</v>
      </c>
    </row>
    <row r="2791" spans="1:10" x14ac:dyDescent="0.25">
      <c r="A2791">
        <v>290038</v>
      </c>
      <c r="B2791" t="s">
        <v>2931</v>
      </c>
      <c r="C2791" t="str">
        <f>"9780849395673"</f>
        <v>9780849395673</v>
      </c>
      <c r="D2791" t="str">
        <f>"9781420013870"</f>
        <v>9781420013870</v>
      </c>
      <c r="E2791" t="s">
        <v>667</v>
      </c>
      <c r="F2791" t="s">
        <v>667</v>
      </c>
      <c r="G2791" s="1">
        <v>38972</v>
      </c>
      <c r="H2791" s="1">
        <v>39178</v>
      </c>
      <c r="I2791" t="s">
        <v>12</v>
      </c>
      <c r="J2791" t="s">
        <v>13561</v>
      </c>
    </row>
    <row r="2792" spans="1:10" x14ac:dyDescent="0.25">
      <c r="A2792">
        <v>290093</v>
      </c>
      <c r="B2792" t="s">
        <v>2932</v>
      </c>
      <c r="C2792" t="str">
        <f>"9780849370588"</f>
        <v>9780849370588</v>
      </c>
      <c r="D2792" t="str">
        <f>"9781420013399"</f>
        <v>9781420013399</v>
      </c>
      <c r="E2792" t="s">
        <v>1900</v>
      </c>
      <c r="F2792" t="s">
        <v>1900</v>
      </c>
      <c r="G2792" s="1">
        <v>38944</v>
      </c>
      <c r="H2792" s="1">
        <v>39181</v>
      </c>
      <c r="I2792" t="s">
        <v>12</v>
      </c>
      <c r="J2792" t="s">
        <v>13562</v>
      </c>
    </row>
    <row r="2793" spans="1:10" x14ac:dyDescent="0.25">
      <c r="A2793">
        <v>290212</v>
      </c>
      <c r="B2793" t="s">
        <v>2933</v>
      </c>
      <c r="C2793" t="str">
        <f>"9780813021027"</f>
        <v>9780813021027</v>
      </c>
      <c r="D2793" t="str">
        <f>"9780813031057"</f>
        <v>9780813031057</v>
      </c>
      <c r="E2793" t="s">
        <v>2934</v>
      </c>
      <c r="F2793" t="s">
        <v>2935</v>
      </c>
      <c r="G2793" s="1">
        <v>37115</v>
      </c>
      <c r="H2793" s="1">
        <v>39178</v>
      </c>
      <c r="I2793" t="s">
        <v>12</v>
      </c>
      <c r="J2793" t="s">
        <v>13563</v>
      </c>
    </row>
    <row r="2794" spans="1:10" x14ac:dyDescent="0.25">
      <c r="A2794">
        <v>290352</v>
      </c>
      <c r="B2794" t="s">
        <v>2936</v>
      </c>
      <c r="C2794" t="str">
        <f>"9780335210640"</f>
        <v>9780335210640</v>
      </c>
      <c r="D2794" t="str">
        <f>"9780335226108"</f>
        <v>9780335226108</v>
      </c>
      <c r="E2794" t="s">
        <v>2795</v>
      </c>
      <c r="F2794" t="s">
        <v>2796</v>
      </c>
      <c r="G2794" s="1">
        <v>38078</v>
      </c>
      <c r="H2794" s="1">
        <v>39203</v>
      </c>
      <c r="I2794" t="s">
        <v>12</v>
      </c>
      <c r="J2794" t="s">
        <v>13564</v>
      </c>
    </row>
    <row r="2795" spans="1:10" x14ac:dyDescent="0.25">
      <c r="A2795">
        <v>290353</v>
      </c>
      <c r="B2795" t="s">
        <v>2937</v>
      </c>
      <c r="C2795" t="str">
        <f>"9780335199013"</f>
        <v>9780335199013</v>
      </c>
      <c r="D2795" t="str">
        <f>"9780335225613"</f>
        <v>9780335225613</v>
      </c>
      <c r="E2795" t="s">
        <v>2795</v>
      </c>
      <c r="F2795" t="s">
        <v>2796</v>
      </c>
      <c r="G2795" s="1">
        <v>37622</v>
      </c>
      <c r="H2795" s="1">
        <v>39203</v>
      </c>
      <c r="I2795" t="s">
        <v>12</v>
      </c>
      <c r="J2795" t="s">
        <v>13565</v>
      </c>
    </row>
    <row r="2796" spans="1:10" x14ac:dyDescent="0.25">
      <c r="A2796">
        <v>290355</v>
      </c>
      <c r="B2796" t="s">
        <v>2938</v>
      </c>
      <c r="C2796" t="str">
        <f>"9780335219087"</f>
        <v>9780335219087</v>
      </c>
      <c r="D2796" t="str">
        <f>"9780335225903"</f>
        <v>9780335225903</v>
      </c>
      <c r="E2796" t="s">
        <v>2795</v>
      </c>
      <c r="F2796" t="s">
        <v>2796</v>
      </c>
      <c r="G2796" s="1">
        <v>38231</v>
      </c>
      <c r="H2796" s="1">
        <v>39203</v>
      </c>
      <c r="I2796" t="s">
        <v>12</v>
      </c>
      <c r="J2796" t="s">
        <v>13566</v>
      </c>
    </row>
    <row r="2797" spans="1:10" x14ac:dyDescent="0.25">
      <c r="A2797">
        <v>290360</v>
      </c>
      <c r="B2797" t="s">
        <v>2939</v>
      </c>
      <c r="C2797" t="str">
        <f>"9780335210428"</f>
        <v>9780335210428</v>
      </c>
      <c r="D2797" t="str">
        <f>"9780335225828"</f>
        <v>9780335225828</v>
      </c>
      <c r="E2797" t="s">
        <v>2795</v>
      </c>
      <c r="F2797" t="s">
        <v>2796</v>
      </c>
      <c r="G2797" s="1">
        <v>37742</v>
      </c>
      <c r="H2797" s="1">
        <v>39217</v>
      </c>
      <c r="I2797" t="s">
        <v>12</v>
      </c>
      <c r="J2797" t="s">
        <v>13567</v>
      </c>
    </row>
    <row r="2798" spans="1:10" x14ac:dyDescent="0.25">
      <c r="A2798">
        <v>290363</v>
      </c>
      <c r="B2798" t="s">
        <v>2940</v>
      </c>
      <c r="C2798" t="str">
        <f>"9780335214853"</f>
        <v>9780335214853</v>
      </c>
      <c r="D2798" t="str">
        <f>"9780335225989"</f>
        <v>9780335225989</v>
      </c>
      <c r="E2798" t="s">
        <v>2795</v>
      </c>
      <c r="F2798" t="s">
        <v>2796</v>
      </c>
      <c r="G2798" s="1">
        <v>37742</v>
      </c>
      <c r="H2798" s="1">
        <v>39209</v>
      </c>
      <c r="I2798" t="s">
        <v>12</v>
      </c>
      <c r="J2798" t="s">
        <v>13568</v>
      </c>
    </row>
    <row r="2799" spans="1:10" x14ac:dyDescent="0.25">
      <c r="A2799">
        <v>290390</v>
      </c>
      <c r="B2799" t="s">
        <v>2941</v>
      </c>
      <c r="C2799" t="str">
        <f>"9780335209958"</f>
        <v>9780335209958</v>
      </c>
      <c r="D2799" t="str">
        <f>"9780335225859"</f>
        <v>9780335225859</v>
      </c>
      <c r="E2799" t="s">
        <v>2795</v>
      </c>
      <c r="F2799" t="s">
        <v>2796</v>
      </c>
      <c r="G2799" s="1">
        <v>38687</v>
      </c>
      <c r="H2799" s="1">
        <v>39209</v>
      </c>
      <c r="I2799" t="s">
        <v>12</v>
      </c>
      <c r="J2799" t="s">
        <v>13569</v>
      </c>
    </row>
    <row r="2800" spans="1:10" x14ac:dyDescent="0.25">
      <c r="A2800">
        <v>290398</v>
      </c>
      <c r="B2800" t="s">
        <v>2942</v>
      </c>
      <c r="C2800" t="str">
        <f>"9780335205691"</f>
        <v>9780335205691</v>
      </c>
      <c r="D2800" t="str">
        <f>"9780335225682"</f>
        <v>9780335225682</v>
      </c>
      <c r="E2800" t="s">
        <v>2795</v>
      </c>
      <c r="F2800" t="s">
        <v>2796</v>
      </c>
      <c r="G2800" s="1">
        <v>38687</v>
      </c>
      <c r="H2800" s="1">
        <v>39209</v>
      </c>
      <c r="I2800" t="s">
        <v>12</v>
      </c>
      <c r="J2800" t="s">
        <v>13570</v>
      </c>
    </row>
    <row r="2801" spans="1:10" x14ac:dyDescent="0.25">
      <c r="A2801">
        <v>290399</v>
      </c>
      <c r="B2801" t="s">
        <v>2943</v>
      </c>
      <c r="C2801" t="str">
        <f>"9780335213412"</f>
        <v>9780335213412</v>
      </c>
      <c r="D2801" t="str">
        <f>"9780335226009"</f>
        <v>9780335226009</v>
      </c>
      <c r="E2801" t="s">
        <v>2795</v>
      </c>
      <c r="F2801" t="s">
        <v>2796</v>
      </c>
      <c r="G2801" s="1">
        <v>37895</v>
      </c>
      <c r="H2801" s="1">
        <v>39209</v>
      </c>
      <c r="I2801" t="s">
        <v>12</v>
      </c>
      <c r="J2801" t="s">
        <v>13571</v>
      </c>
    </row>
    <row r="2802" spans="1:10" x14ac:dyDescent="0.25">
      <c r="A2802">
        <v>290401</v>
      </c>
      <c r="B2802" t="s">
        <v>2944</v>
      </c>
      <c r="C2802" t="str">
        <f>"9780335218356"</f>
        <v>9780335218356</v>
      </c>
      <c r="D2802" t="str">
        <f>"9780335225583"</f>
        <v>9780335225583</v>
      </c>
      <c r="E2802" t="s">
        <v>2795</v>
      </c>
      <c r="F2802" t="s">
        <v>2796</v>
      </c>
      <c r="G2802" s="1">
        <v>38687</v>
      </c>
      <c r="H2802" s="1">
        <v>40860</v>
      </c>
      <c r="I2802" t="s">
        <v>12</v>
      </c>
      <c r="J2802" t="s">
        <v>13572</v>
      </c>
    </row>
    <row r="2803" spans="1:10" x14ac:dyDescent="0.25">
      <c r="A2803">
        <v>290406</v>
      </c>
      <c r="B2803" t="s">
        <v>2945</v>
      </c>
      <c r="C2803" t="str">
        <f>"9780335213092"</f>
        <v>9780335213092</v>
      </c>
      <c r="D2803" t="str">
        <f>"9780335225668"</f>
        <v>9780335225668</v>
      </c>
      <c r="E2803" t="s">
        <v>2795</v>
      </c>
      <c r="F2803" t="s">
        <v>2796</v>
      </c>
      <c r="G2803" s="1">
        <v>38261</v>
      </c>
      <c r="H2803" s="1">
        <v>39209</v>
      </c>
      <c r="I2803" t="s">
        <v>12</v>
      </c>
      <c r="J2803" t="s">
        <v>13573</v>
      </c>
    </row>
    <row r="2804" spans="1:10" x14ac:dyDescent="0.25">
      <c r="A2804">
        <v>290414</v>
      </c>
      <c r="B2804" t="s">
        <v>2946</v>
      </c>
      <c r="C2804" t="str">
        <f>"9780335215775"</f>
        <v>9780335215775</v>
      </c>
      <c r="D2804" t="str">
        <f>"9780335226184"</f>
        <v>9780335226184</v>
      </c>
      <c r="E2804" t="s">
        <v>2795</v>
      </c>
      <c r="F2804" t="s">
        <v>2947</v>
      </c>
      <c r="G2804" s="1">
        <v>38322</v>
      </c>
      <c r="H2804" s="1">
        <v>40206</v>
      </c>
      <c r="I2804" t="s">
        <v>12</v>
      </c>
      <c r="J2804" t="s">
        <v>13574</v>
      </c>
    </row>
    <row r="2805" spans="1:10" x14ac:dyDescent="0.25">
      <c r="A2805">
        <v>290427</v>
      </c>
      <c r="B2805" t="s">
        <v>2948</v>
      </c>
      <c r="C2805" t="str">
        <f>"9780335212996"</f>
        <v>9780335212996</v>
      </c>
      <c r="D2805" t="str">
        <f>"9780335225866"</f>
        <v>9780335225866</v>
      </c>
      <c r="E2805" t="s">
        <v>2795</v>
      </c>
      <c r="F2805" t="s">
        <v>2796</v>
      </c>
      <c r="G2805" s="1">
        <v>38261</v>
      </c>
      <c r="H2805" s="1">
        <v>39209</v>
      </c>
      <c r="I2805" t="s">
        <v>12</v>
      </c>
      <c r="J2805" t="s">
        <v>13575</v>
      </c>
    </row>
    <row r="2806" spans="1:10" x14ac:dyDescent="0.25">
      <c r="A2806">
        <v>290559</v>
      </c>
      <c r="B2806" t="s">
        <v>2949</v>
      </c>
      <c r="C2806" t="str">
        <f>"9781843107743"</f>
        <v>9781843107743</v>
      </c>
      <c r="D2806" t="str">
        <f>"9781846420030"</f>
        <v>9781846420030</v>
      </c>
      <c r="E2806" t="s">
        <v>2950</v>
      </c>
      <c r="F2806" t="s">
        <v>2950</v>
      </c>
      <c r="G2806" s="1">
        <v>38122</v>
      </c>
      <c r="H2806" s="1">
        <v>38559</v>
      </c>
      <c r="I2806" t="s">
        <v>12</v>
      </c>
      <c r="J2806" t="s">
        <v>13576</v>
      </c>
    </row>
    <row r="2807" spans="1:10" x14ac:dyDescent="0.25">
      <c r="A2807">
        <v>290568</v>
      </c>
      <c r="B2807" t="s">
        <v>2951</v>
      </c>
      <c r="C2807" t="str">
        <f>"9781843102595"</f>
        <v>9781843102595</v>
      </c>
      <c r="D2807" t="str">
        <f>"9781846420139"</f>
        <v>9781846420139</v>
      </c>
      <c r="E2807" t="s">
        <v>2950</v>
      </c>
      <c r="F2807" t="s">
        <v>2950</v>
      </c>
      <c r="G2807" s="1">
        <v>38153</v>
      </c>
      <c r="H2807" s="1">
        <v>38559</v>
      </c>
      <c r="I2807" t="s">
        <v>12</v>
      </c>
      <c r="J2807" t="s">
        <v>13577</v>
      </c>
    </row>
    <row r="2808" spans="1:10" x14ac:dyDescent="0.25">
      <c r="A2808">
        <v>290573</v>
      </c>
      <c r="B2808" t="s">
        <v>2952</v>
      </c>
      <c r="C2808" t="str">
        <f>"9781843102410"</f>
        <v>9781843102410</v>
      </c>
      <c r="D2808" t="str">
        <f>"9781846420184"</f>
        <v>9781846420184</v>
      </c>
      <c r="E2808" t="s">
        <v>2950</v>
      </c>
      <c r="F2808" t="s">
        <v>2950</v>
      </c>
      <c r="G2808" s="1">
        <v>38139</v>
      </c>
      <c r="H2808" s="1">
        <v>38559</v>
      </c>
      <c r="I2808" t="s">
        <v>12</v>
      </c>
      <c r="J2808" t="s">
        <v>13578</v>
      </c>
    </row>
    <row r="2809" spans="1:10" x14ac:dyDescent="0.25">
      <c r="A2809">
        <v>290597</v>
      </c>
      <c r="B2809" t="s">
        <v>2953</v>
      </c>
      <c r="C2809" t="str">
        <f>"9781843107804"</f>
        <v>9781843107804</v>
      </c>
      <c r="D2809" t="str">
        <f>"9781846420429"</f>
        <v>9781846420429</v>
      </c>
      <c r="E2809" t="s">
        <v>2950</v>
      </c>
      <c r="F2809" t="s">
        <v>2950</v>
      </c>
      <c r="G2809" s="1">
        <v>38259</v>
      </c>
      <c r="H2809" s="1">
        <v>38559</v>
      </c>
      <c r="I2809" t="s">
        <v>12</v>
      </c>
      <c r="J2809" t="s">
        <v>13579</v>
      </c>
    </row>
    <row r="2810" spans="1:10" x14ac:dyDescent="0.25">
      <c r="A2810">
        <v>290621</v>
      </c>
      <c r="B2810" t="s">
        <v>2954</v>
      </c>
      <c r="C2810" t="str">
        <f>"9781843101567"</f>
        <v>9781843101567</v>
      </c>
      <c r="D2810" t="str">
        <f>"9781846420689"</f>
        <v>9781846420689</v>
      </c>
      <c r="E2810" t="s">
        <v>2950</v>
      </c>
      <c r="F2810" t="s">
        <v>2950</v>
      </c>
      <c r="G2810" s="1">
        <v>38061</v>
      </c>
      <c r="H2810" s="1">
        <v>38559</v>
      </c>
      <c r="I2810" t="s">
        <v>12</v>
      </c>
      <c r="J2810" t="s">
        <v>13580</v>
      </c>
    </row>
    <row r="2811" spans="1:10" x14ac:dyDescent="0.25">
      <c r="A2811">
        <v>290639</v>
      </c>
      <c r="B2811" t="s">
        <v>2955</v>
      </c>
      <c r="C2811" t="str">
        <f>"9781843103363"</f>
        <v>9781843103363</v>
      </c>
      <c r="D2811" t="str">
        <f>"9781846420900"</f>
        <v>9781846420900</v>
      </c>
      <c r="E2811" t="s">
        <v>2950</v>
      </c>
      <c r="F2811" t="s">
        <v>2950</v>
      </c>
      <c r="G2811" s="1">
        <v>38426</v>
      </c>
      <c r="H2811" s="1">
        <v>38658</v>
      </c>
      <c r="I2811" t="s">
        <v>12</v>
      </c>
      <c r="J2811" t="s">
        <v>13581</v>
      </c>
    </row>
    <row r="2812" spans="1:10" x14ac:dyDescent="0.25">
      <c r="A2812">
        <v>290643</v>
      </c>
      <c r="B2812" t="s">
        <v>2956</v>
      </c>
      <c r="C2812" t="str">
        <f>"9781843103424"</f>
        <v>9781843103424</v>
      </c>
      <c r="D2812" t="str">
        <f>"9781846420948"</f>
        <v>9781846420948</v>
      </c>
      <c r="E2812" t="s">
        <v>2950</v>
      </c>
      <c r="F2812" t="s">
        <v>2950</v>
      </c>
      <c r="G2812" s="1">
        <v>38367</v>
      </c>
      <c r="H2812" s="1">
        <v>38658</v>
      </c>
      <c r="I2812" t="s">
        <v>12</v>
      </c>
      <c r="J2812" t="s">
        <v>13582</v>
      </c>
    </row>
    <row r="2813" spans="1:10" x14ac:dyDescent="0.25">
      <c r="A2813">
        <v>290649</v>
      </c>
      <c r="B2813" t="s">
        <v>2957</v>
      </c>
      <c r="C2813" t="str">
        <f>"9781843102496"</f>
        <v>9781843102496</v>
      </c>
      <c r="D2813" t="str">
        <f>"9781846421006"</f>
        <v>9781846421006</v>
      </c>
      <c r="E2813" t="s">
        <v>2950</v>
      </c>
      <c r="F2813" t="s">
        <v>2950</v>
      </c>
      <c r="G2813" s="1">
        <v>38398</v>
      </c>
      <c r="H2813" s="1">
        <v>38658</v>
      </c>
      <c r="I2813" t="s">
        <v>12</v>
      </c>
      <c r="J2813" t="s">
        <v>13583</v>
      </c>
    </row>
    <row r="2814" spans="1:10" x14ac:dyDescent="0.25">
      <c r="A2814">
        <v>290659</v>
      </c>
      <c r="B2814" t="s">
        <v>2958</v>
      </c>
      <c r="C2814" t="str">
        <f>"9781843101178"</f>
        <v>9781843101178</v>
      </c>
      <c r="D2814" t="str">
        <f>"9781846421099"</f>
        <v>9781846421099</v>
      </c>
      <c r="E2814" t="s">
        <v>2950</v>
      </c>
      <c r="F2814" t="s">
        <v>2950</v>
      </c>
      <c r="G2814" s="1">
        <v>38363</v>
      </c>
      <c r="H2814" s="1">
        <v>38658</v>
      </c>
      <c r="I2814" t="s">
        <v>12</v>
      </c>
      <c r="J2814" t="s">
        <v>13584</v>
      </c>
    </row>
    <row r="2815" spans="1:10" x14ac:dyDescent="0.25">
      <c r="A2815">
        <v>290664</v>
      </c>
      <c r="B2815" t="s">
        <v>2959</v>
      </c>
      <c r="C2815" t="str">
        <f>"9781843107965"</f>
        <v>9781843107965</v>
      </c>
      <c r="D2815" t="str">
        <f>"9781846421143"</f>
        <v>9781846421143</v>
      </c>
      <c r="E2815" t="s">
        <v>2950</v>
      </c>
      <c r="F2815" t="s">
        <v>2950</v>
      </c>
      <c r="G2815" s="1">
        <v>38336</v>
      </c>
      <c r="H2815" s="1">
        <v>38658</v>
      </c>
      <c r="I2815" t="s">
        <v>12</v>
      </c>
      <c r="J2815" t="s">
        <v>13585</v>
      </c>
    </row>
    <row r="2816" spans="1:10" x14ac:dyDescent="0.25">
      <c r="A2816">
        <v>290665</v>
      </c>
      <c r="B2816" t="s">
        <v>2960</v>
      </c>
      <c r="C2816" t="str">
        <f>"9781843103127"</f>
        <v>9781843103127</v>
      </c>
      <c r="D2816" t="str">
        <f>"9781846421150"</f>
        <v>9781846421150</v>
      </c>
      <c r="E2816" t="s">
        <v>2950</v>
      </c>
      <c r="F2816" t="s">
        <v>2950</v>
      </c>
      <c r="G2816" s="1">
        <v>38306</v>
      </c>
      <c r="H2816" s="1">
        <v>38658</v>
      </c>
      <c r="I2816" t="s">
        <v>12</v>
      </c>
      <c r="J2816" t="s">
        <v>13586</v>
      </c>
    </row>
    <row r="2817" spans="1:10" x14ac:dyDescent="0.25">
      <c r="A2817">
        <v>290667</v>
      </c>
      <c r="B2817" t="s">
        <v>2961</v>
      </c>
      <c r="C2817" t="str">
        <f>"9781843102434"</f>
        <v>9781843102434</v>
      </c>
      <c r="D2817" t="str">
        <f>"9781846421174"</f>
        <v>9781846421174</v>
      </c>
      <c r="E2817" t="s">
        <v>2950</v>
      </c>
      <c r="F2817" t="s">
        <v>2950</v>
      </c>
      <c r="G2817" s="1">
        <v>38292</v>
      </c>
      <c r="H2817" s="1">
        <v>38658</v>
      </c>
      <c r="I2817" t="s">
        <v>12</v>
      </c>
      <c r="J2817" t="s">
        <v>13587</v>
      </c>
    </row>
    <row r="2818" spans="1:10" x14ac:dyDescent="0.25">
      <c r="A2818">
        <v>290674</v>
      </c>
      <c r="B2818" t="s">
        <v>2962</v>
      </c>
      <c r="C2818" t="str">
        <f>"9781843102908"</f>
        <v>9781843102908</v>
      </c>
      <c r="D2818" t="str">
        <f>"9781846421259"</f>
        <v>9781846421259</v>
      </c>
      <c r="E2818" t="s">
        <v>2950</v>
      </c>
      <c r="F2818" t="s">
        <v>2950</v>
      </c>
      <c r="G2818" s="1">
        <v>38245</v>
      </c>
      <c r="H2818" s="1">
        <v>38705</v>
      </c>
      <c r="I2818" t="s">
        <v>12</v>
      </c>
      <c r="J2818" t="s">
        <v>13588</v>
      </c>
    </row>
    <row r="2819" spans="1:10" x14ac:dyDescent="0.25">
      <c r="A2819">
        <v>290681</v>
      </c>
      <c r="B2819" t="s">
        <v>2963</v>
      </c>
      <c r="C2819" t="str">
        <f>"9781843103677"</f>
        <v>9781843103677</v>
      </c>
      <c r="D2819" t="str">
        <f>"9781846421327"</f>
        <v>9781846421327</v>
      </c>
      <c r="E2819" t="s">
        <v>2950</v>
      </c>
      <c r="F2819" t="s">
        <v>2950</v>
      </c>
      <c r="G2819" s="1">
        <v>38487</v>
      </c>
      <c r="H2819" s="1">
        <v>38705</v>
      </c>
      <c r="I2819" t="s">
        <v>12</v>
      </c>
      <c r="J2819" t="s">
        <v>13589</v>
      </c>
    </row>
    <row r="2820" spans="1:10" x14ac:dyDescent="0.25">
      <c r="A2820">
        <v>290683</v>
      </c>
      <c r="B2820" t="s">
        <v>2964</v>
      </c>
      <c r="C2820" t="str">
        <f>"9781843101017"</f>
        <v>9781843101017</v>
      </c>
      <c r="D2820" t="str">
        <f>"9781846421341"</f>
        <v>9781846421341</v>
      </c>
      <c r="E2820" t="s">
        <v>2950</v>
      </c>
      <c r="F2820" t="s">
        <v>2950</v>
      </c>
      <c r="G2820" s="1">
        <v>38532</v>
      </c>
      <c r="H2820" s="1">
        <v>38785</v>
      </c>
      <c r="I2820" t="s">
        <v>12</v>
      </c>
      <c r="J2820" t="s">
        <v>13590</v>
      </c>
    </row>
    <row r="2821" spans="1:10" x14ac:dyDescent="0.25">
      <c r="A2821">
        <v>290688</v>
      </c>
      <c r="B2821" t="s">
        <v>2965</v>
      </c>
      <c r="C2821" t="str">
        <f>"9781843107798"</f>
        <v>9781843107798</v>
      </c>
      <c r="D2821" t="str">
        <f>"9781846421396"</f>
        <v>9781846421396</v>
      </c>
      <c r="E2821" t="s">
        <v>2950</v>
      </c>
      <c r="F2821" t="s">
        <v>2950</v>
      </c>
      <c r="G2821" s="1">
        <v>38457</v>
      </c>
      <c r="H2821" s="1">
        <v>38785</v>
      </c>
      <c r="I2821" t="s">
        <v>12</v>
      </c>
      <c r="J2821" t="s">
        <v>13591</v>
      </c>
    </row>
    <row r="2822" spans="1:10" x14ac:dyDescent="0.25">
      <c r="A2822">
        <v>290694</v>
      </c>
      <c r="B2822" t="s">
        <v>2966</v>
      </c>
      <c r="C2822" t="str">
        <f>"9781843103837"</f>
        <v>9781843103837</v>
      </c>
      <c r="D2822" t="str">
        <f>"9781846421457"</f>
        <v>9781846421457</v>
      </c>
      <c r="E2822" t="s">
        <v>2950</v>
      </c>
      <c r="F2822" t="s">
        <v>2950</v>
      </c>
      <c r="G2822" s="1">
        <v>38579</v>
      </c>
      <c r="H2822" s="1">
        <v>38785</v>
      </c>
      <c r="I2822" t="s">
        <v>12</v>
      </c>
      <c r="J2822" t="s">
        <v>13592</v>
      </c>
    </row>
    <row r="2823" spans="1:10" x14ac:dyDescent="0.25">
      <c r="A2823">
        <v>290696</v>
      </c>
      <c r="B2823" t="s">
        <v>2967</v>
      </c>
      <c r="C2823" t="str">
        <f>"9781843107477"</f>
        <v>9781843107477</v>
      </c>
      <c r="D2823" t="str">
        <f>"9781846421471"</f>
        <v>9781846421471</v>
      </c>
      <c r="E2823" t="s">
        <v>2950</v>
      </c>
      <c r="F2823" t="s">
        <v>2950</v>
      </c>
      <c r="G2823" s="1">
        <v>38548</v>
      </c>
      <c r="H2823" s="1">
        <v>38785</v>
      </c>
      <c r="I2823" t="s">
        <v>12</v>
      </c>
      <c r="J2823" t="s">
        <v>13593</v>
      </c>
    </row>
    <row r="2824" spans="1:10" x14ac:dyDescent="0.25">
      <c r="A2824">
        <v>290719</v>
      </c>
      <c r="B2824" t="s">
        <v>2968</v>
      </c>
      <c r="C2824" t="str">
        <f>"9781843103875"</f>
        <v>9781843103875</v>
      </c>
      <c r="D2824" t="str">
        <f>"9781846422362"</f>
        <v>9781846422362</v>
      </c>
      <c r="E2824" t="s">
        <v>2950</v>
      </c>
      <c r="F2824" t="s">
        <v>2950</v>
      </c>
      <c r="G2824" s="1">
        <v>38548</v>
      </c>
      <c r="H2824" s="1">
        <v>38946</v>
      </c>
      <c r="I2824" t="s">
        <v>12</v>
      </c>
      <c r="J2824" t="s">
        <v>13594</v>
      </c>
    </row>
    <row r="2825" spans="1:10" x14ac:dyDescent="0.25">
      <c r="A2825">
        <v>290727</v>
      </c>
      <c r="B2825" t="s">
        <v>2969</v>
      </c>
      <c r="C2825" t="str">
        <f>"9781843104070"</f>
        <v>9781843104070</v>
      </c>
      <c r="D2825" t="str">
        <f>"9781846422447"</f>
        <v>9781846422447</v>
      </c>
      <c r="E2825" t="s">
        <v>2950</v>
      </c>
      <c r="F2825" t="s">
        <v>2950</v>
      </c>
      <c r="G2825" s="1">
        <v>38640</v>
      </c>
      <c r="H2825" s="1">
        <v>38946</v>
      </c>
      <c r="I2825" t="s">
        <v>12</v>
      </c>
      <c r="J2825" t="s">
        <v>13595</v>
      </c>
    </row>
    <row r="2826" spans="1:10" x14ac:dyDescent="0.25">
      <c r="A2826">
        <v>290729</v>
      </c>
      <c r="B2826" t="s">
        <v>2970</v>
      </c>
      <c r="C2826" t="str">
        <f>"9781843101413"</f>
        <v>9781843101413</v>
      </c>
      <c r="D2826" t="str">
        <f>"9781846422461"</f>
        <v>9781846422461</v>
      </c>
      <c r="E2826" t="s">
        <v>2950</v>
      </c>
      <c r="F2826" t="s">
        <v>2950</v>
      </c>
      <c r="G2826" s="1">
        <v>38615</v>
      </c>
      <c r="H2826" s="1">
        <v>38946</v>
      </c>
      <c r="I2826" t="s">
        <v>12</v>
      </c>
      <c r="J2826" t="s">
        <v>13596</v>
      </c>
    </row>
    <row r="2827" spans="1:10" x14ac:dyDescent="0.25">
      <c r="A2827">
        <v>290746</v>
      </c>
      <c r="B2827" t="s">
        <v>2971</v>
      </c>
      <c r="C2827" t="str">
        <f>"9781853028724"</f>
        <v>9781853028724</v>
      </c>
      <c r="D2827" t="str">
        <f>"9781846423239"</f>
        <v>9781846423239</v>
      </c>
      <c r="E2827" t="s">
        <v>2950</v>
      </c>
      <c r="F2827" t="s">
        <v>2950</v>
      </c>
      <c r="G2827" s="1">
        <v>37287</v>
      </c>
      <c r="H2827" s="1">
        <v>38225</v>
      </c>
      <c r="I2827" t="s">
        <v>12</v>
      </c>
      <c r="J2827" t="s">
        <v>13597</v>
      </c>
    </row>
    <row r="2828" spans="1:10" x14ac:dyDescent="0.25">
      <c r="A2828">
        <v>290797</v>
      </c>
      <c r="B2828" t="s">
        <v>2972</v>
      </c>
      <c r="C2828" t="str">
        <f>"9781843100492"</f>
        <v>9781843100492</v>
      </c>
      <c r="D2828" t="str">
        <f>"9781846423796"</f>
        <v>9781846423796</v>
      </c>
      <c r="E2828" t="s">
        <v>2950</v>
      </c>
      <c r="F2828" t="s">
        <v>2950</v>
      </c>
      <c r="G2828" s="1">
        <v>37610</v>
      </c>
      <c r="H2828" s="1">
        <v>38225</v>
      </c>
      <c r="I2828" t="s">
        <v>12</v>
      </c>
      <c r="J2828" t="s">
        <v>13598</v>
      </c>
    </row>
    <row r="2829" spans="1:10" x14ac:dyDescent="0.25">
      <c r="A2829">
        <v>290838</v>
      </c>
      <c r="B2829" t="s">
        <v>2973</v>
      </c>
      <c r="C2829" t="str">
        <f>"9781843101376"</f>
        <v>9781843101376</v>
      </c>
      <c r="D2829" t="str">
        <f>"9781846424205"</f>
        <v>9781846424205</v>
      </c>
      <c r="E2829" t="s">
        <v>2950</v>
      </c>
      <c r="F2829" t="s">
        <v>2950</v>
      </c>
      <c r="G2829" s="1">
        <v>37872</v>
      </c>
      <c r="H2829" s="1">
        <v>38225</v>
      </c>
      <c r="I2829" t="s">
        <v>12</v>
      </c>
      <c r="J2829" t="s">
        <v>13599</v>
      </c>
    </row>
    <row r="2830" spans="1:10" x14ac:dyDescent="0.25">
      <c r="A2830">
        <v>290846</v>
      </c>
      <c r="B2830" t="s">
        <v>2974</v>
      </c>
      <c r="C2830" t="str">
        <f>"9781843101710"</f>
        <v>9781843101710</v>
      </c>
      <c r="D2830" t="str">
        <f>"9781846424281"</f>
        <v>9781846424281</v>
      </c>
      <c r="E2830" t="s">
        <v>2950</v>
      </c>
      <c r="F2830" t="s">
        <v>2950</v>
      </c>
      <c r="G2830" s="1">
        <v>37893</v>
      </c>
      <c r="H2830" s="1">
        <v>38225</v>
      </c>
      <c r="I2830" t="s">
        <v>12</v>
      </c>
      <c r="J2830" t="s">
        <v>13600</v>
      </c>
    </row>
    <row r="2831" spans="1:10" x14ac:dyDescent="0.25">
      <c r="A2831">
        <v>290866</v>
      </c>
      <c r="B2831" t="s">
        <v>2975</v>
      </c>
      <c r="C2831" t="str">
        <f>"9781843103042"</f>
        <v>9781843103042</v>
      </c>
      <c r="D2831" t="str">
        <f>"9781846424519"</f>
        <v>9781846424519</v>
      </c>
      <c r="E2831" t="s">
        <v>2950</v>
      </c>
      <c r="F2831" t="s">
        <v>2950</v>
      </c>
      <c r="G2831" s="1">
        <v>38671</v>
      </c>
      <c r="H2831" s="1">
        <v>39022</v>
      </c>
      <c r="I2831" t="s">
        <v>12</v>
      </c>
      <c r="J2831" t="s">
        <v>13601</v>
      </c>
    </row>
    <row r="2832" spans="1:10" x14ac:dyDescent="0.25">
      <c r="A2832">
        <v>290869</v>
      </c>
      <c r="B2832" t="s">
        <v>2976</v>
      </c>
      <c r="C2832" t="str">
        <f>"9781843102700"</f>
        <v>9781843102700</v>
      </c>
      <c r="D2832" t="str">
        <f>"9781846424540"</f>
        <v>9781846424540</v>
      </c>
      <c r="E2832" t="s">
        <v>2950</v>
      </c>
      <c r="F2832" t="s">
        <v>2950</v>
      </c>
      <c r="G2832" s="1">
        <v>38681</v>
      </c>
      <c r="H2832" s="1">
        <v>39022</v>
      </c>
      <c r="I2832" t="s">
        <v>12</v>
      </c>
      <c r="J2832" t="s">
        <v>13602</v>
      </c>
    </row>
    <row r="2833" spans="1:10" x14ac:dyDescent="0.25">
      <c r="A2833">
        <v>290873</v>
      </c>
      <c r="B2833" t="s">
        <v>2977</v>
      </c>
      <c r="C2833" t="str">
        <f>"9781843108092"</f>
        <v>9781843108092</v>
      </c>
      <c r="D2833" t="str">
        <f>"9781846424588"</f>
        <v>9781846424588</v>
      </c>
      <c r="E2833" t="s">
        <v>2950</v>
      </c>
      <c r="F2833" t="s">
        <v>2950</v>
      </c>
      <c r="G2833" s="1">
        <v>38699</v>
      </c>
      <c r="H2833" s="1">
        <v>39022</v>
      </c>
      <c r="I2833" t="s">
        <v>12</v>
      </c>
      <c r="J2833" t="s">
        <v>13603</v>
      </c>
    </row>
    <row r="2834" spans="1:10" x14ac:dyDescent="0.25">
      <c r="A2834">
        <v>290881</v>
      </c>
      <c r="B2834" t="s">
        <v>2978</v>
      </c>
      <c r="C2834" t="str">
        <f>"9781843108153"</f>
        <v>9781843108153</v>
      </c>
      <c r="D2834" t="str">
        <f>"9781846424663"</f>
        <v>9781846424663</v>
      </c>
      <c r="E2834" t="s">
        <v>2950</v>
      </c>
      <c r="F2834" t="s">
        <v>2950</v>
      </c>
      <c r="G2834" s="1">
        <v>38702</v>
      </c>
      <c r="H2834" s="1">
        <v>39022</v>
      </c>
      <c r="I2834" t="s">
        <v>12</v>
      </c>
      <c r="J2834" t="s">
        <v>13604</v>
      </c>
    </row>
    <row r="2835" spans="1:10" x14ac:dyDescent="0.25">
      <c r="A2835">
        <v>290889</v>
      </c>
      <c r="B2835" t="s">
        <v>2979</v>
      </c>
      <c r="C2835" t="str">
        <f>"9781843103202"</f>
        <v>9781843103202</v>
      </c>
      <c r="D2835" t="str">
        <f>"9781846424748"</f>
        <v>9781846424748</v>
      </c>
      <c r="E2835" t="s">
        <v>2950</v>
      </c>
      <c r="F2835" t="s">
        <v>2950</v>
      </c>
      <c r="G2835" s="1">
        <v>38744</v>
      </c>
      <c r="H2835" s="1">
        <v>39022</v>
      </c>
      <c r="I2835" t="s">
        <v>12</v>
      </c>
      <c r="J2835" t="s">
        <v>13605</v>
      </c>
    </row>
    <row r="2836" spans="1:10" x14ac:dyDescent="0.25">
      <c r="A2836">
        <v>290891</v>
      </c>
      <c r="B2836" t="s">
        <v>2980</v>
      </c>
      <c r="C2836" t="str">
        <f>"9781843102762"</f>
        <v>9781843102762</v>
      </c>
      <c r="D2836" t="str">
        <f>"9781846424762"</f>
        <v>9781846424762</v>
      </c>
      <c r="E2836" t="s">
        <v>2950</v>
      </c>
      <c r="F2836" t="s">
        <v>2950</v>
      </c>
      <c r="G2836" s="1">
        <v>38747</v>
      </c>
      <c r="H2836" s="1">
        <v>39022</v>
      </c>
      <c r="I2836" t="s">
        <v>12</v>
      </c>
      <c r="J2836" t="s">
        <v>13606</v>
      </c>
    </row>
    <row r="2837" spans="1:10" x14ac:dyDescent="0.25">
      <c r="A2837">
        <v>290893</v>
      </c>
      <c r="B2837" t="s">
        <v>2981</v>
      </c>
      <c r="C2837" t="str">
        <f>"9781843102724"</f>
        <v>9781843102724</v>
      </c>
      <c r="D2837" t="str">
        <f>"9781846424786"</f>
        <v>9781846424786</v>
      </c>
      <c r="E2837" t="s">
        <v>2950</v>
      </c>
      <c r="F2837" t="s">
        <v>2950</v>
      </c>
      <c r="G2837" s="1">
        <v>38751</v>
      </c>
      <c r="H2837" s="1">
        <v>39022</v>
      </c>
      <c r="I2837" t="s">
        <v>12</v>
      </c>
      <c r="J2837" t="s">
        <v>13607</v>
      </c>
    </row>
    <row r="2838" spans="1:10" x14ac:dyDescent="0.25">
      <c r="A2838">
        <v>290896</v>
      </c>
      <c r="B2838" t="s">
        <v>2982</v>
      </c>
      <c r="C2838" t="str">
        <f>"9781853027505"</f>
        <v>9781853027505</v>
      </c>
      <c r="D2838" t="str">
        <f>"9781846424816"</f>
        <v>9781846424816</v>
      </c>
      <c r="E2838" t="s">
        <v>2950</v>
      </c>
      <c r="F2838" t="s">
        <v>2950</v>
      </c>
      <c r="G2838" s="1">
        <v>38756</v>
      </c>
      <c r="H2838" s="1">
        <v>39022</v>
      </c>
      <c r="I2838" t="s">
        <v>12</v>
      </c>
      <c r="J2838" t="s">
        <v>13608</v>
      </c>
    </row>
    <row r="2839" spans="1:10" x14ac:dyDescent="0.25">
      <c r="A2839">
        <v>290897</v>
      </c>
      <c r="B2839" t="s">
        <v>2983</v>
      </c>
      <c r="C2839" t="str">
        <f>"9781843102588"</f>
        <v>9781843102588</v>
      </c>
      <c r="D2839" t="str">
        <f>"9781846424823"</f>
        <v>9781846424823</v>
      </c>
      <c r="E2839" t="s">
        <v>2950</v>
      </c>
      <c r="F2839" t="s">
        <v>2950</v>
      </c>
      <c r="G2839" s="1">
        <v>38756</v>
      </c>
      <c r="H2839" s="1">
        <v>39022</v>
      </c>
      <c r="I2839" t="s">
        <v>12</v>
      </c>
      <c r="J2839" t="s">
        <v>13609</v>
      </c>
    </row>
    <row r="2840" spans="1:10" x14ac:dyDescent="0.25">
      <c r="A2840">
        <v>290901</v>
      </c>
      <c r="B2840" t="s">
        <v>2984</v>
      </c>
      <c r="C2840" t="str">
        <f>"9781843102915"</f>
        <v>9781843102915</v>
      </c>
      <c r="D2840" t="str">
        <f>"9781846424861"</f>
        <v>9781846424861</v>
      </c>
      <c r="E2840" t="s">
        <v>2950</v>
      </c>
      <c r="F2840" t="s">
        <v>2950</v>
      </c>
      <c r="G2840" s="1">
        <v>38765</v>
      </c>
      <c r="H2840" s="1">
        <v>39022</v>
      </c>
      <c r="I2840" t="s">
        <v>12</v>
      </c>
      <c r="J2840" t="s">
        <v>13610</v>
      </c>
    </row>
    <row r="2841" spans="1:10" x14ac:dyDescent="0.25">
      <c r="A2841">
        <v>290905</v>
      </c>
      <c r="B2841" t="s">
        <v>2985</v>
      </c>
      <c r="C2841" t="str">
        <f>"9781843108238"</f>
        <v>9781843108238</v>
      </c>
      <c r="D2841" t="str">
        <f>"9781846424908"</f>
        <v>9781846424908</v>
      </c>
      <c r="E2841" t="s">
        <v>2950</v>
      </c>
      <c r="F2841" t="s">
        <v>2950</v>
      </c>
      <c r="G2841" s="1">
        <v>38791</v>
      </c>
      <c r="H2841" s="1">
        <v>39022</v>
      </c>
      <c r="I2841" t="s">
        <v>12</v>
      </c>
      <c r="J2841" t="s">
        <v>13611</v>
      </c>
    </row>
    <row r="2842" spans="1:10" x14ac:dyDescent="0.25">
      <c r="A2842">
        <v>290906</v>
      </c>
      <c r="B2842" t="s">
        <v>2986</v>
      </c>
      <c r="C2842" t="str">
        <f>"9781843103950"</f>
        <v>9781843103950</v>
      </c>
      <c r="D2842" t="str">
        <f>"9781846424915"</f>
        <v>9781846424915</v>
      </c>
      <c r="E2842" t="s">
        <v>2950</v>
      </c>
      <c r="F2842" t="s">
        <v>2950</v>
      </c>
      <c r="G2842" s="1">
        <v>38791</v>
      </c>
      <c r="H2842" s="1">
        <v>39022</v>
      </c>
      <c r="I2842" t="s">
        <v>12</v>
      </c>
      <c r="J2842" t="s">
        <v>13612</v>
      </c>
    </row>
    <row r="2843" spans="1:10" x14ac:dyDescent="0.25">
      <c r="A2843">
        <v>290907</v>
      </c>
      <c r="B2843" t="s">
        <v>2987</v>
      </c>
      <c r="C2843" t="str">
        <f>"9781843103394"</f>
        <v>9781843103394</v>
      </c>
      <c r="D2843" t="str">
        <f>"9781846424922"</f>
        <v>9781846424922</v>
      </c>
      <c r="E2843" t="s">
        <v>2950</v>
      </c>
      <c r="F2843" t="s">
        <v>2950</v>
      </c>
      <c r="G2843" s="1">
        <v>38793</v>
      </c>
      <c r="H2843" s="1">
        <v>39022</v>
      </c>
      <c r="I2843" t="s">
        <v>12</v>
      </c>
      <c r="J2843" t="s">
        <v>13613</v>
      </c>
    </row>
    <row r="2844" spans="1:10" x14ac:dyDescent="0.25">
      <c r="A2844">
        <v>290912</v>
      </c>
      <c r="B2844" t="s">
        <v>2988</v>
      </c>
      <c r="C2844" t="str">
        <f>"9781843103936"</f>
        <v>9781843103936</v>
      </c>
      <c r="D2844" t="str">
        <f>"9781846424977"</f>
        <v>9781846424977</v>
      </c>
      <c r="E2844" t="s">
        <v>2950</v>
      </c>
      <c r="F2844" t="s">
        <v>2950</v>
      </c>
      <c r="G2844" s="1">
        <v>38800</v>
      </c>
      <c r="H2844" s="1">
        <v>39022</v>
      </c>
      <c r="I2844" t="s">
        <v>12</v>
      </c>
      <c r="J2844" t="s">
        <v>13614</v>
      </c>
    </row>
    <row r="2845" spans="1:10" x14ac:dyDescent="0.25">
      <c r="A2845">
        <v>290920</v>
      </c>
      <c r="B2845" t="s">
        <v>2989</v>
      </c>
      <c r="C2845" t="str">
        <f>"9781843108078"</f>
        <v>9781843108078</v>
      </c>
      <c r="D2845" t="str">
        <f>"9781846425066"</f>
        <v>9781846425066</v>
      </c>
      <c r="E2845" t="s">
        <v>2950</v>
      </c>
      <c r="F2845" t="s">
        <v>2950</v>
      </c>
      <c r="G2845" s="1">
        <v>38834</v>
      </c>
      <c r="H2845" s="1">
        <v>39107</v>
      </c>
      <c r="I2845" t="s">
        <v>12</v>
      </c>
      <c r="J2845" t="s">
        <v>13615</v>
      </c>
    </row>
    <row r="2846" spans="1:10" x14ac:dyDescent="0.25">
      <c r="A2846">
        <v>290930</v>
      </c>
      <c r="B2846" t="s">
        <v>2990</v>
      </c>
      <c r="C2846" t="str">
        <f>"9781843104001"</f>
        <v>9781843104001</v>
      </c>
      <c r="D2846" t="str">
        <f>"9781846425172"</f>
        <v>9781846425172</v>
      </c>
      <c r="E2846" t="s">
        <v>2950</v>
      </c>
      <c r="F2846" t="s">
        <v>2950</v>
      </c>
      <c r="G2846" s="1">
        <v>38876</v>
      </c>
      <c r="H2846" s="1">
        <v>39107</v>
      </c>
      <c r="I2846" t="s">
        <v>12</v>
      </c>
      <c r="J2846" t="s">
        <v>13616</v>
      </c>
    </row>
    <row r="2847" spans="1:10" x14ac:dyDescent="0.25">
      <c r="A2847">
        <v>290934</v>
      </c>
      <c r="B2847" t="s">
        <v>2991</v>
      </c>
      <c r="C2847" t="str">
        <f>"9781843103387"</f>
        <v>9781843103387</v>
      </c>
      <c r="D2847" t="str">
        <f>"9781846425219"</f>
        <v>9781846425219</v>
      </c>
      <c r="E2847" t="s">
        <v>2950</v>
      </c>
      <c r="F2847" t="s">
        <v>2950</v>
      </c>
      <c r="G2847" s="1">
        <v>38883</v>
      </c>
      <c r="H2847" s="1">
        <v>39107</v>
      </c>
      <c r="I2847" t="s">
        <v>12</v>
      </c>
      <c r="J2847" t="s">
        <v>13617</v>
      </c>
    </row>
    <row r="2848" spans="1:10" x14ac:dyDescent="0.25">
      <c r="A2848">
        <v>290938</v>
      </c>
      <c r="B2848" t="s">
        <v>2992</v>
      </c>
      <c r="C2848" t="str">
        <f>"9781843104407"</f>
        <v>9781843104407</v>
      </c>
      <c r="D2848" t="str">
        <f>"9781846425257"</f>
        <v>9781846425257</v>
      </c>
      <c r="E2848" t="s">
        <v>2950</v>
      </c>
      <c r="F2848" t="s">
        <v>2950</v>
      </c>
      <c r="G2848" s="1">
        <v>38883</v>
      </c>
      <c r="H2848" s="1">
        <v>39107</v>
      </c>
      <c r="I2848" t="s">
        <v>12</v>
      </c>
      <c r="J2848" t="s">
        <v>13618</v>
      </c>
    </row>
    <row r="2849" spans="1:10" x14ac:dyDescent="0.25">
      <c r="A2849">
        <v>290943</v>
      </c>
      <c r="B2849" t="s">
        <v>2993</v>
      </c>
      <c r="C2849" t="str">
        <f>"9781843103653"</f>
        <v>9781843103653</v>
      </c>
      <c r="D2849" t="str">
        <f>"9781846425301"</f>
        <v>9781846425301</v>
      </c>
      <c r="E2849" t="s">
        <v>2950</v>
      </c>
      <c r="F2849" t="s">
        <v>2950</v>
      </c>
      <c r="G2849" s="1">
        <v>38883</v>
      </c>
      <c r="H2849" s="1">
        <v>42349</v>
      </c>
      <c r="I2849" t="s">
        <v>12</v>
      </c>
      <c r="J2849" t="s">
        <v>13619</v>
      </c>
    </row>
    <row r="2850" spans="1:10" x14ac:dyDescent="0.25">
      <c r="A2850">
        <v>290944</v>
      </c>
      <c r="B2850" t="s">
        <v>2994</v>
      </c>
      <c r="C2850" t="str">
        <f>"9781843103820"</f>
        <v>9781843103820</v>
      </c>
      <c r="D2850" t="str">
        <f>"9781846425318"</f>
        <v>9781846425318</v>
      </c>
      <c r="E2850" t="s">
        <v>2950</v>
      </c>
      <c r="F2850" t="s">
        <v>2950</v>
      </c>
      <c r="G2850" s="1">
        <v>38883</v>
      </c>
      <c r="H2850" s="1">
        <v>39107</v>
      </c>
      <c r="I2850" t="s">
        <v>12</v>
      </c>
      <c r="J2850" t="s">
        <v>13620</v>
      </c>
    </row>
    <row r="2851" spans="1:10" x14ac:dyDescent="0.25">
      <c r="A2851">
        <v>290948</v>
      </c>
      <c r="B2851" t="s">
        <v>2995</v>
      </c>
      <c r="C2851" t="str">
        <f>"9781843103189"</f>
        <v>9781843103189</v>
      </c>
      <c r="D2851" t="str">
        <f>"9781846425356"</f>
        <v>9781846425356</v>
      </c>
      <c r="E2851" t="s">
        <v>2950</v>
      </c>
      <c r="F2851" t="s">
        <v>2950</v>
      </c>
      <c r="G2851" s="1">
        <v>38894</v>
      </c>
      <c r="H2851" s="1">
        <v>39107</v>
      </c>
      <c r="I2851" t="s">
        <v>12</v>
      </c>
      <c r="J2851" t="s">
        <v>13621</v>
      </c>
    </row>
    <row r="2852" spans="1:10" x14ac:dyDescent="0.25">
      <c r="A2852">
        <v>290953</v>
      </c>
      <c r="B2852" t="s">
        <v>2996</v>
      </c>
      <c r="C2852" t="str">
        <f>"9781843104674"</f>
        <v>9781843104674</v>
      </c>
      <c r="D2852" t="str">
        <f>"9781846425400"</f>
        <v>9781846425400</v>
      </c>
      <c r="E2852" t="s">
        <v>2950</v>
      </c>
      <c r="F2852" t="s">
        <v>2950</v>
      </c>
      <c r="G2852" s="1">
        <v>38913</v>
      </c>
      <c r="H2852" s="1">
        <v>39107</v>
      </c>
      <c r="I2852" t="s">
        <v>12</v>
      </c>
      <c r="J2852" t="s">
        <v>13622</v>
      </c>
    </row>
    <row r="2853" spans="1:10" x14ac:dyDescent="0.25">
      <c r="A2853">
        <v>291051</v>
      </c>
      <c r="B2853" t="s">
        <v>2997</v>
      </c>
      <c r="C2853" t="str">
        <f>"9780816049547"</f>
        <v>9780816049547</v>
      </c>
      <c r="D2853" t="str">
        <f>"9780816068753"</f>
        <v>9780816068753</v>
      </c>
      <c r="E2853" t="s">
        <v>2998</v>
      </c>
      <c r="F2853" t="s">
        <v>2999</v>
      </c>
      <c r="G2853" s="1">
        <v>37991</v>
      </c>
      <c r="H2853" s="1">
        <v>39202</v>
      </c>
      <c r="I2853" t="s">
        <v>12</v>
      </c>
      <c r="J2853" t="s">
        <v>13623</v>
      </c>
    </row>
    <row r="2854" spans="1:10" x14ac:dyDescent="0.25">
      <c r="A2854">
        <v>291057</v>
      </c>
      <c r="B2854" t="s">
        <v>3000</v>
      </c>
      <c r="C2854" t="str">
        <f>"9781894663731"</f>
        <v>9781894663731</v>
      </c>
      <c r="D2854" t="str">
        <f>"9781897415238"</f>
        <v>9781897415238</v>
      </c>
      <c r="E2854" t="s">
        <v>3001</v>
      </c>
      <c r="F2854" t="s">
        <v>3001</v>
      </c>
      <c r="G2854" s="1">
        <v>38200</v>
      </c>
      <c r="H2854" s="1">
        <v>39203</v>
      </c>
      <c r="I2854" t="s">
        <v>12</v>
      </c>
      <c r="J2854" t="s">
        <v>13624</v>
      </c>
    </row>
    <row r="2855" spans="1:10" x14ac:dyDescent="0.25">
      <c r="A2855">
        <v>291063</v>
      </c>
      <c r="B2855" t="s">
        <v>3002</v>
      </c>
      <c r="C2855" t="str">
        <f>"9781894663656"</f>
        <v>9781894663656</v>
      </c>
      <c r="D2855" t="str">
        <f>"9781897415061"</f>
        <v>9781897415061</v>
      </c>
      <c r="E2855" t="s">
        <v>3001</v>
      </c>
      <c r="F2855" t="s">
        <v>3003</v>
      </c>
      <c r="G2855" s="1">
        <v>36770</v>
      </c>
      <c r="H2855" s="1">
        <v>39202</v>
      </c>
      <c r="I2855" t="s">
        <v>12</v>
      </c>
      <c r="J2855" t="s">
        <v>13625</v>
      </c>
    </row>
    <row r="2856" spans="1:10" x14ac:dyDescent="0.25">
      <c r="A2856">
        <v>291080</v>
      </c>
      <c r="B2856" t="s">
        <v>3004</v>
      </c>
      <c r="C2856" t="str">
        <f>"9780816053940"</f>
        <v>9780816053940</v>
      </c>
      <c r="D2856" t="str">
        <f>"9780816069705"</f>
        <v>9780816069705</v>
      </c>
      <c r="E2856" t="s">
        <v>2998</v>
      </c>
      <c r="F2856" t="s">
        <v>2999</v>
      </c>
      <c r="G2856" s="1">
        <v>38353</v>
      </c>
      <c r="H2856" s="1">
        <v>39202</v>
      </c>
      <c r="I2856" t="s">
        <v>12</v>
      </c>
      <c r="J2856" t="s">
        <v>13626</v>
      </c>
    </row>
    <row r="2857" spans="1:10" x14ac:dyDescent="0.25">
      <c r="A2857">
        <v>291084</v>
      </c>
      <c r="B2857" t="s">
        <v>3005</v>
      </c>
      <c r="C2857" t="str">
        <f>"9780816053117"</f>
        <v>9780816053117</v>
      </c>
      <c r="D2857" t="str">
        <f>"9780816069767"</f>
        <v>9780816069767</v>
      </c>
      <c r="E2857" t="s">
        <v>2998</v>
      </c>
      <c r="F2857" t="s">
        <v>2999</v>
      </c>
      <c r="G2857" s="1">
        <v>38363</v>
      </c>
      <c r="H2857" s="1">
        <v>39202</v>
      </c>
      <c r="I2857" t="s">
        <v>12</v>
      </c>
      <c r="J2857" t="s">
        <v>13627</v>
      </c>
    </row>
    <row r="2858" spans="1:10" x14ac:dyDescent="0.25">
      <c r="A2858">
        <v>291086</v>
      </c>
      <c r="B2858" t="s">
        <v>3006</v>
      </c>
      <c r="C2858" t="str">
        <f>"9780816053124"</f>
        <v>9780816053124</v>
      </c>
      <c r="D2858" t="str">
        <f>"9780816069774"</f>
        <v>9780816069774</v>
      </c>
      <c r="E2858" t="s">
        <v>2998</v>
      </c>
      <c r="F2858" t="s">
        <v>2999</v>
      </c>
      <c r="G2858" s="1">
        <v>38363</v>
      </c>
      <c r="H2858" s="1">
        <v>39202</v>
      </c>
      <c r="I2858" t="s">
        <v>12</v>
      </c>
      <c r="J2858" t="s">
        <v>13628</v>
      </c>
    </row>
    <row r="2859" spans="1:10" x14ac:dyDescent="0.25">
      <c r="A2859">
        <v>291121</v>
      </c>
      <c r="B2859" t="s">
        <v>3007</v>
      </c>
      <c r="C2859" t="str">
        <f>"9780791082256"</f>
        <v>9780791082256</v>
      </c>
      <c r="D2859" t="str">
        <f>"9780791093757"</f>
        <v>9780791093757</v>
      </c>
      <c r="E2859" t="s">
        <v>2998</v>
      </c>
      <c r="F2859" t="s">
        <v>3008</v>
      </c>
      <c r="G2859" s="1">
        <v>37998</v>
      </c>
      <c r="H2859" s="1">
        <v>39202</v>
      </c>
      <c r="I2859" t="s">
        <v>12</v>
      </c>
      <c r="J2859" t="s">
        <v>13629</v>
      </c>
    </row>
    <row r="2860" spans="1:10" x14ac:dyDescent="0.25">
      <c r="A2860">
        <v>291123</v>
      </c>
      <c r="B2860" t="s">
        <v>3009</v>
      </c>
      <c r="C2860" t="str">
        <f>"9780816049561"</f>
        <v>9780816049561</v>
      </c>
      <c r="D2860" t="str">
        <f>"9780816068739"</f>
        <v>9780816068739</v>
      </c>
      <c r="E2860" t="s">
        <v>2998</v>
      </c>
      <c r="F2860" t="s">
        <v>2999</v>
      </c>
      <c r="G2860" s="1">
        <v>37991</v>
      </c>
      <c r="H2860" s="1">
        <v>39202</v>
      </c>
      <c r="I2860" t="s">
        <v>12</v>
      </c>
      <c r="J2860" t="s">
        <v>13630</v>
      </c>
    </row>
    <row r="2861" spans="1:10" x14ac:dyDescent="0.25">
      <c r="A2861">
        <v>291129</v>
      </c>
      <c r="B2861" t="s">
        <v>3010</v>
      </c>
      <c r="C2861" t="str">
        <f>"9780816053155"</f>
        <v>9780816053155</v>
      </c>
      <c r="D2861" t="str">
        <f>"9780816069804"</f>
        <v>9780816069804</v>
      </c>
      <c r="E2861" t="s">
        <v>2998</v>
      </c>
      <c r="F2861" t="s">
        <v>2999</v>
      </c>
      <c r="G2861" s="1">
        <v>38363</v>
      </c>
      <c r="H2861" s="1">
        <v>39202</v>
      </c>
      <c r="I2861" t="s">
        <v>12</v>
      </c>
      <c r="J2861" t="s">
        <v>13631</v>
      </c>
    </row>
    <row r="2862" spans="1:10" x14ac:dyDescent="0.25">
      <c r="A2862">
        <v>291134</v>
      </c>
      <c r="B2862" t="s">
        <v>3011</v>
      </c>
      <c r="C2862" t="str">
        <f>"9780816054947"</f>
        <v>9780816054947</v>
      </c>
      <c r="D2862" t="str">
        <f>"9780816069842"</f>
        <v>9780816069842</v>
      </c>
      <c r="E2862" t="s">
        <v>2998</v>
      </c>
      <c r="F2862" t="s">
        <v>2999</v>
      </c>
      <c r="G2862" s="1">
        <v>38353</v>
      </c>
      <c r="H2862" s="1">
        <v>39202</v>
      </c>
      <c r="I2862" t="s">
        <v>12</v>
      </c>
      <c r="J2862" t="s">
        <v>13632</v>
      </c>
    </row>
    <row r="2863" spans="1:10" x14ac:dyDescent="0.25">
      <c r="A2863">
        <v>291138</v>
      </c>
      <c r="B2863" t="s">
        <v>3012</v>
      </c>
      <c r="C2863" t="str">
        <f>"9780816055241"</f>
        <v>9780816055241</v>
      </c>
      <c r="D2863" t="str">
        <f>"9780816072361"</f>
        <v>9780816072361</v>
      </c>
      <c r="E2863" t="s">
        <v>2998</v>
      </c>
      <c r="F2863" t="s">
        <v>3013</v>
      </c>
      <c r="G2863" s="1">
        <v>37990</v>
      </c>
      <c r="H2863" s="1">
        <v>39202</v>
      </c>
      <c r="I2863" t="s">
        <v>12</v>
      </c>
      <c r="J2863" t="s">
        <v>13633</v>
      </c>
    </row>
    <row r="2864" spans="1:10" x14ac:dyDescent="0.25">
      <c r="A2864">
        <v>291175</v>
      </c>
      <c r="B2864" t="s">
        <v>3014</v>
      </c>
      <c r="C2864" t="str">
        <f>"9780816053100"</f>
        <v>9780816053100</v>
      </c>
      <c r="D2864" t="str">
        <f>"9780816069750"</f>
        <v>9780816069750</v>
      </c>
      <c r="E2864" t="s">
        <v>2998</v>
      </c>
      <c r="F2864" t="s">
        <v>2999</v>
      </c>
      <c r="G2864" s="1">
        <v>38363</v>
      </c>
      <c r="H2864" s="1">
        <v>39202</v>
      </c>
      <c r="I2864" t="s">
        <v>12</v>
      </c>
      <c r="J2864" t="s">
        <v>13634</v>
      </c>
    </row>
    <row r="2865" spans="1:10" x14ac:dyDescent="0.25">
      <c r="A2865">
        <v>291321</v>
      </c>
      <c r="B2865" t="s">
        <v>3015</v>
      </c>
      <c r="C2865" t="str">
        <f>"9780826137845"</f>
        <v>9780826137845</v>
      </c>
      <c r="D2865" t="str">
        <f>"9780826137852"</f>
        <v>9780826137852</v>
      </c>
      <c r="E2865" t="s">
        <v>3016</v>
      </c>
      <c r="F2865" t="s">
        <v>3016</v>
      </c>
      <c r="G2865" s="1">
        <v>38718</v>
      </c>
      <c r="H2865" s="1">
        <v>39187</v>
      </c>
      <c r="I2865" t="s">
        <v>12</v>
      </c>
      <c r="J2865" t="s">
        <v>13635</v>
      </c>
    </row>
    <row r="2866" spans="1:10" x14ac:dyDescent="0.25">
      <c r="A2866">
        <v>291325</v>
      </c>
      <c r="B2866" t="s">
        <v>3017</v>
      </c>
      <c r="C2866" t="str">
        <f>"9780826102065"</f>
        <v>9780826102065</v>
      </c>
      <c r="D2866" t="str">
        <f>"9780826103284"</f>
        <v>9780826103284</v>
      </c>
      <c r="E2866" t="s">
        <v>3016</v>
      </c>
      <c r="F2866" t="s">
        <v>3016</v>
      </c>
      <c r="G2866" s="1">
        <v>38718</v>
      </c>
      <c r="H2866" s="1">
        <v>39187</v>
      </c>
      <c r="I2866" t="s">
        <v>12</v>
      </c>
      <c r="J2866" t="s">
        <v>13636</v>
      </c>
    </row>
    <row r="2867" spans="1:10" x14ac:dyDescent="0.25">
      <c r="A2867">
        <v>291326</v>
      </c>
      <c r="B2867" t="s">
        <v>3018</v>
      </c>
      <c r="C2867" t="str">
        <f>"9780826148438"</f>
        <v>9780826148438</v>
      </c>
      <c r="D2867" t="str">
        <f>"9780826148445"</f>
        <v>9780826148445</v>
      </c>
      <c r="E2867" t="s">
        <v>3016</v>
      </c>
      <c r="F2867" t="s">
        <v>3016</v>
      </c>
      <c r="G2867" s="1">
        <v>39052</v>
      </c>
      <c r="H2867" s="1">
        <v>39187</v>
      </c>
      <c r="I2867" t="s">
        <v>12</v>
      </c>
      <c r="J2867" t="s">
        <v>13637</v>
      </c>
    </row>
    <row r="2868" spans="1:10" x14ac:dyDescent="0.25">
      <c r="A2868">
        <v>291340</v>
      </c>
      <c r="B2868" t="s">
        <v>3019</v>
      </c>
      <c r="C2868" t="str">
        <f>"9780826102102"</f>
        <v>9780826102102</v>
      </c>
      <c r="D2868" t="str">
        <f>"9780826100009"</f>
        <v>9780826100009</v>
      </c>
      <c r="E2868" t="s">
        <v>3016</v>
      </c>
      <c r="F2868" t="s">
        <v>3016</v>
      </c>
      <c r="G2868" s="1">
        <v>38718</v>
      </c>
      <c r="H2868" s="1">
        <v>39187</v>
      </c>
      <c r="I2868" t="s">
        <v>12</v>
      </c>
      <c r="J2868" t="s">
        <v>13638</v>
      </c>
    </row>
    <row r="2869" spans="1:10" x14ac:dyDescent="0.25">
      <c r="A2869">
        <v>291346</v>
      </c>
      <c r="B2869" t="s">
        <v>3020</v>
      </c>
      <c r="C2869" t="str">
        <f>"9780826173843"</f>
        <v>9780826173843</v>
      </c>
      <c r="D2869" t="str">
        <f>"9780826173850"</f>
        <v>9780826173850</v>
      </c>
      <c r="E2869" t="s">
        <v>3016</v>
      </c>
      <c r="F2869" t="s">
        <v>3016</v>
      </c>
      <c r="G2869" s="1">
        <v>37257</v>
      </c>
      <c r="H2869" s="1">
        <v>39187</v>
      </c>
      <c r="I2869" t="s">
        <v>12</v>
      </c>
      <c r="J2869" t="s">
        <v>13639</v>
      </c>
    </row>
    <row r="2870" spans="1:10" x14ac:dyDescent="0.25">
      <c r="A2870">
        <v>291374</v>
      </c>
      <c r="B2870" t="s">
        <v>3021</v>
      </c>
      <c r="C2870" t="str">
        <f>"9780415967945"</f>
        <v>9780415967945</v>
      </c>
      <c r="D2870" t="str">
        <f>"9780203957721"</f>
        <v>9780203957721</v>
      </c>
      <c r="E2870" t="s">
        <v>15</v>
      </c>
      <c r="F2870" t="s">
        <v>16</v>
      </c>
      <c r="G2870" s="1">
        <v>41773</v>
      </c>
      <c r="H2870" s="1">
        <v>39920</v>
      </c>
      <c r="I2870" t="s">
        <v>12</v>
      </c>
      <c r="J2870" t="s">
        <v>13640</v>
      </c>
    </row>
    <row r="2871" spans="1:10" x14ac:dyDescent="0.25">
      <c r="A2871">
        <v>291386</v>
      </c>
      <c r="B2871" t="s">
        <v>3022</v>
      </c>
      <c r="C2871" t="str">
        <f>"9780415972789"</f>
        <v>9780415972789</v>
      </c>
      <c r="D2871" t="str">
        <f>"9780203958636"</f>
        <v>9780203958636</v>
      </c>
      <c r="E2871" t="s">
        <v>15</v>
      </c>
      <c r="F2871" t="s">
        <v>16</v>
      </c>
      <c r="G2871" s="1">
        <v>38847</v>
      </c>
      <c r="H2871" s="1">
        <v>39191</v>
      </c>
      <c r="I2871" t="s">
        <v>12</v>
      </c>
      <c r="J2871" t="s">
        <v>13641</v>
      </c>
    </row>
    <row r="2872" spans="1:10" x14ac:dyDescent="0.25">
      <c r="A2872">
        <v>291389</v>
      </c>
      <c r="B2872" t="s">
        <v>3023</v>
      </c>
      <c r="C2872" t="str">
        <f>"9780824790240"</f>
        <v>9780824790240</v>
      </c>
      <c r="D2872" t="str">
        <f>"9781420051537"</f>
        <v>9781420051537</v>
      </c>
      <c r="E2872" t="s">
        <v>15</v>
      </c>
      <c r="F2872" t="s">
        <v>139</v>
      </c>
      <c r="G2872" s="1">
        <v>39213</v>
      </c>
      <c r="H2872" s="1">
        <v>39210</v>
      </c>
      <c r="I2872" t="s">
        <v>12</v>
      </c>
      <c r="J2872" t="s">
        <v>13642</v>
      </c>
    </row>
    <row r="2873" spans="1:10" x14ac:dyDescent="0.25">
      <c r="A2873">
        <v>291393</v>
      </c>
      <c r="B2873" t="s">
        <v>3024</v>
      </c>
      <c r="C2873" t="str">
        <f>"9781841694382"</f>
        <v>9781841694382</v>
      </c>
      <c r="D2873" t="str">
        <f>"9780203942901"</f>
        <v>9780203942901</v>
      </c>
      <c r="E2873" t="s">
        <v>15</v>
      </c>
      <c r="F2873" t="s">
        <v>55</v>
      </c>
      <c r="G2873" s="1">
        <v>38730</v>
      </c>
      <c r="H2873" s="1">
        <v>39199</v>
      </c>
      <c r="I2873" t="s">
        <v>12</v>
      </c>
      <c r="J2873" t="s">
        <v>13643</v>
      </c>
    </row>
    <row r="2874" spans="1:10" x14ac:dyDescent="0.25">
      <c r="A2874">
        <v>291399</v>
      </c>
      <c r="B2874" t="s">
        <v>3025</v>
      </c>
      <c r="C2874" t="str">
        <f>"9780415965910"</f>
        <v>9780415965910</v>
      </c>
      <c r="D2874" t="str">
        <f>"9781135888749"</f>
        <v>9781135888749</v>
      </c>
      <c r="E2874" t="s">
        <v>15</v>
      </c>
      <c r="F2874" t="s">
        <v>16</v>
      </c>
      <c r="G2874" s="1">
        <v>38981</v>
      </c>
      <c r="H2874" s="1">
        <v>39191</v>
      </c>
      <c r="I2874" t="s">
        <v>12</v>
      </c>
      <c r="J2874" t="s">
        <v>13644</v>
      </c>
    </row>
    <row r="2875" spans="1:10" x14ac:dyDescent="0.25">
      <c r="A2875">
        <v>291502</v>
      </c>
      <c r="B2875" t="s">
        <v>3026</v>
      </c>
      <c r="C2875" t="str">
        <f>"9780520260054"</f>
        <v>9780520260054</v>
      </c>
      <c r="D2875" t="str">
        <f>"9780520932821"</f>
        <v>9780520932821</v>
      </c>
      <c r="E2875" t="s">
        <v>2000</v>
      </c>
      <c r="F2875" t="s">
        <v>2000</v>
      </c>
      <c r="G2875" s="1">
        <v>39125</v>
      </c>
      <c r="H2875" s="1">
        <v>42328</v>
      </c>
      <c r="I2875" t="s">
        <v>12</v>
      </c>
      <c r="J2875" t="s">
        <v>13645</v>
      </c>
    </row>
    <row r="2876" spans="1:10" x14ac:dyDescent="0.25">
      <c r="A2876">
        <v>291504</v>
      </c>
      <c r="B2876" t="s">
        <v>3027</v>
      </c>
      <c r="C2876" t="str">
        <f>"9780520251236"</f>
        <v>9780520251236</v>
      </c>
      <c r="D2876" t="str">
        <f>"9780520940710"</f>
        <v>9780520940710</v>
      </c>
      <c r="E2876" t="s">
        <v>2000</v>
      </c>
      <c r="F2876" t="s">
        <v>2000</v>
      </c>
      <c r="G2876" s="1">
        <v>39204</v>
      </c>
      <c r="H2876" s="1">
        <v>42328</v>
      </c>
      <c r="I2876" t="s">
        <v>12</v>
      </c>
      <c r="J2876" t="s">
        <v>13646</v>
      </c>
    </row>
    <row r="2877" spans="1:10" x14ac:dyDescent="0.25">
      <c r="A2877">
        <v>291505</v>
      </c>
      <c r="B2877" t="s">
        <v>3028</v>
      </c>
      <c r="C2877" t="str">
        <f>"9780520258037"</f>
        <v>9780520258037</v>
      </c>
      <c r="D2877" t="str">
        <f>"9780520933644"</f>
        <v>9780520933644</v>
      </c>
      <c r="E2877" t="s">
        <v>2000</v>
      </c>
      <c r="F2877" t="s">
        <v>2000</v>
      </c>
      <c r="G2877" s="1">
        <v>39204</v>
      </c>
      <c r="H2877" s="1">
        <v>39191</v>
      </c>
      <c r="I2877" t="s">
        <v>12</v>
      </c>
      <c r="J2877" t="s">
        <v>13647</v>
      </c>
    </row>
    <row r="2878" spans="1:10" x14ac:dyDescent="0.25">
      <c r="A2878">
        <v>291551</v>
      </c>
      <c r="B2878" t="s">
        <v>3029</v>
      </c>
      <c r="C2878" t="str">
        <f>"9781846633881"</f>
        <v>9781846633881</v>
      </c>
      <c r="D2878" t="str">
        <f>"9781846633898"</f>
        <v>9781846633898</v>
      </c>
      <c r="E2878" t="s">
        <v>1116</v>
      </c>
      <c r="F2878" t="s">
        <v>1117</v>
      </c>
      <c r="G2878" s="1">
        <v>39220</v>
      </c>
      <c r="H2878" s="1">
        <v>39219</v>
      </c>
      <c r="I2878" t="s">
        <v>1504</v>
      </c>
      <c r="J2878" t="s">
        <v>13648</v>
      </c>
    </row>
    <row r="2879" spans="1:10" x14ac:dyDescent="0.25">
      <c r="A2879">
        <v>291553</v>
      </c>
      <c r="B2879" t="s">
        <v>3030</v>
      </c>
      <c r="C2879" t="str">
        <f>"9781846633300"</f>
        <v>9781846633300</v>
      </c>
      <c r="D2879" t="str">
        <f>"9781846633317"</f>
        <v>9781846633317</v>
      </c>
      <c r="E2879" t="s">
        <v>1116</v>
      </c>
      <c r="F2879" t="s">
        <v>1117</v>
      </c>
      <c r="G2879" s="1">
        <v>39129</v>
      </c>
      <c r="H2879" s="1">
        <v>39191</v>
      </c>
      <c r="I2879" t="s">
        <v>12</v>
      </c>
      <c r="J2879" t="s">
        <v>13649</v>
      </c>
    </row>
    <row r="2880" spans="1:10" x14ac:dyDescent="0.25">
      <c r="A2880">
        <v>291554</v>
      </c>
      <c r="B2880" t="s">
        <v>3031</v>
      </c>
      <c r="C2880" t="str">
        <f>"9781846633829"</f>
        <v>9781846633829</v>
      </c>
      <c r="D2880" t="str">
        <f>"9781846633836"</f>
        <v>9781846633836</v>
      </c>
      <c r="E2880" t="s">
        <v>1116</v>
      </c>
      <c r="F2880" t="s">
        <v>1117</v>
      </c>
      <c r="G2880" s="1">
        <v>39150</v>
      </c>
      <c r="H2880" s="1">
        <v>39191</v>
      </c>
      <c r="I2880" t="s">
        <v>12</v>
      </c>
      <c r="J2880" t="s">
        <v>13650</v>
      </c>
    </row>
    <row r="2881" spans="1:10" x14ac:dyDescent="0.25">
      <c r="A2881">
        <v>291555</v>
      </c>
      <c r="B2881" t="s">
        <v>3032</v>
      </c>
      <c r="C2881" t="str">
        <f>"9781846634024"</f>
        <v>9781846634024</v>
      </c>
      <c r="D2881" t="str">
        <f>"9781846634031"</f>
        <v>9781846634031</v>
      </c>
      <c r="E2881" t="s">
        <v>1116</v>
      </c>
      <c r="F2881" t="s">
        <v>1117</v>
      </c>
      <c r="G2881" s="1">
        <v>39171</v>
      </c>
      <c r="H2881" s="1">
        <v>39191</v>
      </c>
      <c r="I2881" t="s">
        <v>12</v>
      </c>
      <c r="J2881" t="s">
        <v>13651</v>
      </c>
    </row>
    <row r="2882" spans="1:10" x14ac:dyDescent="0.25">
      <c r="A2882">
        <v>291556</v>
      </c>
      <c r="B2882" t="s">
        <v>3033</v>
      </c>
      <c r="C2882" t="str">
        <f>"9781846632525"</f>
        <v>9781846632525</v>
      </c>
      <c r="D2882" t="str">
        <f>"9781846632532"</f>
        <v>9781846632532</v>
      </c>
      <c r="E2882" t="s">
        <v>1116</v>
      </c>
      <c r="F2882" t="s">
        <v>1117</v>
      </c>
      <c r="G2882" s="1">
        <v>39101</v>
      </c>
      <c r="H2882" s="1">
        <v>39191</v>
      </c>
      <c r="I2882" t="s">
        <v>12</v>
      </c>
      <c r="J2882" t="s">
        <v>13652</v>
      </c>
    </row>
    <row r="2883" spans="1:10" x14ac:dyDescent="0.25">
      <c r="A2883">
        <v>291557</v>
      </c>
      <c r="B2883" t="s">
        <v>3034</v>
      </c>
      <c r="C2883" t="str">
        <f>"9781846633782"</f>
        <v>9781846633782</v>
      </c>
      <c r="D2883" t="str">
        <f>"9781846633799"</f>
        <v>9781846633799</v>
      </c>
      <c r="E2883" t="s">
        <v>1116</v>
      </c>
      <c r="F2883" t="s">
        <v>1117</v>
      </c>
      <c r="G2883" s="1">
        <v>39192</v>
      </c>
      <c r="H2883" s="1">
        <v>39191</v>
      </c>
      <c r="I2883" t="s">
        <v>12</v>
      </c>
      <c r="J2883" t="s">
        <v>13653</v>
      </c>
    </row>
    <row r="2884" spans="1:10" x14ac:dyDescent="0.25">
      <c r="A2884">
        <v>291558</v>
      </c>
      <c r="B2884" t="s">
        <v>3035</v>
      </c>
      <c r="C2884" t="str">
        <f>"9781846633560"</f>
        <v>9781846633560</v>
      </c>
      <c r="D2884" t="str">
        <f>"9781846633577"</f>
        <v>9781846633577</v>
      </c>
      <c r="E2884" t="s">
        <v>1116</v>
      </c>
      <c r="F2884" t="s">
        <v>1117</v>
      </c>
      <c r="G2884" s="1">
        <v>39129</v>
      </c>
      <c r="H2884" s="1">
        <v>39191</v>
      </c>
      <c r="I2884" t="s">
        <v>12</v>
      </c>
      <c r="J2884" t="s">
        <v>13654</v>
      </c>
    </row>
    <row r="2885" spans="1:10" x14ac:dyDescent="0.25">
      <c r="A2885">
        <v>291560</v>
      </c>
      <c r="B2885" t="s">
        <v>3036</v>
      </c>
      <c r="C2885" t="str">
        <f>"9781846634246"</f>
        <v>9781846634246</v>
      </c>
      <c r="D2885" t="str">
        <f>"9781846634253"</f>
        <v>9781846634253</v>
      </c>
      <c r="E2885" t="s">
        <v>1116</v>
      </c>
      <c r="F2885" t="s">
        <v>1117</v>
      </c>
      <c r="G2885" s="1">
        <v>39192</v>
      </c>
      <c r="H2885" s="1">
        <v>39191</v>
      </c>
      <c r="I2885" t="s">
        <v>12</v>
      </c>
      <c r="J2885" t="s">
        <v>13655</v>
      </c>
    </row>
    <row r="2886" spans="1:10" x14ac:dyDescent="0.25">
      <c r="A2886">
        <v>291561</v>
      </c>
      <c r="B2886" t="s">
        <v>3037</v>
      </c>
      <c r="C2886" t="str">
        <f>"9781846633584"</f>
        <v>9781846633584</v>
      </c>
      <c r="D2886" t="str">
        <f>"9781846633591"</f>
        <v>9781846633591</v>
      </c>
      <c r="E2886" t="s">
        <v>1116</v>
      </c>
      <c r="F2886" t="s">
        <v>1117</v>
      </c>
      <c r="G2886" s="1">
        <v>39129</v>
      </c>
      <c r="H2886" s="1">
        <v>39191</v>
      </c>
      <c r="I2886" t="s">
        <v>12</v>
      </c>
      <c r="J2886" t="s">
        <v>13656</v>
      </c>
    </row>
    <row r="2887" spans="1:10" x14ac:dyDescent="0.25">
      <c r="A2887">
        <v>291562</v>
      </c>
      <c r="B2887" t="s">
        <v>3038</v>
      </c>
      <c r="C2887" t="str">
        <f>"9781846634208"</f>
        <v>9781846634208</v>
      </c>
      <c r="D2887" t="str">
        <f>"9781846634215"</f>
        <v>9781846634215</v>
      </c>
      <c r="E2887" t="s">
        <v>1116</v>
      </c>
      <c r="F2887" t="s">
        <v>1117</v>
      </c>
      <c r="G2887" s="1">
        <v>39206</v>
      </c>
      <c r="H2887" s="1">
        <v>39275</v>
      </c>
      <c r="I2887" t="s">
        <v>12</v>
      </c>
      <c r="J2887" t="s">
        <v>13657</v>
      </c>
    </row>
    <row r="2888" spans="1:10" x14ac:dyDescent="0.25">
      <c r="A2888">
        <v>291563</v>
      </c>
      <c r="B2888" t="s">
        <v>3039</v>
      </c>
      <c r="C2888" t="str">
        <f>"9781846633102"</f>
        <v>9781846633102</v>
      </c>
      <c r="D2888" t="str">
        <f>"9781846633119"</f>
        <v>9781846633119</v>
      </c>
      <c r="E2888" t="s">
        <v>1116</v>
      </c>
      <c r="F2888" t="s">
        <v>1117</v>
      </c>
      <c r="G2888" s="1">
        <v>39101</v>
      </c>
      <c r="H2888" s="1">
        <v>39191</v>
      </c>
      <c r="I2888" t="s">
        <v>12</v>
      </c>
      <c r="J2888" t="s">
        <v>13658</v>
      </c>
    </row>
    <row r="2889" spans="1:10" x14ac:dyDescent="0.25">
      <c r="A2889">
        <v>291564</v>
      </c>
      <c r="B2889" t="s">
        <v>3040</v>
      </c>
      <c r="C2889" t="str">
        <f>"9781846634123"</f>
        <v>9781846634123</v>
      </c>
      <c r="D2889" t="str">
        <f>"9781846634130"</f>
        <v>9781846634130</v>
      </c>
      <c r="E2889" t="s">
        <v>1116</v>
      </c>
      <c r="F2889" t="s">
        <v>1117</v>
      </c>
      <c r="G2889" s="1">
        <v>39199</v>
      </c>
      <c r="H2889" s="1">
        <v>39299</v>
      </c>
      <c r="I2889" t="s">
        <v>12</v>
      </c>
      <c r="J2889" t="s">
        <v>13659</v>
      </c>
    </row>
    <row r="2890" spans="1:10" x14ac:dyDescent="0.25">
      <c r="A2890">
        <v>291565</v>
      </c>
      <c r="B2890" t="s">
        <v>3041</v>
      </c>
      <c r="C2890" t="str">
        <f>"9781846633607"</f>
        <v>9781846633607</v>
      </c>
      <c r="D2890" t="str">
        <f>"9781846633614"</f>
        <v>9781846633614</v>
      </c>
      <c r="E2890" t="s">
        <v>1116</v>
      </c>
      <c r="F2890" t="s">
        <v>1117</v>
      </c>
      <c r="G2890" s="1">
        <v>39136</v>
      </c>
      <c r="H2890" s="1">
        <v>39191</v>
      </c>
      <c r="I2890" t="s">
        <v>12</v>
      </c>
      <c r="J2890" t="s">
        <v>13660</v>
      </c>
    </row>
    <row r="2891" spans="1:10" x14ac:dyDescent="0.25">
      <c r="A2891">
        <v>291566</v>
      </c>
      <c r="B2891" t="s">
        <v>3042</v>
      </c>
      <c r="C2891" t="str">
        <f>"9781846634161"</f>
        <v>9781846634161</v>
      </c>
      <c r="D2891" t="str">
        <f>"9781846634178"</f>
        <v>9781846634178</v>
      </c>
      <c r="E2891" t="s">
        <v>1116</v>
      </c>
      <c r="F2891" t="s">
        <v>1117</v>
      </c>
      <c r="G2891" s="1">
        <v>39185</v>
      </c>
      <c r="H2891" s="1">
        <v>39191</v>
      </c>
      <c r="I2891" t="s">
        <v>12</v>
      </c>
      <c r="J2891" t="s">
        <v>13661</v>
      </c>
    </row>
    <row r="2892" spans="1:10" x14ac:dyDescent="0.25">
      <c r="A2892">
        <v>291567</v>
      </c>
      <c r="B2892" t="s">
        <v>3043</v>
      </c>
      <c r="C2892" t="str">
        <f>"9781846632624"</f>
        <v>9781846632624</v>
      </c>
      <c r="D2892" t="str">
        <f>"9781846632631"</f>
        <v>9781846632631</v>
      </c>
      <c r="E2892" t="s">
        <v>1116</v>
      </c>
      <c r="F2892" t="s">
        <v>1117</v>
      </c>
      <c r="G2892" s="1">
        <v>39129</v>
      </c>
      <c r="H2892" s="1">
        <v>39191</v>
      </c>
      <c r="I2892" t="s">
        <v>12</v>
      </c>
      <c r="J2892" t="s">
        <v>13662</v>
      </c>
    </row>
    <row r="2893" spans="1:10" x14ac:dyDescent="0.25">
      <c r="A2893">
        <v>291569</v>
      </c>
      <c r="B2893" t="s">
        <v>3044</v>
      </c>
      <c r="C2893" t="str">
        <f>"9781846633089"</f>
        <v>9781846633089</v>
      </c>
      <c r="D2893" t="str">
        <f>"9781846633096"</f>
        <v>9781846633096</v>
      </c>
      <c r="E2893" t="s">
        <v>1116</v>
      </c>
      <c r="F2893" t="s">
        <v>1117</v>
      </c>
      <c r="G2893" s="1">
        <v>39164</v>
      </c>
      <c r="H2893" s="1">
        <v>39191</v>
      </c>
      <c r="I2893" t="s">
        <v>12</v>
      </c>
      <c r="J2893" t="s">
        <v>13663</v>
      </c>
    </row>
    <row r="2894" spans="1:10" x14ac:dyDescent="0.25">
      <c r="A2894">
        <v>291570</v>
      </c>
      <c r="B2894" t="s">
        <v>3045</v>
      </c>
      <c r="C2894" t="str">
        <f>"9781846631160"</f>
        <v>9781846631160</v>
      </c>
      <c r="D2894" t="str">
        <f>"9781846631177"</f>
        <v>9781846631177</v>
      </c>
      <c r="E2894" t="s">
        <v>1116</v>
      </c>
      <c r="F2894" t="s">
        <v>1117</v>
      </c>
      <c r="G2894" s="1">
        <v>39017</v>
      </c>
      <c r="H2894" s="1">
        <v>39191</v>
      </c>
      <c r="I2894" t="s">
        <v>12</v>
      </c>
      <c r="J2894" t="s">
        <v>13664</v>
      </c>
    </row>
    <row r="2895" spans="1:10" x14ac:dyDescent="0.25">
      <c r="A2895">
        <v>291571</v>
      </c>
      <c r="B2895" t="s">
        <v>3046</v>
      </c>
      <c r="C2895" t="str">
        <f>"9781846631184"</f>
        <v>9781846631184</v>
      </c>
      <c r="D2895" t="str">
        <f>"9781846631191"</f>
        <v>9781846631191</v>
      </c>
      <c r="E2895" t="s">
        <v>1116</v>
      </c>
      <c r="F2895" t="s">
        <v>1117</v>
      </c>
      <c r="G2895" s="1">
        <v>39087</v>
      </c>
      <c r="H2895" s="1">
        <v>39191</v>
      </c>
      <c r="I2895" t="s">
        <v>12</v>
      </c>
      <c r="J2895" t="s">
        <v>13665</v>
      </c>
    </row>
    <row r="2896" spans="1:10" x14ac:dyDescent="0.25">
      <c r="A2896">
        <v>291572</v>
      </c>
      <c r="B2896" t="s">
        <v>3047</v>
      </c>
      <c r="C2896" t="str">
        <f>"9781846631207"</f>
        <v>9781846631207</v>
      </c>
      <c r="D2896" t="str">
        <f>"9781846631214"</f>
        <v>9781846631214</v>
      </c>
      <c r="E2896" t="s">
        <v>1116</v>
      </c>
      <c r="F2896" t="s">
        <v>1117</v>
      </c>
      <c r="G2896" s="1">
        <v>39150</v>
      </c>
      <c r="H2896" s="1">
        <v>39191</v>
      </c>
      <c r="I2896" t="s">
        <v>12</v>
      </c>
      <c r="J2896" t="s">
        <v>13666</v>
      </c>
    </row>
    <row r="2897" spans="1:10" x14ac:dyDescent="0.25">
      <c r="A2897">
        <v>291573</v>
      </c>
      <c r="B2897" t="s">
        <v>3048</v>
      </c>
      <c r="C2897" t="str">
        <f>"9781846633522"</f>
        <v>9781846633522</v>
      </c>
      <c r="D2897" t="str">
        <f>"9781846633539"</f>
        <v>9781846633539</v>
      </c>
      <c r="E2897" t="s">
        <v>1116</v>
      </c>
      <c r="F2897" t="s">
        <v>1117</v>
      </c>
      <c r="G2897" s="1">
        <v>39108</v>
      </c>
      <c r="H2897" s="1">
        <v>39191</v>
      </c>
      <c r="I2897" t="s">
        <v>12</v>
      </c>
      <c r="J2897" t="s">
        <v>13667</v>
      </c>
    </row>
    <row r="2898" spans="1:10" x14ac:dyDescent="0.25">
      <c r="A2898">
        <v>291574</v>
      </c>
      <c r="B2898" t="s">
        <v>3049</v>
      </c>
      <c r="C2898" t="str">
        <f>"9781846633980"</f>
        <v>9781846633980</v>
      </c>
      <c r="D2898" t="str">
        <f>"9781846633997"</f>
        <v>9781846633997</v>
      </c>
      <c r="E2898" t="s">
        <v>1116</v>
      </c>
      <c r="F2898" t="s">
        <v>1117</v>
      </c>
      <c r="G2898" s="1">
        <v>39157</v>
      </c>
      <c r="H2898" s="1">
        <v>39191</v>
      </c>
      <c r="I2898" t="s">
        <v>12</v>
      </c>
      <c r="J2898" t="s">
        <v>13668</v>
      </c>
    </row>
    <row r="2899" spans="1:10" x14ac:dyDescent="0.25">
      <c r="A2899">
        <v>291575</v>
      </c>
      <c r="B2899" t="s">
        <v>3050</v>
      </c>
      <c r="C2899" t="str">
        <f>"9781846633386"</f>
        <v>9781846633386</v>
      </c>
      <c r="D2899" t="str">
        <f>"9781846633393"</f>
        <v>9781846633393</v>
      </c>
      <c r="E2899" t="s">
        <v>1116</v>
      </c>
      <c r="F2899" t="s">
        <v>1117</v>
      </c>
      <c r="G2899" s="1">
        <v>39101</v>
      </c>
      <c r="H2899" s="1">
        <v>39191</v>
      </c>
      <c r="I2899" t="s">
        <v>12</v>
      </c>
      <c r="J2899" t="s">
        <v>13669</v>
      </c>
    </row>
    <row r="2900" spans="1:10" x14ac:dyDescent="0.25">
      <c r="A2900">
        <v>291577</v>
      </c>
      <c r="B2900" t="s">
        <v>3051</v>
      </c>
      <c r="C2900" t="str">
        <f>"9781846633942"</f>
        <v>9781846633942</v>
      </c>
      <c r="D2900" t="str">
        <f>"9781846633959"</f>
        <v>9781846633959</v>
      </c>
      <c r="E2900" t="s">
        <v>1116</v>
      </c>
      <c r="F2900" t="s">
        <v>1117</v>
      </c>
      <c r="G2900" s="1">
        <v>39164</v>
      </c>
      <c r="H2900" s="1">
        <v>39191</v>
      </c>
      <c r="I2900" t="s">
        <v>12</v>
      </c>
      <c r="J2900" t="s">
        <v>13670</v>
      </c>
    </row>
    <row r="2901" spans="1:10" x14ac:dyDescent="0.25">
      <c r="A2901">
        <v>291578</v>
      </c>
      <c r="B2901" t="s">
        <v>3052</v>
      </c>
      <c r="C2901" t="str">
        <f>"9781846632587"</f>
        <v>9781846632587</v>
      </c>
      <c r="D2901" t="str">
        <f>"9781846632594"</f>
        <v>9781846632594</v>
      </c>
      <c r="E2901" t="s">
        <v>1116</v>
      </c>
      <c r="F2901" t="s">
        <v>1117</v>
      </c>
      <c r="G2901" s="1">
        <v>39108</v>
      </c>
      <c r="H2901" s="1">
        <v>39191</v>
      </c>
      <c r="I2901" t="s">
        <v>12</v>
      </c>
      <c r="J2901" t="s">
        <v>13671</v>
      </c>
    </row>
    <row r="2902" spans="1:10" x14ac:dyDescent="0.25">
      <c r="A2902">
        <v>291579</v>
      </c>
      <c r="B2902" t="s">
        <v>3053</v>
      </c>
      <c r="C2902" t="str">
        <f>"9781846633485"</f>
        <v>9781846633485</v>
      </c>
      <c r="D2902" t="str">
        <f>"9781846633492"</f>
        <v>9781846633492</v>
      </c>
      <c r="E2902" t="s">
        <v>1116</v>
      </c>
      <c r="F2902" t="s">
        <v>1117</v>
      </c>
      <c r="G2902" s="1">
        <v>39094</v>
      </c>
      <c r="H2902" s="1">
        <v>39191</v>
      </c>
      <c r="I2902" t="s">
        <v>12</v>
      </c>
      <c r="J2902" t="s">
        <v>13672</v>
      </c>
    </row>
    <row r="2903" spans="1:10" x14ac:dyDescent="0.25">
      <c r="A2903">
        <v>291580</v>
      </c>
      <c r="B2903" t="s">
        <v>3054</v>
      </c>
      <c r="C2903" t="str">
        <f>"9781846633348"</f>
        <v>9781846633348</v>
      </c>
      <c r="D2903" t="str">
        <f>"9781846633355"</f>
        <v>9781846633355</v>
      </c>
      <c r="E2903" t="s">
        <v>1116</v>
      </c>
      <c r="F2903" t="s">
        <v>1117</v>
      </c>
      <c r="G2903" s="1">
        <v>39164</v>
      </c>
      <c r="H2903" s="1">
        <v>39191</v>
      </c>
      <c r="I2903" t="s">
        <v>12</v>
      </c>
      <c r="J2903" t="s">
        <v>13673</v>
      </c>
    </row>
    <row r="2904" spans="1:10" x14ac:dyDescent="0.25">
      <c r="A2904">
        <v>291581</v>
      </c>
      <c r="B2904" t="s">
        <v>3055</v>
      </c>
      <c r="C2904" t="str">
        <f>"9781846633409"</f>
        <v>9781846633409</v>
      </c>
      <c r="D2904" t="str">
        <f>"9781846633416"</f>
        <v>9781846633416</v>
      </c>
      <c r="E2904" t="s">
        <v>1116</v>
      </c>
      <c r="F2904" t="s">
        <v>1117</v>
      </c>
      <c r="G2904" s="1">
        <v>39122</v>
      </c>
      <c r="H2904" s="1">
        <v>39191</v>
      </c>
      <c r="I2904" t="s">
        <v>12</v>
      </c>
      <c r="J2904" t="s">
        <v>13674</v>
      </c>
    </row>
    <row r="2905" spans="1:10" x14ac:dyDescent="0.25">
      <c r="A2905">
        <v>291583</v>
      </c>
      <c r="B2905" t="s">
        <v>3056</v>
      </c>
      <c r="C2905" t="str">
        <f>"9781846633966"</f>
        <v>9781846633966</v>
      </c>
      <c r="D2905" t="str">
        <f>"9781846633973"</f>
        <v>9781846633973</v>
      </c>
      <c r="E2905" t="s">
        <v>1116</v>
      </c>
      <c r="F2905" t="s">
        <v>1117</v>
      </c>
      <c r="G2905" s="1">
        <v>39164</v>
      </c>
      <c r="H2905" s="1">
        <v>39191</v>
      </c>
      <c r="I2905" t="s">
        <v>12</v>
      </c>
      <c r="J2905" t="s">
        <v>13675</v>
      </c>
    </row>
    <row r="2906" spans="1:10" x14ac:dyDescent="0.25">
      <c r="A2906">
        <v>291585</v>
      </c>
      <c r="B2906" t="s">
        <v>3057</v>
      </c>
      <c r="C2906" t="str">
        <f>"9781846633843"</f>
        <v>9781846633843</v>
      </c>
      <c r="D2906" t="str">
        <f>"9781846633850"</f>
        <v>9781846633850</v>
      </c>
      <c r="E2906" t="s">
        <v>1116</v>
      </c>
      <c r="F2906" t="s">
        <v>1117</v>
      </c>
      <c r="G2906" s="1">
        <v>39143</v>
      </c>
      <c r="H2906" s="1">
        <v>39191</v>
      </c>
      <c r="I2906" t="s">
        <v>12</v>
      </c>
      <c r="J2906" t="s">
        <v>13676</v>
      </c>
    </row>
    <row r="2907" spans="1:10" x14ac:dyDescent="0.25">
      <c r="A2907">
        <v>291586</v>
      </c>
      <c r="B2907" t="s">
        <v>3058</v>
      </c>
      <c r="C2907" t="str">
        <f>"9781846632563"</f>
        <v>9781846632563</v>
      </c>
      <c r="D2907" t="str">
        <f>"9781846632570"</f>
        <v>9781846632570</v>
      </c>
      <c r="E2907" t="s">
        <v>1116</v>
      </c>
      <c r="F2907" t="s">
        <v>1117</v>
      </c>
      <c r="G2907" s="1">
        <v>39108</v>
      </c>
      <c r="H2907" s="1">
        <v>39191</v>
      </c>
      <c r="I2907" t="s">
        <v>12</v>
      </c>
      <c r="J2907" t="s">
        <v>13677</v>
      </c>
    </row>
    <row r="2908" spans="1:10" x14ac:dyDescent="0.25">
      <c r="A2908">
        <v>291589</v>
      </c>
      <c r="B2908" t="s">
        <v>3059</v>
      </c>
      <c r="C2908" t="str">
        <f>"9781846634048"</f>
        <v>9781846634048</v>
      </c>
      <c r="D2908" t="str">
        <f>"9781846634055"</f>
        <v>9781846634055</v>
      </c>
      <c r="E2908" t="s">
        <v>1116</v>
      </c>
      <c r="F2908" t="s">
        <v>1117</v>
      </c>
      <c r="G2908" s="1">
        <v>39157</v>
      </c>
      <c r="H2908" s="1">
        <v>39191</v>
      </c>
      <c r="I2908" t="s">
        <v>12</v>
      </c>
      <c r="J2908" t="s">
        <v>13678</v>
      </c>
    </row>
    <row r="2909" spans="1:10" x14ac:dyDescent="0.25">
      <c r="A2909">
        <v>291590</v>
      </c>
      <c r="B2909" t="s">
        <v>3060</v>
      </c>
      <c r="C2909" t="str">
        <f>"9781846632266"</f>
        <v>9781846632266</v>
      </c>
      <c r="D2909" t="str">
        <f>"9781846632273"</f>
        <v>9781846632273</v>
      </c>
      <c r="E2909" t="s">
        <v>1116</v>
      </c>
      <c r="F2909" t="s">
        <v>1117</v>
      </c>
      <c r="G2909" s="1">
        <v>39129</v>
      </c>
      <c r="H2909" s="1">
        <v>39191</v>
      </c>
      <c r="I2909" t="s">
        <v>12</v>
      </c>
      <c r="J2909" t="s">
        <v>13679</v>
      </c>
    </row>
    <row r="2910" spans="1:10" x14ac:dyDescent="0.25">
      <c r="A2910">
        <v>291591</v>
      </c>
      <c r="B2910" t="s">
        <v>3061</v>
      </c>
      <c r="C2910" t="str">
        <f>"9781846633904"</f>
        <v>9781846633904</v>
      </c>
      <c r="D2910" t="str">
        <f>"9781846633911"</f>
        <v>9781846633911</v>
      </c>
      <c r="E2910" t="s">
        <v>1116</v>
      </c>
      <c r="F2910" t="s">
        <v>1117</v>
      </c>
      <c r="G2910" s="1">
        <v>39157</v>
      </c>
      <c r="H2910" s="1">
        <v>39191</v>
      </c>
      <c r="I2910" t="s">
        <v>12</v>
      </c>
      <c r="J2910" t="s">
        <v>13680</v>
      </c>
    </row>
    <row r="2911" spans="1:10" x14ac:dyDescent="0.25">
      <c r="A2911">
        <v>291592</v>
      </c>
      <c r="B2911" t="s">
        <v>3062</v>
      </c>
      <c r="C2911" t="str">
        <f>"9781846634185"</f>
        <v>9781846634185</v>
      </c>
      <c r="D2911" t="str">
        <f>"9781846634192"</f>
        <v>9781846634192</v>
      </c>
      <c r="E2911" t="s">
        <v>1116</v>
      </c>
      <c r="F2911" t="s">
        <v>1117</v>
      </c>
      <c r="G2911" s="1">
        <v>39171</v>
      </c>
      <c r="H2911" s="1">
        <v>39191</v>
      </c>
      <c r="I2911" t="s">
        <v>12</v>
      </c>
      <c r="J2911" t="s">
        <v>13681</v>
      </c>
    </row>
    <row r="2912" spans="1:10" x14ac:dyDescent="0.25">
      <c r="A2912">
        <v>291597</v>
      </c>
      <c r="B2912" t="s">
        <v>3063</v>
      </c>
      <c r="C2912" t="str">
        <f>"9781846633362"</f>
        <v>9781846633362</v>
      </c>
      <c r="D2912" t="str">
        <f>"9781846633379"</f>
        <v>9781846633379</v>
      </c>
      <c r="E2912" t="s">
        <v>1116</v>
      </c>
      <c r="F2912" t="s">
        <v>1117</v>
      </c>
      <c r="G2912" s="1">
        <v>39108</v>
      </c>
      <c r="H2912" s="1">
        <v>39191</v>
      </c>
      <c r="I2912" t="s">
        <v>12</v>
      </c>
      <c r="J2912" t="s">
        <v>13682</v>
      </c>
    </row>
    <row r="2913" spans="1:10" x14ac:dyDescent="0.25">
      <c r="A2913">
        <v>291598</v>
      </c>
      <c r="B2913" t="s">
        <v>3064</v>
      </c>
      <c r="C2913" t="str">
        <f>"9781846633683"</f>
        <v>9781846633683</v>
      </c>
      <c r="D2913" t="str">
        <f>"9781846633690"</f>
        <v>9781846633690</v>
      </c>
      <c r="E2913" t="s">
        <v>1116</v>
      </c>
      <c r="F2913" t="s">
        <v>1117</v>
      </c>
      <c r="G2913" s="1">
        <v>39185</v>
      </c>
      <c r="H2913" s="1">
        <v>39191</v>
      </c>
      <c r="I2913" t="s">
        <v>12</v>
      </c>
      <c r="J2913" t="s">
        <v>13683</v>
      </c>
    </row>
    <row r="2914" spans="1:10" x14ac:dyDescent="0.25">
      <c r="A2914">
        <v>291599</v>
      </c>
      <c r="B2914" t="s">
        <v>3065</v>
      </c>
      <c r="C2914" t="str">
        <f>"9781846633225"</f>
        <v>9781846633225</v>
      </c>
      <c r="D2914" t="str">
        <f>"9781846633232"</f>
        <v>9781846633232</v>
      </c>
      <c r="E2914" t="s">
        <v>1116</v>
      </c>
      <c r="F2914" t="s">
        <v>1117</v>
      </c>
      <c r="G2914" s="1">
        <v>39157</v>
      </c>
      <c r="H2914" s="1">
        <v>39191</v>
      </c>
      <c r="I2914" t="s">
        <v>12</v>
      </c>
      <c r="J2914" t="s">
        <v>13684</v>
      </c>
    </row>
    <row r="2915" spans="1:10" x14ac:dyDescent="0.25">
      <c r="A2915">
        <v>291600</v>
      </c>
      <c r="B2915" t="s">
        <v>3066</v>
      </c>
      <c r="C2915" t="str">
        <f>"9781846633423"</f>
        <v>9781846633423</v>
      </c>
      <c r="D2915" t="str">
        <f>"9781846633430"</f>
        <v>9781846633430</v>
      </c>
      <c r="E2915" t="s">
        <v>1116</v>
      </c>
      <c r="F2915" t="s">
        <v>1117</v>
      </c>
      <c r="G2915" s="1">
        <v>39115</v>
      </c>
      <c r="H2915" s="1">
        <v>39191</v>
      </c>
      <c r="I2915" t="s">
        <v>12</v>
      </c>
      <c r="J2915" t="s">
        <v>13685</v>
      </c>
    </row>
    <row r="2916" spans="1:10" x14ac:dyDescent="0.25">
      <c r="A2916">
        <v>291602</v>
      </c>
      <c r="B2916" t="s">
        <v>3067</v>
      </c>
      <c r="C2916" t="str">
        <f>"9782763784595"</f>
        <v>9782763784595</v>
      </c>
      <c r="D2916" t="str">
        <f>"9781552503331"</f>
        <v>9781552503331</v>
      </c>
      <c r="E2916" t="s">
        <v>3068</v>
      </c>
      <c r="F2916" t="s">
        <v>3069</v>
      </c>
      <c r="G2916" s="1">
        <v>39083</v>
      </c>
      <c r="H2916" s="1">
        <v>39191</v>
      </c>
      <c r="I2916" t="s">
        <v>12</v>
      </c>
      <c r="J2916" t="s">
        <v>13686</v>
      </c>
    </row>
    <row r="2917" spans="1:10" x14ac:dyDescent="0.25">
      <c r="A2917">
        <v>291603</v>
      </c>
      <c r="B2917" t="s">
        <v>3070</v>
      </c>
      <c r="C2917" t="str">
        <f>"9788189884338"</f>
        <v>9788189884338</v>
      </c>
      <c r="D2917" t="str">
        <f>"9781552503393"</f>
        <v>9781552503393</v>
      </c>
      <c r="E2917" t="s">
        <v>1968</v>
      </c>
      <c r="F2917" t="s">
        <v>1969</v>
      </c>
      <c r="G2917" s="1">
        <v>39083</v>
      </c>
      <c r="H2917" s="1">
        <v>39191</v>
      </c>
      <c r="I2917" t="s">
        <v>12</v>
      </c>
      <c r="J2917" t="s">
        <v>13687</v>
      </c>
    </row>
    <row r="2918" spans="1:10" x14ac:dyDescent="0.25">
      <c r="A2918">
        <v>291674</v>
      </c>
      <c r="B2918" t="s">
        <v>3071</v>
      </c>
      <c r="C2918" t="str">
        <f>"9780240520247"</f>
        <v>9780240520247</v>
      </c>
      <c r="D2918" t="str">
        <f>"9780080475172"</f>
        <v>9780080475172</v>
      </c>
      <c r="E2918" t="s">
        <v>15</v>
      </c>
      <c r="F2918" t="s">
        <v>16</v>
      </c>
      <c r="G2918" s="1">
        <v>39129</v>
      </c>
      <c r="H2918" s="1">
        <v>39191</v>
      </c>
      <c r="I2918" t="s">
        <v>12</v>
      </c>
      <c r="J2918" t="s">
        <v>13688</v>
      </c>
    </row>
    <row r="2919" spans="1:10" x14ac:dyDescent="0.25">
      <c r="A2919">
        <v>291679</v>
      </c>
      <c r="B2919" t="s">
        <v>3072</v>
      </c>
      <c r="C2919" t="str">
        <f>"9780240808499"</f>
        <v>9780240808499</v>
      </c>
      <c r="D2919" t="str">
        <f>"9780080475226"</f>
        <v>9780080475226</v>
      </c>
      <c r="E2919" t="s">
        <v>15</v>
      </c>
      <c r="F2919" t="s">
        <v>1122</v>
      </c>
      <c r="G2919" s="1">
        <v>38972</v>
      </c>
      <c r="H2919" s="1">
        <v>39191</v>
      </c>
      <c r="I2919" t="s">
        <v>12</v>
      </c>
      <c r="J2919" t="s">
        <v>13689</v>
      </c>
    </row>
    <row r="2920" spans="1:10" x14ac:dyDescent="0.25">
      <c r="A2920">
        <v>291683</v>
      </c>
      <c r="B2920" t="s">
        <v>3073</v>
      </c>
      <c r="C2920" t="str">
        <f>"9780240809168"</f>
        <v>9780240809168</v>
      </c>
      <c r="D2920" t="str">
        <f>"9780080475264"</f>
        <v>9780080475264</v>
      </c>
      <c r="E2920" t="s">
        <v>16</v>
      </c>
      <c r="F2920" t="s">
        <v>16</v>
      </c>
      <c r="G2920" s="1">
        <v>39043</v>
      </c>
      <c r="H2920" s="1">
        <v>39192</v>
      </c>
      <c r="I2920" t="s">
        <v>12</v>
      </c>
      <c r="J2920" t="s">
        <v>13690</v>
      </c>
    </row>
    <row r="2921" spans="1:10" x14ac:dyDescent="0.25">
      <c r="A2921">
        <v>291699</v>
      </c>
      <c r="B2921" t="s">
        <v>3074</v>
      </c>
      <c r="C2921" t="str">
        <f>"9780750680530"</f>
        <v>9780750680530</v>
      </c>
      <c r="D2921" t="str">
        <f>"9780080475431"</f>
        <v>9780080475431</v>
      </c>
      <c r="E2921" t="s">
        <v>15</v>
      </c>
      <c r="F2921" t="s">
        <v>16</v>
      </c>
      <c r="G2921" s="1">
        <v>39185</v>
      </c>
      <c r="H2921" s="1">
        <v>40171</v>
      </c>
      <c r="I2921" t="s">
        <v>12</v>
      </c>
      <c r="J2921" t="s">
        <v>13691</v>
      </c>
    </row>
    <row r="2922" spans="1:10" x14ac:dyDescent="0.25">
      <c r="A2922">
        <v>291702</v>
      </c>
      <c r="B2922" t="s">
        <v>3075</v>
      </c>
      <c r="C2922" t="str">
        <f>"9780750683005"</f>
        <v>9780750683005</v>
      </c>
      <c r="D2922" t="str">
        <f>"9780080475479"</f>
        <v>9780080475479</v>
      </c>
      <c r="E2922" t="s">
        <v>15</v>
      </c>
      <c r="F2922" t="s">
        <v>16</v>
      </c>
      <c r="G2922" s="1">
        <v>39178</v>
      </c>
      <c r="H2922" s="1">
        <v>39191</v>
      </c>
      <c r="I2922" t="s">
        <v>12</v>
      </c>
      <c r="J2922" t="s">
        <v>13692</v>
      </c>
    </row>
    <row r="2923" spans="1:10" x14ac:dyDescent="0.25">
      <c r="A2923">
        <v>292062</v>
      </c>
      <c r="B2923" t="s">
        <v>3076</v>
      </c>
      <c r="C2923" t="str">
        <f>"9780851993928"</f>
        <v>9780851993928</v>
      </c>
      <c r="D2923" t="str">
        <f>"9780851998923"</f>
        <v>9780851998923</v>
      </c>
      <c r="E2923" t="s">
        <v>2878</v>
      </c>
      <c r="F2923" t="s">
        <v>2879</v>
      </c>
      <c r="G2923" s="1">
        <v>36892</v>
      </c>
      <c r="H2923" s="1">
        <v>39200</v>
      </c>
      <c r="I2923" t="s">
        <v>12</v>
      </c>
      <c r="J2923" t="s">
        <v>13693</v>
      </c>
    </row>
    <row r="2924" spans="1:10" x14ac:dyDescent="0.25">
      <c r="A2924">
        <v>292074</v>
      </c>
      <c r="B2924" t="s">
        <v>3077</v>
      </c>
      <c r="C2924" t="str">
        <f>"9780851994468"</f>
        <v>9780851994468</v>
      </c>
      <c r="D2924" t="str">
        <f>"9780851999340"</f>
        <v>9780851999340</v>
      </c>
      <c r="E2924" t="s">
        <v>2878</v>
      </c>
      <c r="F2924" t="s">
        <v>2879</v>
      </c>
      <c r="G2924" s="1">
        <v>36526</v>
      </c>
      <c r="H2924" s="1">
        <v>39200</v>
      </c>
      <c r="I2924" t="s">
        <v>12</v>
      </c>
      <c r="J2924" t="s">
        <v>13694</v>
      </c>
    </row>
    <row r="2925" spans="1:10" x14ac:dyDescent="0.25">
      <c r="A2925">
        <v>292079</v>
      </c>
      <c r="B2925" t="s">
        <v>3078</v>
      </c>
      <c r="C2925" t="str">
        <f>"9780851994444"</f>
        <v>9780851994444</v>
      </c>
      <c r="D2925" t="str">
        <f>"9780851999272"</f>
        <v>9780851999272</v>
      </c>
      <c r="E2925" t="s">
        <v>2878</v>
      </c>
      <c r="F2925" t="s">
        <v>2879</v>
      </c>
      <c r="G2925" s="1">
        <v>36526</v>
      </c>
      <c r="H2925" s="1">
        <v>39200</v>
      </c>
      <c r="I2925" t="s">
        <v>12</v>
      </c>
      <c r="J2925" t="s">
        <v>13695</v>
      </c>
    </row>
    <row r="2926" spans="1:10" x14ac:dyDescent="0.25">
      <c r="A2926">
        <v>292096</v>
      </c>
      <c r="B2926" t="s">
        <v>3079</v>
      </c>
      <c r="C2926" t="str">
        <f>"9780851993683"</f>
        <v>9780851993683</v>
      </c>
      <c r="D2926" t="str">
        <f>"9780851997216"</f>
        <v>9780851997216</v>
      </c>
      <c r="E2926" t="s">
        <v>2878</v>
      </c>
      <c r="F2926" t="s">
        <v>2879</v>
      </c>
      <c r="G2926" s="1">
        <v>36892</v>
      </c>
      <c r="H2926" s="1">
        <v>39200</v>
      </c>
      <c r="I2926" t="s">
        <v>12</v>
      </c>
      <c r="J2926" t="s">
        <v>13696</v>
      </c>
    </row>
    <row r="2927" spans="1:10" x14ac:dyDescent="0.25">
      <c r="A2927">
        <v>292100</v>
      </c>
      <c r="B2927" t="s">
        <v>3080</v>
      </c>
      <c r="C2927" t="str">
        <f>"9780851993911"</f>
        <v>9780851993911</v>
      </c>
      <c r="D2927" t="str">
        <f>"9780851999159"</f>
        <v>9780851999159</v>
      </c>
      <c r="E2927" t="s">
        <v>2878</v>
      </c>
      <c r="F2927" t="s">
        <v>2879</v>
      </c>
      <c r="G2927" s="1">
        <v>36526</v>
      </c>
      <c r="H2927" s="1">
        <v>39200</v>
      </c>
      <c r="I2927" t="s">
        <v>12</v>
      </c>
      <c r="J2927" t="s">
        <v>13697</v>
      </c>
    </row>
    <row r="2928" spans="1:10" x14ac:dyDescent="0.25">
      <c r="A2928">
        <v>292104</v>
      </c>
      <c r="B2928" t="s">
        <v>3081</v>
      </c>
      <c r="C2928" t="str">
        <f>"9780335218578"</f>
        <v>9780335218578</v>
      </c>
      <c r="D2928" t="str">
        <f>"9780335226474"</f>
        <v>9780335226474</v>
      </c>
      <c r="E2928" t="s">
        <v>2795</v>
      </c>
      <c r="F2928" t="s">
        <v>2796</v>
      </c>
      <c r="G2928" s="1">
        <v>38353</v>
      </c>
      <c r="H2928" s="1">
        <v>39209</v>
      </c>
      <c r="I2928" t="s">
        <v>12</v>
      </c>
      <c r="J2928" t="s">
        <v>13698</v>
      </c>
    </row>
    <row r="2929" spans="1:10" x14ac:dyDescent="0.25">
      <c r="A2929">
        <v>292110</v>
      </c>
      <c r="B2929" t="s">
        <v>3082</v>
      </c>
      <c r="C2929" t="str">
        <f>"9780335212804"</f>
        <v>9780335212804</v>
      </c>
      <c r="D2929" t="str">
        <f>"9780335226399"</f>
        <v>9780335226399</v>
      </c>
      <c r="E2929" t="s">
        <v>2795</v>
      </c>
      <c r="F2929" t="s">
        <v>2796</v>
      </c>
      <c r="G2929" s="1">
        <v>38718</v>
      </c>
      <c r="H2929" s="1">
        <v>39209</v>
      </c>
      <c r="I2929" t="s">
        <v>12</v>
      </c>
      <c r="J2929" t="s">
        <v>13699</v>
      </c>
    </row>
    <row r="2930" spans="1:10" x14ac:dyDescent="0.25">
      <c r="A2930">
        <v>292119</v>
      </c>
      <c r="B2930" t="s">
        <v>3083</v>
      </c>
      <c r="C2930" t="str">
        <f>"9780335212132"</f>
        <v>9780335212132</v>
      </c>
      <c r="D2930" t="str">
        <f>"9780335226573"</f>
        <v>9780335226573</v>
      </c>
      <c r="E2930" t="s">
        <v>2795</v>
      </c>
      <c r="F2930" t="s">
        <v>2796</v>
      </c>
      <c r="G2930" s="1">
        <v>37622</v>
      </c>
      <c r="H2930" s="1">
        <v>39209</v>
      </c>
      <c r="I2930" t="s">
        <v>12</v>
      </c>
      <c r="J2930" t="s">
        <v>13700</v>
      </c>
    </row>
    <row r="2931" spans="1:10" x14ac:dyDescent="0.25">
      <c r="A2931">
        <v>292124</v>
      </c>
      <c r="B2931" t="s">
        <v>3084</v>
      </c>
      <c r="C2931" t="str">
        <f>"9780335214693"</f>
        <v>9780335214693</v>
      </c>
      <c r="D2931" t="str">
        <f>"9780335226375"</f>
        <v>9780335226375</v>
      </c>
      <c r="E2931" t="s">
        <v>2795</v>
      </c>
      <c r="F2931" t="s">
        <v>2796</v>
      </c>
      <c r="G2931" s="1">
        <v>38353</v>
      </c>
      <c r="H2931" s="1">
        <v>39209</v>
      </c>
      <c r="I2931" t="s">
        <v>12</v>
      </c>
      <c r="J2931" t="s">
        <v>13701</v>
      </c>
    </row>
    <row r="2932" spans="1:10" x14ac:dyDescent="0.25">
      <c r="A2932">
        <v>292125</v>
      </c>
      <c r="B2932" t="s">
        <v>3085</v>
      </c>
      <c r="C2932" t="str">
        <f>"9780335219216"</f>
        <v>9780335219216</v>
      </c>
      <c r="D2932" t="str">
        <f>"9780335226412"</f>
        <v>9780335226412</v>
      </c>
      <c r="E2932" t="s">
        <v>2795</v>
      </c>
      <c r="F2932" t="s">
        <v>2796</v>
      </c>
      <c r="G2932" s="1">
        <v>38718</v>
      </c>
      <c r="H2932" s="1">
        <v>39200</v>
      </c>
      <c r="I2932" t="s">
        <v>12</v>
      </c>
      <c r="J2932" t="s">
        <v>13702</v>
      </c>
    </row>
    <row r="2933" spans="1:10" x14ac:dyDescent="0.25">
      <c r="A2933">
        <v>292132</v>
      </c>
      <c r="B2933" t="s">
        <v>3086</v>
      </c>
      <c r="C2933" t="str">
        <f>"9780335217441"</f>
        <v>9780335217441</v>
      </c>
      <c r="D2933" t="str">
        <f>"9780335226627"</f>
        <v>9780335226627</v>
      </c>
      <c r="E2933" t="s">
        <v>2795</v>
      </c>
      <c r="F2933" t="s">
        <v>2796</v>
      </c>
      <c r="G2933" s="1">
        <v>38353</v>
      </c>
      <c r="H2933" s="1">
        <v>39209</v>
      </c>
      <c r="I2933" t="s">
        <v>12</v>
      </c>
      <c r="J2933" t="s">
        <v>13703</v>
      </c>
    </row>
    <row r="2934" spans="1:10" x14ac:dyDescent="0.25">
      <c r="A2934">
        <v>292133</v>
      </c>
      <c r="B2934" t="s">
        <v>3087</v>
      </c>
      <c r="C2934" t="str">
        <f>"9780335211562"</f>
        <v>9780335211562</v>
      </c>
      <c r="D2934" t="str">
        <f>"9780335226498"</f>
        <v>9780335226498</v>
      </c>
      <c r="E2934" t="s">
        <v>2795</v>
      </c>
      <c r="F2934" t="s">
        <v>2796</v>
      </c>
      <c r="G2934" s="1">
        <v>37622</v>
      </c>
      <c r="H2934" s="1">
        <v>39209</v>
      </c>
      <c r="I2934" t="s">
        <v>12</v>
      </c>
      <c r="J2934" t="s">
        <v>13704</v>
      </c>
    </row>
    <row r="2935" spans="1:10" x14ac:dyDescent="0.25">
      <c r="A2935">
        <v>292134</v>
      </c>
      <c r="B2935" t="s">
        <v>3088</v>
      </c>
      <c r="C2935" t="str">
        <f>"9780335213467"</f>
        <v>9780335213467</v>
      </c>
      <c r="D2935" t="str">
        <f>"9780335226511"</f>
        <v>9780335226511</v>
      </c>
      <c r="E2935" t="s">
        <v>2795</v>
      </c>
      <c r="F2935" t="s">
        <v>2796</v>
      </c>
      <c r="G2935" s="1">
        <v>37987</v>
      </c>
      <c r="H2935" s="1">
        <v>39209</v>
      </c>
      <c r="I2935" t="s">
        <v>12</v>
      </c>
      <c r="J2935" t="s">
        <v>13705</v>
      </c>
    </row>
    <row r="2936" spans="1:10" x14ac:dyDescent="0.25">
      <c r="A2936">
        <v>292290</v>
      </c>
      <c r="B2936" t="s">
        <v>3089</v>
      </c>
      <c r="C2936" t="str">
        <f>"9781556525919"</f>
        <v>9781556525919</v>
      </c>
      <c r="D2936" t="str">
        <f>"9781556526831"</f>
        <v>9781556526831</v>
      </c>
      <c r="E2936" t="s">
        <v>3090</v>
      </c>
      <c r="F2936" t="s">
        <v>3090</v>
      </c>
      <c r="G2936" s="1">
        <v>38653</v>
      </c>
      <c r="H2936" s="1">
        <v>39216</v>
      </c>
      <c r="I2936" t="s">
        <v>12</v>
      </c>
      <c r="J2936" t="s">
        <v>13706</v>
      </c>
    </row>
    <row r="2937" spans="1:10" x14ac:dyDescent="0.25">
      <c r="A2937">
        <v>292305</v>
      </c>
      <c r="B2937" t="s">
        <v>3091</v>
      </c>
      <c r="C2937" t="str">
        <f>"9780918954930"</f>
        <v>9780918954930</v>
      </c>
      <c r="D2937" t="str">
        <f>"9781602580466"</f>
        <v>9781602580466</v>
      </c>
      <c r="E2937" t="s">
        <v>2757</v>
      </c>
      <c r="F2937" t="s">
        <v>2757</v>
      </c>
      <c r="G2937" s="1">
        <v>37939</v>
      </c>
      <c r="H2937" s="1">
        <v>39205</v>
      </c>
      <c r="I2937" t="s">
        <v>12</v>
      </c>
      <c r="J2937" t="s">
        <v>13707</v>
      </c>
    </row>
    <row r="2938" spans="1:10" x14ac:dyDescent="0.25">
      <c r="A2938">
        <v>292306</v>
      </c>
      <c r="B2938" t="s">
        <v>3092</v>
      </c>
      <c r="C2938" t="str">
        <f>"9781932792041"</f>
        <v>9781932792041</v>
      </c>
      <c r="D2938" t="str">
        <f>"9781602580381"</f>
        <v>9781602580381</v>
      </c>
      <c r="E2938" t="s">
        <v>2757</v>
      </c>
      <c r="F2938" t="s">
        <v>2757</v>
      </c>
      <c r="G2938" s="1">
        <v>38275</v>
      </c>
      <c r="H2938" s="1">
        <v>39205</v>
      </c>
      <c r="I2938" t="s">
        <v>12</v>
      </c>
      <c r="J2938" t="s">
        <v>13708</v>
      </c>
    </row>
    <row r="2939" spans="1:10" x14ac:dyDescent="0.25">
      <c r="A2939">
        <v>292308</v>
      </c>
      <c r="B2939" t="s">
        <v>3093</v>
      </c>
      <c r="C2939" t="str">
        <f>"9781932792287"</f>
        <v>9781932792287</v>
      </c>
      <c r="D2939" t="str">
        <f>"9781602580459"</f>
        <v>9781602580459</v>
      </c>
      <c r="E2939" t="s">
        <v>2757</v>
      </c>
      <c r="F2939" t="s">
        <v>2757</v>
      </c>
      <c r="G2939" s="1">
        <v>38383</v>
      </c>
      <c r="H2939" s="1">
        <v>39211</v>
      </c>
      <c r="I2939" t="s">
        <v>12</v>
      </c>
      <c r="J2939" t="s">
        <v>13709</v>
      </c>
    </row>
    <row r="2940" spans="1:10" x14ac:dyDescent="0.25">
      <c r="A2940">
        <v>292311</v>
      </c>
      <c r="B2940" t="s">
        <v>3094</v>
      </c>
      <c r="C2940" t="str">
        <f>"9781932792072"</f>
        <v>9781932792072</v>
      </c>
      <c r="D2940" t="str">
        <f>"9781602580435"</f>
        <v>9781602580435</v>
      </c>
      <c r="E2940" t="s">
        <v>2757</v>
      </c>
      <c r="F2940" t="s">
        <v>2757</v>
      </c>
      <c r="G2940" s="1">
        <v>38275</v>
      </c>
      <c r="H2940" s="1">
        <v>39205</v>
      </c>
      <c r="I2940" t="s">
        <v>12</v>
      </c>
      <c r="J2940" t="s">
        <v>13710</v>
      </c>
    </row>
    <row r="2941" spans="1:10" x14ac:dyDescent="0.25">
      <c r="A2941">
        <v>292321</v>
      </c>
      <c r="B2941" t="s">
        <v>3095</v>
      </c>
      <c r="C2941" t="str">
        <f>"9781932792034"</f>
        <v>9781932792034</v>
      </c>
      <c r="D2941" t="str">
        <f>"9781602580367"</f>
        <v>9781602580367</v>
      </c>
      <c r="E2941" t="s">
        <v>2757</v>
      </c>
      <c r="F2941" t="s">
        <v>2757</v>
      </c>
      <c r="G2941" s="1">
        <v>38261</v>
      </c>
      <c r="H2941" s="1">
        <v>39205</v>
      </c>
      <c r="I2941" t="s">
        <v>12</v>
      </c>
      <c r="J2941" t="s">
        <v>13711</v>
      </c>
    </row>
    <row r="2942" spans="1:10" x14ac:dyDescent="0.25">
      <c r="A2942">
        <v>292355</v>
      </c>
      <c r="B2942" t="s">
        <v>3096</v>
      </c>
      <c r="C2942" t="str">
        <f>"9780748622443"</f>
        <v>9780748622443</v>
      </c>
      <c r="D2942" t="str">
        <f>"9780748626625"</f>
        <v>9780748626625</v>
      </c>
      <c r="E2942" t="s">
        <v>1942</v>
      </c>
      <c r="F2942" t="s">
        <v>2789</v>
      </c>
      <c r="G2942" s="1">
        <v>38799</v>
      </c>
      <c r="H2942" s="1">
        <v>39207</v>
      </c>
      <c r="I2942" t="s">
        <v>12</v>
      </c>
      <c r="J2942" t="s">
        <v>13712</v>
      </c>
    </row>
    <row r="2943" spans="1:10" x14ac:dyDescent="0.25">
      <c r="A2943">
        <v>292360</v>
      </c>
      <c r="B2943" t="s">
        <v>3097</v>
      </c>
      <c r="C2943" t="str">
        <f>"9780748618859"</f>
        <v>9780748618859</v>
      </c>
      <c r="D2943" t="str">
        <f>"9780748628902"</f>
        <v>9780748628902</v>
      </c>
      <c r="E2943" t="s">
        <v>1942</v>
      </c>
      <c r="F2943" t="s">
        <v>1942</v>
      </c>
      <c r="G2943" s="1">
        <v>39154</v>
      </c>
      <c r="H2943" s="1">
        <v>39207</v>
      </c>
      <c r="I2943" t="s">
        <v>12</v>
      </c>
      <c r="J2943" t="s">
        <v>13713</v>
      </c>
    </row>
    <row r="2944" spans="1:10" x14ac:dyDescent="0.25">
      <c r="A2944">
        <v>292362</v>
      </c>
      <c r="B2944" t="s">
        <v>3098</v>
      </c>
      <c r="C2944" t="str">
        <f>"9780748621538"</f>
        <v>9780748621538</v>
      </c>
      <c r="D2944" t="str">
        <f>"9780748629497"</f>
        <v>9780748629497</v>
      </c>
      <c r="E2944" t="s">
        <v>1942</v>
      </c>
      <c r="F2944" t="s">
        <v>1942</v>
      </c>
      <c r="G2944" s="1">
        <v>39142</v>
      </c>
      <c r="H2944" s="1">
        <v>39207</v>
      </c>
      <c r="I2944" t="s">
        <v>12</v>
      </c>
      <c r="J2944" t="s">
        <v>13714</v>
      </c>
    </row>
    <row r="2945" spans="1:10" x14ac:dyDescent="0.25">
      <c r="A2945">
        <v>292364</v>
      </c>
      <c r="B2945" t="s">
        <v>3099</v>
      </c>
      <c r="C2945" t="str">
        <f>"9780748622290"</f>
        <v>9780748622290</v>
      </c>
      <c r="D2945" t="str">
        <f>"9780748629695"</f>
        <v>9780748629695</v>
      </c>
      <c r="E2945" t="s">
        <v>1942</v>
      </c>
      <c r="F2945" t="s">
        <v>1942</v>
      </c>
      <c r="G2945" s="1">
        <v>39142</v>
      </c>
      <c r="H2945" s="1">
        <v>39207</v>
      </c>
      <c r="I2945" t="s">
        <v>12</v>
      </c>
      <c r="J2945" t="s">
        <v>13715</v>
      </c>
    </row>
    <row r="2946" spans="1:10" x14ac:dyDescent="0.25">
      <c r="A2946">
        <v>292365</v>
      </c>
      <c r="B2946" t="s">
        <v>3100</v>
      </c>
      <c r="C2946" t="str">
        <f>"9780748619108"</f>
        <v>9780748619108</v>
      </c>
      <c r="D2946" t="str">
        <f>"9780748628957"</f>
        <v>9780748628957</v>
      </c>
      <c r="E2946" t="s">
        <v>1942</v>
      </c>
      <c r="F2946" t="s">
        <v>1942</v>
      </c>
      <c r="G2946" s="1">
        <v>39142</v>
      </c>
      <c r="H2946" s="1">
        <v>39207</v>
      </c>
      <c r="I2946" t="s">
        <v>12</v>
      </c>
      <c r="J2946" t="s">
        <v>13716</v>
      </c>
    </row>
    <row r="2947" spans="1:10" x14ac:dyDescent="0.25">
      <c r="A2947">
        <v>292367</v>
      </c>
      <c r="B2947" t="s">
        <v>3101</v>
      </c>
      <c r="C2947" t="str">
        <f>"9780748627592"</f>
        <v>9780748627592</v>
      </c>
      <c r="D2947" t="str">
        <f>"9780748631605"</f>
        <v>9780748631605</v>
      </c>
      <c r="E2947" t="s">
        <v>1942</v>
      </c>
      <c r="F2947" t="s">
        <v>1942</v>
      </c>
      <c r="G2947" s="1">
        <v>39198</v>
      </c>
      <c r="H2947" s="1">
        <v>39207</v>
      </c>
      <c r="I2947" t="s">
        <v>12</v>
      </c>
      <c r="J2947" t="s">
        <v>13717</v>
      </c>
    </row>
    <row r="2948" spans="1:10" x14ac:dyDescent="0.25">
      <c r="A2948">
        <v>292371</v>
      </c>
      <c r="B2948" t="s">
        <v>3102</v>
      </c>
      <c r="C2948" t="str">
        <f>"9780748621743"</f>
        <v>9780748621743</v>
      </c>
      <c r="D2948" t="str">
        <f>"9780748629541"</f>
        <v>9780748629541</v>
      </c>
      <c r="E2948" t="s">
        <v>1942</v>
      </c>
      <c r="F2948" t="s">
        <v>1942</v>
      </c>
      <c r="G2948" s="1">
        <v>39190</v>
      </c>
      <c r="H2948" s="1">
        <v>39207</v>
      </c>
      <c r="I2948" t="s">
        <v>12</v>
      </c>
      <c r="J2948" t="s">
        <v>13718</v>
      </c>
    </row>
    <row r="2949" spans="1:10" x14ac:dyDescent="0.25">
      <c r="A2949">
        <v>292391</v>
      </c>
      <c r="B2949" t="s">
        <v>3103</v>
      </c>
      <c r="C2949" t="str">
        <f>"9780415975926"</f>
        <v>9780415975926</v>
      </c>
      <c r="D2949" t="str">
        <f>"9780203959527"</f>
        <v>9780203959527</v>
      </c>
      <c r="E2949" t="s">
        <v>16</v>
      </c>
      <c r="F2949" t="s">
        <v>16</v>
      </c>
      <c r="G2949" s="1">
        <v>38811</v>
      </c>
      <c r="H2949" s="1">
        <v>39213</v>
      </c>
      <c r="I2949" t="s">
        <v>12</v>
      </c>
      <c r="J2949" t="s">
        <v>13719</v>
      </c>
    </row>
    <row r="2950" spans="1:10" x14ac:dyDescent="0.25">
      <c r="A2950">
        <v>292412</v>
      </c>
      <c r="B2950" t="s">
        <v>3104</v>
      </c>
      <c r="C2950" t="str">
        <f>"9780415976558"</f>
        <v>9780415976558</v>
      </c>
      <c r="D2950" t="str">
        <f>"9780203944073"</f>
        <v>9780203944073</v>
      </c>
      <c r="E2950" t="s">
        <v>15</v>
      </c>
      <c r="F2950" t="s">
        <v>16</v>
      </c>
      <c r="G2950" s="1">
        <v>38978</v>
      </c>
      <c r="H2950" s="1">
        <v>39213</v>
      </c>
      <c r="I2950" t="s">
        <v>12</v>
      </c>
      <c r="J2950" t="s">
        <v>13720</v>
      </c>
    </row>
    <row r="2951" spans="1:10" x14ac:dyDescent="0.25">
      <c r="A2951">
        <v>292421</v>
      </c>
      <c r="B2951" t="s">
        <v>3105</v>
      </c>
      <c r="C2951" t="str">
        <f>"9780415974196"</f>
        <v>9780415974196</v>
      </c>
      <c r="D2951" t="str">
        <f>"9780203958933"</f>
        <v>9780203958933</v>
      </c>
      <c r="E2951" t="s">
        <v>15</v>
      </c>
      <c r="F2951" t="s">
        <v>16</v>
      </c>
      <c r="G2951" s="1">
        <v>38800</v>
      </c>
      <c r="H2951" s="1">
        <v>39213</v>
      </c>
      <c r="I2951" t="s">
        <v>12</v>
      </c>
      <c r="J2951" t="s">
        <v>13721</v>
      </c>
    </row>
    <row r="2952" spans="1:10" x14ac:dyDescent="0.25">
      <c r="A2952">
        <v>292740</v>
      </c>
      <c r="B2952" t="s">
        <v>3106</v>
      </c>
      <c r="C2952" t="str">
        <f>"9780415346535"</f>
        <v>9780415346535</v>
      </c>
      <c r="D2952" t="str">
        <f>"9780203624333"</f>
        <v>9780203624333</v>
      </c>
      <c r="E2952" t="s">
        <v>15</v>
      </c>
      <c r="F2952" t="s">
        <v>16</v>
      </c>
      <c r="G2952" s="1">
        <v>39077</v>
      </c>
      <c r="H2952" s="1">
        <v>39211</v>
      </c>
      <c r="I2952" t="s">
        <v>12</v>
      </c>
      <c r="J2952" t="s">
        <v>13722</v>
      </c>
    </row>
    <row r="2953" spans="1:10" x14ac:dyDescent="0.25">
      <c r="A2953">
        <v>292741</v>
      </c>
      <c r="B2953" t="s">
        <v>3107</v>
      </c>
      <c r="C2953" t="str">
        <f>"9780415137836"</f>
        <v>9780415137836</v>
      </c>
      <c r="D2953" t="str">
        <f>"9780203966617"</f>
        <v>9780203966617</v>
      </c>
      <c r="E2953" t="s">
        <v>15</v>
      </c>
      <c r="F2953" t="s">
        <v>16</v>
      </c>
      <c r="G2953" s="1">
        <v>39077</v>
      </c>
      <c r="H2953" s="1">
        <v>39211</v>
      </c>
      <c r="I2953" t="s">
        <v>12</v>
      </c>
      <c r="J2953" t="s">
        <v>13723</v>
      </c>
    </row>
    <row r="2954" spans="1:10" x14ac:dyDescent="0.25">
      <c r="A2954">
        <v>292745</v>
      </c>
      <c r="B2954" t="s">
        <v>3108</v>
      </c>
      <c r="C2954" t="str">
        <f>"9780415258234"</f>
        <v>9780415258234</v>
      </c>
      <c r="D2954" t="str">
        <f>"9780203966471"</f>
        <v>9780203966471</v>
      </c>
      <c r="E2954" t="s">
        <v>15</v>
      </c>
      <c r="F2954" t="s">
        <v>16</v>
      </c>
      <c r="G2954" s="1">
        <v>39147</v>
      </c>
      <c r="H2954" s="1">
        <v>39211</v>
      </c>
      <c r="I2954" t="s">
        <v>12</v>
      </c>
      <c r="J2954" t="s">
        <v>13724</v>
      </c>
    </row>
    <row r="2955" spans="1:10" x14ac:dyDescent="0.25">
      <c r="A2955">
        <v>292747</v>
      </c>
      <c r="B2955" t="s">
        <v>3109</v>
      </c>
      <c r="C2955" t="str">
        <f>"9780415259569"</f>
        <v>9780415259569</v>
      </c>
      <c r="D2955" t="str">
        <f>"9780203646649"</f>
        <v>9780203646649</v>
      </c>
      <c r="E2955" t="s">
        <v>15</v>
      </c>
      <c r="F2955" t="s">
        <v>16</v>
      </c>
      <c r="G2955" s="1">
        <v>39070</v>
      </c>
      <c r="H2955" s="1">
        <v>39211</v>
      </c>
      <c r="I2955" t="s">
        <v>12</v>
      </c>
      <c r="J2955" t="s">
        <v>13725</v>
      </c>
    </row>
    <row r="2956" spans="1:10" x14ac:dyDescent="0.25">
      <c r="A2956">
        <v>292749</v>
      </c>
      <c r="B2956" t="s">
        <v>3110</v>
      </c>
      <c r="C2956" t="str">
        <f>"9780415283809"</f>
        <v>9780415283809</v>
      </c>
      <c r="D2956" t="str">
        <f>"9780203964897"</f>
        <v>9780203964897</v>
      </c>
      <c r="E2956" t="s">
        <v>15</v>
      </c>
      <c r="F2956" t="s">
        <v>16</v>
      </c>
      <c r="G2956" s="1">
        <v>39224</v>
      </c>
      <c r="H2956" s="1">
        <v>39211</v>
      </c>
      <c r="I2956" t="s">
        <v>12</v>
      </c>
      <c r="J2956" t="s">
        <v>13726</v>
      </c>
    </row>
    <row r="2957" spans="1:10" x14ac:dyDescent="0.25">
      <c r="A2957">
        <v>292750</v>
      </c>
      <c r="B2957" t="s">
        <v>3111</v>
      </c>
      <c r="C2957" t="str">
        <f>"9780415284295"</f>
        <v>9780415284295</v>
      </c>
      <c r="D2957" t="str">
        <f>"9780203964187"</f>
        <v>9780203964187</v>
      </c>
      <c r="E2957" t="s">
        <v>15</v>
      </c>
      <c r="F2957" t="s">
        <v>16</v>
      </c>
      <c r="G2957" s="1">
        <v>38737</v>
      </c>
      <c r="H2957" s="1">
        <v>39211</v>
      </c>
      <c r="I2957" t="s">
        <v>12</v>
      </c>
      <c r="J2957" t="s">
        <v>13727</v>
      </c>
    </row>
    <row r="2958" spans="1:10" x14ac:dyDescent="0.25">
      <c r="A2958">
        <v>292751</v>
      </c>
      <c r="B2958" t="s">
        <v>3112</v>
      </c>
      <c r="C2958" t="str">
        <f>"9780415285421"</f>
        <v>9780415285421</v>
      </c>
      <c r="D2958" t="str">
        <f>"9780203965894"</f>
        <v>9780203965894</v>
      </c>
      <c r="E2958" t="s">
        <v>15</v>
      </c>
      <c r="F2958" t="s">
        <v>16</v>
      </c>
      <c r="G2958" s="1">
        <v>39090</v>
      </c>
      <c r="H2958" s="1">
        <v>39211</v>
      </c>
      <c r="I2958" t="s">
        <v>12</v>
      </c>
      <c r="J2958" t="s">
        <v>13728</v>
      </c>
    </row>
    <row r="2959" spans="1:10" x14ac:dyDescent="0.25">
      <c r="A2959">
        <v>292752</v>
      </c>
      <c r="B2959" t="s">
        <v>3113</v>
      </c>
      <c r="C2959" t="str">
        <f>"9780415285445"</f>
        <v>9780415285445</v>
      </c>
      <c r="D2959" t="str">
        <f>"9780203969472"</f>
        <v>9780203969472</v>
      </c>
      <c r="E2959" t="s">
        <v>15</v>
      </c>
      <c r="F2959" t="s">
        <v>16</v>
      </c>
      <c r="G2959" s="1">
        <v>38924</v>
      </c>
      <c r="H2959" s="1">
        <v>39211</v>
      </c>
      <c r="I2959" t="s">
        <v>12</v>
      </c>
      <c r="J2959" t="s">
        <v>13729</v>
      </c>
    </row>
    <row r="2960" spans="1:10" x14ac:dyDescent="0.25">
      <c r="A2960">
        <v>292753</v>
      </c>
      <c r="B2960" t="s">
        <v>3114</v>
      </c>
      <c r="C2960" t="str">
        <f>"9780415290449"</f>
        <v>9780415290449</v>
      </c>
      <c r="D2960" t="str">
        <f>"9780203966815"</f>
        <v>9780203966815</v>
      </c>
      <c r="E2960" t="s">
        <v>15</v>
      </c>
      <c r="F2960" t="s">
        <v>153</v>
      </c>
      <c r="G2960" s="1">
        <v>39139</v>
      </c>
      <c r="H2960" s="1">
        <v>39211</v>
      </c>
      <c r="I2960" t="s">
        <v>12</v>
      </c>
      <c r="J2960" t="s">
        <v>13730</v>
      </c>
    </row>
    <row r="2961" spans="1:10" x14ac:dyDescent="0.25">
      <c r="A2961">
        <v>292755</v>
      </c>
      <c r="B2961" t="s">
        <v>3115</v>
      </c>
      <c r="C2961" t="str">
        <f>"9780415298445"</f>
        <v>9780415298445</v>
      </c>
      <c r="D2961" t="str">
        <f>"9780203967492"</f>
        <v>9780203967492</v>
      </c>
      <c r="E2961" t="s">
        <v>15</v>
      </c>
      <c r="F2961" t="s">
        <v>16</v>
      </c>
      <c r="G2961" s="1">
        <v>39070</v>
      </c>
      <c r="H2961" s="1">
        <v>39211</v>
      </c>
      <c r="I2961" t="s">
        <v>12</v>
      </c>
      <c r="J2961" t="s">
        <v>13731</v>
      </c>
    </row>
    <row r="2962" spans="1:10" x14ac:dyDescent="0.25">
      <c r="A2962">
        <v>292758</v>
      </c>
      <c r="B2962" t="s">
        <v>3116</v>
      </c>
      <c r="C2962" t="str">
        <f>"9780415315906"</f>
        <v>9780415315906</v>
      </c>
      <c r="D2962" t="str">
        <f>"9780203964859"</f>
        <v>9780203964859</v>
      </c>
      <c r="E2962" t="s">
        <v>15</v>
      </c>
      <c r="F2962" t="s">
        <v>16</v>
      </c>
      <c r="G2962" s="1">
        <v>39182</v>
      </c>
      <c r="H2962" s="1">
        <v>39211</v>
      </c>
      <c r="I2962" t="s">
        <v>12</v>
      </c>
      <c r="J2962" t="s">
        <v>13732</v>
      </c>
    </row>
    <row r="2963" spans="1:10" x14ac:dyDescent="0.25">
      <c r="A2963">
        <v>292759</v>
      </c>
      <c r="B2963" t="s">
        <v>3117</v>
      </c>
      <c r="C2963" t="str">
        <f>"9780415317665"</f>
        <v>9780415317665</v>
      </c>
      <c r="D2963" t="str">
        <f>"9780203593769"</f>
        <v>9780203593769</v>
      </c>
      <c r="E2963" t="s">
        <v>15</v>
      </c>
      <c r="F2963" t="s">
        <v>16</v>
      </c>
      <c r="G2963" s="1">
        <v>39057</v>
      </c>
      <c r="H2963" s="1">
        <v>39211</v>
      </c>
      <c r="I2963" t="s">
        <v>12</v>
      </c>
      <c r="J2963" t="s">
        <v>13733</v>
      </c>
    </row>
    <row r="2964" spans="1:10" x14ac:dyDescent="0.25">
      <c r="A2964">
        <v>292760</v>
      </c>
      <c r="B2964" t="s">
        <v>3118</v>
      </c>
      <c r="C2964" t="str">
        <f>"9780415319478"</f>
        <v>9780415319478</v>
      </c>
      <c r="D2964" t="str">
        <f>"9780203625521"</f>
        <v>9780203625521</v>
      </c>
      <c r="E2964" t="s">
        <v>15</v>
      </c>
      <c r="F2964" t="s">
        <v>16</v>
      </c>
      <c r="G2964" s="1">
        <v>39007</v>
      </c>
      <c r="H2964" s="1">
        <v>39211</v>
      </c>
      <c r="I2964" t="s">
        <v>12</v>
      </c>
      <c r="J2964" t="s">
        <v>13734</v>
      </c>
    </row>
    <row r="2965" spans="1:10" x14ac:dyDescent="0.25">
      <c r="A2965">
        <v>292761</v>
      </c>
      <c r="B2965" t="s">
        <v>3119</v>
      </c>
      <c r="C2965" t="str">
        <f>"9780415321617"</f>
        <v>9780415321617</v>
      </c>
      <c r="D2965" t="str">
        <f>"9780203100110"</f>
        <v>9780203100110</v>
      </c>
      <c r="E2965" t="s">
        <v>15</v>
      </c>
      <c r="F2965" t="s">
        <v>16</v>
      </c>
      <c r="G2965" s="1">
        <v>39177</v>
      </c>
      <c r="H2965" s="1">
        <v>39211</v>
      </c>
      <c r="I2965" t="s">
        <v>12</v>
      </c>
      <c r="J2965" t="s">
        <v>13735</v>
      </c>
    </row>
    <row r="2966" spans="1:10" x14ac:dyDescent="0.25">
      <c r="A2966">
        <v>292764</v>
      </c>
      <c r="B2966" t="s">
        <v>3120</v>
      </c>
      <c r="C2966" t="str">
        <f>"9780415327220"</f>
        <v>9780415327220</v>
      </c>
      <c r="D2966" t="str">
        <f>"9780203358641"</f>
        <v>9780203358641</v>
      </c>
      <c r="E2966" t="s">
        <v>144</v>
      </c>
      <c r="F2966" t="s">
        <v>16</v>
      </c>
      <c r="G2966" s="1">
        <v>38730</v>
      </c>
      <c r="H2966" s="1">
        <v>39211</v>
      </c>
      <c r="I2966" t="s">
        <v>12</v>
      </c>
      <c r="J2966" t="s">
        <v>13736</v>
      </c>
    </row>
    <row r="2967" spans="1:10" x14ac:dyDescent="0.25">
      <c r="A2967">
        <v>292773</v>
      </c>
      <c r="B2967" t="s">
        <v>3121</v>
      </c>
      <c r="C2967" t="str">
        <f>"9780415344623"</f>
        <v>9780415344623</v>
      </c>
      <c r="D2967" t="str">
        <f>"9780203695036"</f>
        <v>9780203695036</v>
      </c>
      <c r="E2967" t="s">
        <v>15</v>
      </c>
      <c r="F2967" t="s">
        <v>16</v>
      </c>
      <c r="G2967" s="1">
        <v>39057</v>
      </c>
      <c r="H2967" s="1">
        <v>39211</v>
      </c>
      <c r="I2967" t="s">
        <v>12</v>
      </c>
      <c r="J2967" t="s">
        <v>13737</v>
      </c>
    </row>
    <row r="2968" spans="1:10" x14ac:dyDescent="0.25">
      <c r="A2968">
        <v>292775</v>
      </c>
      <c r="B2968" t="s">
        <v>3122</v>
      </c>
      <c r="C2968" t="str">
        <f>"9780415346085"</f>
        <v>9780415346085</v>
      </c>
      <c r="D2968" t="str">
        <f>"9780203596784"</f>
        <v>9780203596784</v>
      </c>
      <c r="E2968" t="s">
        <v>15</v>
      </c>
      <c r="F2968" t="s">
        <v>16</v>
      </c>
      <c r="G2968" s="1">
        <v>38863</v>
      </c>
      <c r="H2968" s="1">
        <v>39211</v>
      </c>
      <c r="I2968" t="s">
        <v>12</v>
      </c>
      <c r="J2968" t="s">
        <v>13738</v>
      </c>
    </row>
    <row r="2969" spans="1:10" x14ac:dyDescent="0.25">
      <c r="A2969">
        <v>292777</v>
      </c>
      <c r="B2969" t="s">
        <v>3123</v>
      </c>
      <c r="C2969" t="str">
        <f>"9780415346337"</f>
        <v>9780415346337</v>
      </c>
      <c r="D2969" t="str">
        <f>"9780203597118"</f>
        <v>9780203597118</v>
      </c>
      <c r="E2969" t="s">
        <v>15</v>
      </c>
      <c r="F2969" t="s">
        <v>16</v>
      </c>
      <c r="G2969" s="1">
        <v>39048</v>
      </c>
      <c r="H2969" s="1">
        <v>39211</v>
      </c>
      <c r="I2969" t="s">
        <v>12</v>
      </c>
      <c r="J2969" t="s">
        <v>13739</v>
      </c>
    </row>
    <row r="2970" spans="1:10" x14ac:dyDescent="0.25">
      <c r="A2970">
        <v>292786</v>
      </c>
      <c r="B2970" t="s">
        <v>3124</v>
      </c>
      <c r="C2970" t="str">
        <f>"9780415354578"</f>
        <v>9780415354578</v>
      </c>
      <c r="D2970" t="str">
        <f>"9780203001233"</f>
        <v>9780203001233</v>
      </c>
      <c r="E2970" t="s">
        <v>15</v>
      </c>
      <c r="F2970" t="s">
        <v>16</v>
      </c>
      <c r="G2970" s="1">
        <v>39064</v>
      </c>
      <c r="H2970" s="1">
        <v>39269</v>
      </c>
      <c r="I2970" t="s">
        <v>12</v>
      </c>
      <c r="J2970" t="s">
        <v>13740</v>
      </c>
    </row>
    <row r="2971" spans="1:10" x14ac:dyDescent="0.25">
      <c r="A2971">
        <v>292788</v>
      </c>
      <c r="B2971" t="s">
        <v>3125</v>
      </c>
      <c r="C2971" t="str">
        <f>"9780415355421"</f>
        <v>9780415355421</v>
      </c>
      <c r="D2971" t="str">
        <f>"9780203964408"</f>
        <v>9780203964408</v>
      </c>
      <c r="E2971" t="s">
        <v>15</v>
      </c>
      <c r="F2971" t="s">
        <v>16</v>
      </c>
      <c r="G2971" s="1">
        <v>39153</v>
      </c>
      <c r="H2971" s="1">
        <v>39211</v>
      </c>
      <c r="I2971" t="s">
        <v>12</v>
      </c>
      <c r="J2971" t="s">
        <v>13741</v>
      </c>
    </row>
    <row r="2972" spans="1:10" x14ac:dyDescent="0.25">
      <c r="A2972">
        <v>292791</v>
      </c>
      <c r="B2972" t="s">
        <v>3126</v>
      </c>
      <c r="C2972" t="str">
        <f>"9780415357777"</f>
        <v>9780415357777</v>
      </c>
      <c r="D2972" t="str">
        <f>"9780203003831"</f>
        <v>9780203003831</v>
      </c>
      <c r="E2972" t="s">
        <v>15</v>
      </c>
      <c r="F2972" t="s">
        <v>16</v>
      </c>
      <c r="G2972" s="1">
        <v>39057</v>
      </c>
      <c r="H2972" s="1">
        <v>39211</v>
      </c>
      <c r="I2972" t="s">
        <v>12</v>
      </c>
      <c r="J2972" t="s">
        <v>13742</v>
      </c>
    </row>
    <row r="2973" spans="1:10" x14ac:dyDescent="0.25">
      <c r="A2973">
        <v>292794</v>
      </c>
      <c r="B2973" t="s">
        <v>3127</v>
      </c>
      <c r="C2973" t="str">
        <f>"9780415358620"</f>
        <v>9780415358620</v>
      </c>
      <c r="D2973" t="str">
        <f>"9780203006504"</f>
        <v>9780203006504</v>
      </c>
      <c r="E2973" t="s">
        <v>15</v>
      </c>
      <c r="F2973" t="s">
        <v>16</v>
      </c>
      <c r="G2973" s="1">
        <v>39020</v>
      </c>
      <c r="H2973" s="1">
        <v>39211</v>
      </c>
      <c r="I2973" t="s">
        <v>12</v>
      </c>
      <c r="J2973" t="s">
        <v>13743</v>
      </c>
    </row>
    <row r="2974" spans="1:10" x14ac:dyDescent="0.25">
      <c r="A2974">
        <v>292796</v>
      </c>
      <c r="B2974" t="s">
        <v>3128</v>
      </c>
      <c r="C2974" t="str">
        <f>"9780415363181"</f>
        <v>9780415363181</v>
      </c>
      <c r="D2974" t="str">
        <f>"9780203013557"</f>
        <v>9780203013557</v>
      </c>
      <c r="E2974" t="s">
        <v>15</v>
      </c>
      <c r="F2974" t="s">
        <v>16</v>
      </c>
      <c r="G2974" s="1">
        <v>38947</v>
      </c>
      <c r="H2974" s="1">
        <v>39211</v>
      </c>
      <c r="I2974" t="s">
        <v>12</v>
      </c>
      <c r="J2974" t="s">
        <v>13744</v>
      </c>
    </row>
    <row r="2975" spans="1:10" x14ac:dyDescent="0.25">
      <c r="A2975">
        <v>292798</v>
      </c>
      <c r="B2975" t="s">
        <v>3129</v>
      </c>
      <c r="C2975" t="str">
        <f>"9780415363440"</f>
        <v>9780415363440</v>
      </c>
      <c r="D2975" t="str">
        <f>"9780203014349"</f>
        <v>9780203014349</v>
      </c>
      <c r="E2975" t="s">
        <v>15</v>
      </c>
      <c r="F2975" t="s">
        <v>16</v>
      </c>
      <c r="G2975" s="1">
        <v>39189</v>
      </c>
      <c r="H2975" s="1">
        <v>41877</v>
      </c>
      <c r="I2975" t="s">
        <v>12</v>
      </c>
      <c r="J2975" t="s">
        <v>13745</v>
      </c>
    </row>
    <row r="2976" spans="1:10" x14ac:dyDescent="0.25">
      <c r="A2976">
        <v>292804</v>
      </c>
      <c r="B2976" t="s">
        <v>3130</v>
      </c>
      <c r="C2976" t="str">
        <f>"9780415365239"</f>
        <v>9780415365239</v>
      </c>
      <c r="D2976" t="str">
        <f>"9780203016633"</f>
        <v>9780203016633</v>
      </c>
      <c r="E2976" t="s">
        <v>15</v>
      </c>
      <c r="F2976" t="s">
        <v>16</v>
      </c>
      <c r="G2976" s="1">
        <v>39136</v>
      </c>
      <c r="H2976" s="1">
        <v>39211</v>
      </c>
      <c r="I2976" t="s">
        <v>12</v>
      </c>
      <c r="J2976" t="s">
        <v>13746</v>
      </c>
    </row>
    <row r="2977" spans="1:10" x14ac:dyDescent="0.25">
      <c r="A2977">
        <v>292805</v>
      </c>
      <c r="B2977" t="s">
        <v>3131</v>
      </c>
      <c r="C2977" t="str">
        <f>"9780415365277"</f>
        <v>9780415365277</v>
      </c>
      <c r="D2977" t="str">
        <f>"9780203016459"</f>
        <v>9780203016459</v>
      </c>
      <c r="E2977" t="s">
        <v>15</v>
      </c>
      <c r="F2977" t="s">
        <v>16</v>
      </c>
      <c r="G2977" s="1">
        <v>39136</v>
      </c>
      <c r="H2977" s="1">
        <v>39211</v>
      </c>
      <c r="I2977" t="s">
        <v>12</v>
      </c>
      <c r="J2977" t="s">
        <v>13747</v>
      </c>
    </row>
    <row r="2978" spans="1:10" x14ac:dyDescent="0.25">
      <c r="A2978">
        <v>292806</v>
      </c>
      <c r="B2978" t="s">
        <v>3132</v>
      </c>
      <c r="C2978" t="str">
        <f>"9780415366038"</f>
        <v>9780415366038</v>
      </c>
      <c r="D2978" t="str">
        <f>"9780203018583"</f>
        <v>9780203018583</v>
      </c>
      <c r="E2978" t="s">
        <v>15</v>
      </c>
      <c r="F2978" t="s">
        <v>16</v>
      </c>
      <c r="G2978" s="1">
        <v>39063</v>
      </c>
      <c r="H2978" s="1">
        <v>39211</v>
      </c>
      <c r="I2978" t="s">
        <v>12</v>
      </c>
      <c r="J2978" t="s">
        <v>13748</v>
      </c>
    </row>
    <row r="2979" spans="1:10" x14ac:dyDescent="0.25">
      <c r="A2979">
        <v>292813</v>
      </c>
      <c r="B2979" t="s">
        <v>3133</v>
      </c>
      <c r="C2979" t="str">
        <f>"9780415368407"</f>
        <v>9780415368407</v>
      </c>
      <c r="D2979" t="str">
        <f>"9780203028223"</f>
        <v>9780203028223</v>
      </c>
      <c r="E2979" t="s">
        <v>15</v>
      </c>
      <c r="F2979" t="s">
        <v>16</v>
      </c>
      <c r="G2979" s="1">
        <v>39055</v>
      </c>
      <c r="H2979" s="1">
        <v>39211</v>
      </c>
      <c r="I2979" t="s">
        <v>12</v>
      </c>
      <c r="J2979" t="s">
        <v>13749</v>
      </c>
    </row>
    <row r="2980" spans="1:10" x14ac:dyDescent="0.25">
      <c r="A2980">
        <v>292815</v>
      </c>
      <c r="B2980" t="s">
        <v>3134</v>
      </c>
      <c r="C2980" t="str">
        <f>"9780415368599"</f>
        <v>9780415368599</v>
      </c>
      <c r="D2980" t="str">
        <f>"9780203098837"</f>
        <v>9780203098837</v>
      </c>
      <c r="E2980" t="s">
        <v>15</v>
      </c>
      <c r="F2980" t="s">
        <v>16</v>
      </c>
      <c r="G2980" s="1">
        <v>39189</v>
      </c>
      <c r="H2980" s="1">
        <v>39211</v>
      </c>
      <c r="I2980" t="s">
        <v>12</v>
      </c>
      <c r="J2980" t="s">
        <v>13750</v>
      </c>
    </row>
    <row r="2981" spans="1:10" x14ac:dyDescent="0.25">
      <c r="A2981">
        <v>292816</v>
      </c>
      <c r="B2981" t="s">
        <v>3135</v>
      </c>
      <c r="C2981" t="str">
        <f>"9780415368612"</f>
        <v>9780415368612</v>
      </c>
      <c r="D2981" t="str">
        <f>"9780203028957"</f>
        <v>9780203028957</v>
      </c>
      <c r="E2981" t="s">
        <v>15</v>
      </c>
      <c r="F2981" t="s">
        <v>16</v>
      </c>
      <c r="G2981" s="1">
        <v>39014</v>
      </c>
      <c r="H2981" s="1">
        <v>39211</v>
      </c>
      <c r="I2981" t="s">
        <v>12</v>
      </c>
      <c r="J2981" t="s">
        <v>13751</v>
      </c>
    </row>
    <row r="2982" spans="1:10" x14ac:dyDescent="0.25">
      <c r="A2982">
        <v>292818</v>
      </c>
      <c r="B2982" t="s">
        <v>3136</v>
      </c>
      <c r="C2982" t="str">
        <f>"9780415368803"</f>
        <v>9780415368803</v>
      </c>
      <c r="D2982" t="str">
        <f>"9780203029060"</f>
        <v>9780203029060</v>
      </c>
      <c r="E2982" t="s">
        <v>15</v>
      </c>
      <c r="F2982" t="s">
        <v>16</v>
      </c>
      <c r="G2982" s="1">
        <v>39066</v>
      </c>
      <c r="H2982" s="1">
        <v>39211</v>
      </c>
      <c r="I2982" t="s">
        <v>12</v>
      </c>
      <c r="J2982" t="s">
        <v>13752</v>
      </c>
    </row>
    <row r="2983" spans="1:10" x14ac:dyDescent="0.25">
      <c r="A2983">
        <v>292821</v>
      </c>
      <c r="B2983" t="s">
        <v>3137</v>
      </c>
      <c r="C2983" t="str">
        <f>"9780415370554"</f>
        <v>9780415370554</v>
      </c>
      <c r="D2983" t="str">
        <f>"9780203030363"</f>
        <v>9780203030363</v>
      </c>
      <c r="E2983" t="s">
        <v>144</v>
      </c>
      <c r="F2983" t="s">
        <v>16</v>
      </c>
      <c r="G2983" s="1">
        <v>38905</v>
      </c>
      <c r="H2983" s="1">
        <v>39211</v>
      </c>
      <c r="I2983" t="s">
        <v>12</v>
      </c>
      <c r="J2983" t="s">
        <v>13753</v>
      </c>
    </row>
    <row r="2984" spans="1:10" x14ac:dyDescent="0.25">
      <c r="A2984">
        <v>292822</v>
      </c>
      <c r="B2984" t="s">
        <v>3138</v>
      </c>
      <c r="C2984" t="str">
        <f>"9780415370684"</f>
        <v>9780415370684</v>
      </c>
      <c r="D2984" t="str">
        <f>"9780203030516"</f>
        <v>9780203030516</v>
      </c>
      <c r="E2984" t="s">
        <v>15</v>
      </c>
      <c r="F2984" t="s">
        <v>16</v>
      </c>
      <c r="G2984" s="1">
        <v>38975</v>
      </c>
      <c r="H2984" s="1">
        <v>39211</v>
      </c>
      <c r="I2984" t="s">
        <v>12</v>
      </c>
      <c r="J2984" t="s">
        <v>13754</v>
      </c>
    </row>
    <row r="2985" spans="1:10" x14ac:dyDescent="0.25">
      <c r="A2985">
        <v>292832</v>
      </c>
      <c r="B2985" t="s">
        <v>3139</v>
      </c>
      <c r="C2985" t="str">
        <f>"9780415373241"</f>
        <v>9780415373241</v>
      </c>
      <c r="D2985" t="str">
        <f>"9780203098813"</f>
        <v>9780203098813</v>
      </c>
      <c r="E2985" t="s">
        <v>15</v>
      </c>
      <c r="F2985" t="s">
        <v>16</v>
      </c>
      <c r="G2985" s="1">
        <v>39196</v>
      </c>
      <c r="H2985" s="1">
        <v>39211</v>
      </c>
      <c r="I2985" t="s">
        <v>12</v>
      </c>
      <c r="J2985" t="s">
        <v>13755</v>
      </c>
    </row>
    <row r="2986" spans="1:10" x14ac:dyDescent="0.25">
      <c r="A2986">
        <v>292834</v>
      </c>
      <c r="B2986" t="s">
        <v>3140</v>
      </c>
      <c r="C2986" t="str">
        <f>"9780415373371"</f>
        <v>9780415373371</v>
      </c>
      <c r="D2986" t="str">
        <f>"9780203964071"</f>
        <v>9780203964071</v>
      </c>
      <c r="E2986" t="s">
        <v>15</v>
      </c>
      <c r="F2986" t="s">
        <v>16</v>
      </c>
      <c r="G2986" s="1">
        <v>39196</v>
      </c>
      <c r="H2986" s="1">
        <v>41877</v>
      </c>
      <c r="I2986" t="s">
        <v>12</v>
      </c>
      <c r="J2986" t="s">
        <v>13756</v>
      </c>
    </row>
    <row r="2987" spans="1:10" x14ac:dyDescent="0.25">
      <c r="A2987">
        <v>292838</v>
      </c>
      <c r="B2987" t="s">
        <v>3141</v>
      </c>
      <c r="C2987" t="str">
        <f>"9780415376174"</f>
        <v>9780415376174</v>
      </c>
      <c r="D2987" t="str">
        <f>"9780203946923"</f>
        <v>9780203946923</v>
      </c>
      <c r="E2987" t="s">
        <v>15</v>
      </c>
      <c r="F2987" t="s">
        <v>16</v>
      </c>
      <c r="G2987" s="1">
        <v>39077</v>
      </c>
      <c r="H2987" s="1">
        <v>39211</v>
      </c>
      <c r="I2987" t="s">
        <v>12</v>
      </c>
      <c r="J2987" t="s">
        <v>13757</v>
      </c>
    </row>
    <row r="2988" spans="1:10" x14ac:dyDescent="0.25">
      <c r="A2988">
        <v>292844</v>
      </c>
      <c r="B2988" t="s">
        <v>3142</v>
      </c>
      <c r="C2988" t="str">
        <f>"9780415379137"</f>
        <v>9780415379137</v>
      </c>
      <c r="D2988" t="str">
        <f>"9780203965160"</f>
        <v>9780203965160</v>
      </c>
      <c r="E2988" t="s">
        <v>15</v>
      </c>
      <c r="F2988" t="s">
        <v>16</v>
      </c>
      <c r="G2988" s="1">
        <v>38862</v>
      </c>
      <c r="H2988" s="1">
        <v>39211</v>
      </c>
      <c r="I2988" t="s">
        <v>12</v>
      </c>
      <c r="J2988" t="s">
        <v>13758</v>
      </c>
    </row>
    <row r="2989" spans="1:10" x14ac:dyDescent="0.25">
      <c r="A2989">
        <v>292845</v>
      </c>
      <c r="B2989" t="s">
        <v>3143</v>
      </c>
      <c r="C2989" t="str">
        <f>"9780415379519"</f>
        <v>9780415379519</v>
      </c>
      <c r="D2989" t="str">
        <f>"9780203446850"</f>
        <v>9780203446850</v>
      </c>
      <c r="E2989" t="s">
        <v>15</v>
      </c>
      <c r="F2989" t="s">
        <v>16</v>
      </c>
      <c r="G2989" s="1">
        <v>39182</v>
      </c>
      <c r="H2989" s="1">
        <v>39211</v>
      </c>
      <c r="I2989" t="s">
        <v>12</v>
      </c>
      <c r="J2989" t="s">
        <v>13759</v>
      </c>
    </row>
    <row r="2990" spans="1:10" x14ac:dyDescent="0.25">
      <c r="A2990">
        <v>292846</v>
      </c>
      <c r="B2990" t="s">
        <v>3144</v>
      </c>
      <c r="C2990" t="str">
        <f>"9780415380683"</f>
        <v>9780415380683</v>
      </c>
      <c r="D2990" t="str">
        <f>"9780203967362"</f>
        <v>9780203967362</v>
      </c>
      <c r="E2990" t="s">
        <v>15</v>
      </c>
      <c r="F2990" t="s">
        <v>16</v>
      </c>
      <c r="G2990" s="1">
        <v>39139</v>
      </c>
      <c r="H2990" s="1">
        <v>39211</v>
      </c>
      <c r="I2990" t="s">
        <v>12</v>
      </c>
      <c r="J2990" t="s">
        <v>13760</v>
      </c>
    </row>
    <row r="2991" spans="1:10" x14ac:dyDescent="0.25">
      <c r="A2991">
        <v>292850</v>
      </c>
      <c r="B2991" t="s">
        <v>3145</v>
      </c>
      <c r="C2991" t="str">
        <f>"9780415382236"</f>
        <v>9780415382236</v>
      </c>
      <c r="D2991" t="str">
        <f>"9780203099667"</f>
        <v>9780203099667</v>
      </c>
      <c r="E2991" t="s">
        <v>15</v>
      </c>
      <c r="F2991" t="s">
        <v>16</v>
      </c>
      <c r="G2991" s="1">
        <v>38923</v>
      </c>
      <c r="H2991" s="1">
        <v>39211</v>
      </c>
      <c r="I2991" t="s">
        <v>12</v>
      </c>
      <c r="J2991" t="s">
        <v>13761</v>
      </c>
    </row>
    <row r="2992" spans="1:10" x14ac:dyDescent="0.25">
      <c r="A2992">
        <v>292855</v>
      </c>
      <c r="B2992" t="s">
        <v>3146</v>
      </c>
      <c r="C2992" t="str">
        <f>"9780415383844"</f>
        <v>9780415383844</v>
      </c>
      <c r="D2992" t="str">
        <f>"9780203968239"</f>
        <v>9780203968239</v>
      </c>
      <c r="E2992" t="s">
        <v>15</v>
      </c>
      <c r="F2992" t="s">
        <v>16</v>
      </c>
      <c r="G2992" s="1">
        <v>39136</v>
      </c>
      <c r="H2992" s="1">
        <v>39211</v>
      </c>
      <c r="I2992" t="s">
        <v>12</v>
      </c>
      <c r="J2992" t="s">
        <v>13762</v>
      </c>
    </row>
    <row r="2993" spans="1:10" x14ac:dyDescent="0.25">
      <c r="A2993">
        <v>292856</v>
      </c>
      <c r="B2993" t="s">
        <v>3147</v>
      </c>
      <c r="C2993" t="str">
        <f>"9780415384025"</f>
        <v>9780415384025</v>
      </c>
      <c r="D2993" t="str">
        <f>"9780203099957"</f>
        <v>9780203099957</v>
      </c>
      <c r="E2993" t="s">
        <v>15</v>
      </c>
      <c r="F2993" t="s">
        <v>16</v>
      </c>
      <c r="G2993" s="1">
        <v>38881</v>
      </c>
      <c r="H2993" s="1">
        <v>39211</v>
      </c>
      <c r="I2993" t="s">
        <v>12</v>
      </c>
      <c r="J2993" t="s">
        <v>13763</v>
      </c>
    </row>
    <row r="2994" spans="1:10" x14ac:dyDescent="0.25">
      <c r="A2994">
        <v>292857</v>
      </c>
      <c r="B2994" t="s">
        <v>3148</v>
      </c>
      <c r="C2994" t="str">
        <f>"9780415384063"</f>
        <v>9780415384063</v>
      </c>
      <c r="D2994" t="str">
        <f>"9780203964064"</f>
        <v>9780203964064</v>
      </c>
      <c r="E2994" t="s">
        <v>15</v>
      </c>
      <c r="F2994" t="s">
        <v>16</v>
      </c>
      <c r="G2994" s="1">
        <v>39087</v>
      </c>
      <c r="H2994" s="1">
        <v>39211</v>
      </c>
      <c r="I2994" t="s">
        <v>12</v>
      </c>
      <c r="J2994" t="s">
        <v>13764</v>
      </c>
    </row>
    <row r="2995" spans="1:10" x14ac:dyDescent="0.25">
      <c r="A2995">
        <v>292862</v>
      </c>
      <c r="B2995" t="s">
        <v>3149</v>
      </c>
      <c r="C2995" t="str">
        <f>"9780415385268"</f>
        <v>9780415385268</v>
      </c>
      <c r="D2995" t="str">
        <f>"9780203965900"</f>
        <v>9780203965900</v>
      </c>
      <c r="E2995" t="s">
        <v>15</v>
      </c>
      <c r="F2995" t="s">
        <v>16</v>
      </c>
      <c r="G2995" s="1">
        <v>39064</v>
      </c>
      <c r="H2995" s="1">
        <v>39211</v>
      </c>
      <c r="I2995" t="s">
        <v>12</v>
      </c>
      <c r="J2995" t="s">
        <v>13765</v>
      </c>
    </row>
    <row r="2996" spans="1:10" x14ac:dyDescent="0.25">
      <c r="A2996">
        <v>292865</v>
      </c>
      <c r="B2996" t="s">
        <v>3150</v>
      </c>
      <c r="C2996" t="str">
        <f>"9780415386234"</f>
        <v>9780415386234</v>
      </c>
      <c r="D2996" t="str">
        <f>"9780203966099"</f>
        <v>9780203966099</v>
      </c>
      <c r="E2996" t="s">
        <v>15</v>
      </c>
      <c r="F2996" t="s">
        <v>153</v>
      </c>
      <c r="G2996" s="1">
        <v>39055</v>
      </c>
      <c r="H2996" s="1">
        <v>39107</v>
      </c>
      <c r="I2996" t="s">
        <v>12</v>
      </c>
      <c r="J2996" t="s">
        <v>13766</v>
      </c>
    </row>
    <row r="2997" spans="1:10" x14ac:dyDescent="0.25">
      <c r="A2997">
        <v>292868</v>
      </c>
      <c r="B2997" t="s">
        <v>3151</v>
      </c>
      <c r="C2997" t="str">
        <f>"9780415386401"</f>
        <v>9780415386401</v>
      </c>
      <c r="D2997" t="str">
        <f>"9780203965658"</f>
        <v>9780203965658</v>
      </c>
      <c r="E2997" t="s">
        <v>15</v>
      </c>
      <c r="F2997" t="s">
        <v>16</v>
      </c>
      <c r="G2997" s="1">
        <v>38966</v>
      </c>
      <c r="H2997" s="1">
        <v>39211</v>
      </c>
      <c r="I2997" t="s">
        <v>12</v>
      </c>
      <c r="J2997" t="s">
        <v>13767</v>
      </c>
    </row>
    <row r="2998" spans="1:10" x14ac:dyDescent="0.25">
      <c r="A2998">
        <v>292870</v>
      </c>
      <c r="B2998" t="s">
        <v>3152</v>
      </c>
      <c r="C2998" t="str">
        <f>"9780415386791"</f>
        <v>9780415386791</v>
      </c>
      <c r="D2998" t="str">
        <f>"9781482288438"</f>
        <v>9781482288438</v>
      </c>
      <c r="E2998" t="s">
        <v>144</v>
      </c>
      <c r="F2998" t="s">
        <v>144</v>
      </c>
      <c r="G2998" s="1">
        <v>39044</v>
      </c>
      <c r="H2998" s="1">
        <v>39211</v>
      </c>
      <c r="I2998" t="s">
        <v>12</v>
      </c>
      <c r="J2998" t="s">
        <v>13768</v>
      </c>
    </row>
    <row r="2999" spans="1:10" x14ac:dyDescent="0.25">
      <c r="A2999">
        <v>292871</v>
      </c>
      <c r="B2999" t="s">
        <v>3153</v>
      </c>
      <c r="C2999" t="str">
        <f>"9780415389495"</f>
        <v>9780415389495</v>
      </c>
      <c r="D2999" t="str">
        <f>"9780203968116"</f>
        <v>9780203968116</v>
      </c>
      <c r="E2999" t="s">
        <v>16</v>
      </c>
      <c r="F2999" t="s">
        <v>16</v>
      </c>
      <c r="G2999" s="1">
        <v>39080</v>
      </c>
      <c r="H2999" s="1">
        <v>39211</v>
      </c>
      <c r="I2999" t="s">
        <v>12</v>
      </c>
      <c r="J2999" t="s">
        <v>13769</v>
      </c>
    </row>
    <row r="3000" spans="1:10" x14ac:dyDescent="0.25">
      <c r="A3000">
        <v>292872</v>
      </c>
      <c r="B3000" t="s">
        <v>3154</v>
      </c>
      <c r="C3000" t="str">
        <f>"9780415389594"</f>
        <v>9780415389594</v>
      </c>
      <c r="D3000" t="str">
        <f>"9780203088241"</f>
        <v>9780203088241</v>
      </c>
      <c r="E3000" t="s">
        <v>15</v>
      </c>
      <c r="F3000" t="s">
        <v>16</v>
      </c>
      <c r="G3000" s="1">
        <v>38881</v>
      </c>
      <c r="H3000" s="1">
        <v>39211</v>
      </c>
      <c r="I3000" t="s">
        <v>12</v>
      </c>
      <c r="J3000" t="s">
        <v>13770</v>
      </c>
    </row>
    <row r="3001" spans="1:10" x14ac:dyDescent="0.25">
      <c r="A3001">
        <v>292873</v>
      </c>
      <c r="B3001" t="s">
        <v>3155</v>
      </c>
      <c r="C3001" t="str">
        <f>"9780415390422"</f>
        <v>9780415390422</v>
      </c>
      <c r="D3001" t="str">
        <f>"9780203966518"</f>
        <v>9780203966518</v>
      </c>
      <c r="E3001" t="s">
        <v>15</v>
      </c>
      <c r="F3001" t="s">
        <v>16</v>
      </c>
      <c r="G3001" s="1">
        <v>39057</v>
      </c>
      <c r="H3001" s="1">
        <v>39211</v>
      </c>
      <c r="I3001" t="s">
        <v>12</v>
      </c>
      <c r="J3001" t="s">
        <v>13771</v>
      </c>
    </row>
    <row r="3002" spans="1:10" x14ac:dyDescent="0.25">
      <c r="A3002">
        <v>292874</v>
      </c>
      <c r="B3002" t="s">
        <v>3156</v>
      </c>
      <c r="C3002" t="str">
        <f>"9780415390682"</f>
        <v>9780415390682</v>
      </c>
      <c r="D3002" t="str">
        <f>"9780203966310"</f>
        <v>9780203966310</v>
      </c>
      <c r="E3002" t="s">
        <v>15</v>
      </c>
      <c r="F3002" t="s">
        <v>16</v>
      </c>
      <c r="G3002" s="1">
        <v>39006</v>
      </c>
      <c r="H3002" s="1">
        <v>39211</v>
      </c>
      <c r="I3002" t="s">
        <v>12</v>
      </c>
      <c r="J3002" t="s">
        <v>13772</v>
      </c>
    </row>
    <row r="3003" spans="1:10" x14ac:dyDescent="0.25">
      <c r="A3003">
        <v>292879</v>
      </c>
      <c r="B3003" t="s">
        <v>3157</v>
      </c>
      <c r="C3003" t="str">
        <f>"9780415391801"</f>
        <v>9780415391801</v>
      </c>
      <c r="D3003" t="str">
        <f>"9780203962275"</f>
        <v>9780203962275</v>
      </c>
      <c r="E3003" t="s">
        <v>15</v>
      </c>
      <c r="F3003" t="s">
        <v>16</v>
      </c>
      <c r="G3003" s="1">
        <v>39147</v>
      </c>
      <c r="H3003" s="1">
        <v>41877</v>
      </c>
      <c r="I3003" t="s">
        <v>12</v>
      </c>
      <c r="J3003" t="s">
        <v>13773</v>
      </c>
    </row>
    <row r="3004" spans="1:10" x14ac:dyDescent="0.25">
      <c r="A3004">
        <v>292880</v>
      </c>
      <c r="B3004" t="s">
        <v>3158</v>
      </c>
      <c r="C3004" t="str">
        <f>"9780415391856"</f>
        <v>9780415391856</v>
      </c>
      <c r="D3004" t="str">
        <f>"9780203967812"</f>
        <v>9780203967812</v>
      </c>
      <c r="E3004" t="s">
        <v>15</v>
      </c>
      <c r="F3004" t="s">
        <v>16</v>
      </c>
      <c r="G3004" s="1">
        <v>39139</v>
      </c>
      <c r="H3004" s="1">
        <v>39211</v>
      </c>
      <c r="I3004" t="s">
        <v>12</v>
      </c>
      <c r="J3004" t="s">
        <v>13774</v>
      </c>
    </row>
    <row r="3005" spans="1:10" x14ac:dyDescent="0.25">
      <c r="A3005">
        <v>292886</v>
      </c>
      <c r="B3005" t="s">
        <v>3159</v>
      </c>
      <c r="C3005" t="str">
        <f>"9780415392150"</f>
        <v>9780415392150</v>
      </c>
      <c r="D3005" t="str">
        <f>"9780203962220"</f>
        <v>9780203962220</v>
      </c>
      <c r="E3005" t="s">
        <v>15</v>
      </c>
      <c r="F3005" t="s">
        <v>16</v>
      </c>
      <c r="G3005" s="1">
        <v>39202</v>
      </c>
      <c r="H3005" s="1">
        <v>39211</v>
      </c>
      <c r="I3005" t="s">
        <v>12</v>
      </c>
      <c r="J3005" t="s">
        <v>13775</v>
      </c>
    </row>
    <row r="3006" spans="1:10" x14ac:dyDescent="0.25">
      <c r="A3006">
        <v>292890</v>
      </c>
      <c r="B3006" t="s">
        <v>3160</v>
      </c>
      <c r="C3006" t="str">
        <f>"9780415393157"</f>
        <v>9780415393157</v>
      </c>
      <c r="D3006" t="str">
        <f>"9780203965696"</f>
        <v>9780203965696</v>
      </c>
      <c r="E3006" t="s">
        <v>15</v>
      </c>
      <c r="F3006" t="s">
        <v>16</v>
      </c>
      <c r="G3006" s="1">
        <v>39021</v>
      </c>
      <c r="H3006" s="1">
        <v>39211</v>
      </c>
      <c r="I3006" t="s">
        <v>12</v>
      </c>
      <c r="J3006" t="s">
        <v>13776</v>
      </c>
    </row>
    <row r="3007" spans="1:10" x14ac:dyDescent="0.25">
      <c r="A3007">
        <v>292891</v>
      </c>
      <c r="B3007" t="s">
        <v>3161</v>
      </c>
      <c r="C3007" t="str">
        <f>"9780415393676"</f>
        <v>9780415393676</v>
      </c>
      <c r="D3007" t="str">
        <f>"9780203962077"</f>
        <v>9780203962077</v>
      </c>
      <c r="E3007" t="s">
        <v>15</v>
      </c>
      <c r="F3007" t="s">
        <v>16</v>
      </c>
      <c r="G3007" s="1">
        <v>39190</v>
      </c>
      <c r="H3007" s="1">
        <v>39211</v>
      </c>
      <c r="I3007" t="s">
        <v>12</v>
      </c>
      <c r="J3007" t="s">
        <v>13777</v>
      </c>
    </row>
    <row r="3008" spans="1:10" x14ac:dyDescent="0.25">
      <c r="A3008">
        <v>292892</v>
      </c>
      <c r="B3008" t="s">
        <v>3162</v>
      </c>
      <c r="C3008" t="str">
        <f>"9780415393911"</f>
        <v>9780415393911</v>
      </c>
      <c r="D3008" t="str">
        <f>"9780203968444"</f>
        <v>9780203968444</v>
      </c>
      <c r="E3008" t="s">
        <v>15</v>
      </c>
      <c r="F3008" t="s">
        <v>16</v>
      </c>
      <c r="G3008" s="1">
        <v>41773</v>
      </c>
      <c r="H3008" s="1">
        <v>39211</v>
      </c>
      <c r="I3008" t="s">
        <v>12</v>
      </c>
      <c r="J3008" t="s">
        <v>13778</v>
      </c>
    </row>
    <row r="3009" spans="1:10" x14ac:dyDescent="0.25">
      <c r="A3009">
        <v>292894</v>
      </c>
      <c r="B3009" t="s">
        <v>3163</v>
      </c>
      <c r="C3009" t="str">
        <f>"9780415394109"</f>
        <v>9780415394109</v>
      </c>
      <c r="D3009" t="str">
        <f>"9780203968314"</f>
        <v>9780203968314</v>
      </c>
      <c r="E3009" t="s">
        <v>15</v>
      </c>
      <c r="F3009" t="s">
        <v>16</v>
      </c>
      <c r="G3009" s="1">
        <v>39136</v>
      </c>
      <c r="H3009" s="1">
        <v>39211</v>
      </c>
      <c r="I3009" t="s">
        <v>12</v>
      </c>
      <c r="J3009" t="s">
        <v>13779</v>
      </c>
    </row>
    <row r="3010" spans="1:10" x14ac:dyDescent="0.25">
      <c r="A3010">
        <v>292903</v>
      </c>
      <c r="B3010" t="s">
        <v>3164</v>
      </c>
      <c r="C3010" t="str">
        <f>"9780415394888"</f>
        <v>9780415394888</v>
      </c>
      <c r="D3010" t="str">
        <f>"9780203968918"</f>
        <v>9780203968918</v>
      </c>
      <c r="E3010" t="s">
        <v>16</v>
      </c>
      <c r="F3010" t="s">
        <v>16</v>
      </c>
      <c r="G3010" s="1">
        <v>38987</v>
      </c>
      <c r="H3010" s="1">
        <v>39211</v>
      </c>
      <c r="I3010" t="s">
        <v>12</v>
      </c>
      <c r="J3010" t="s">
        <v>13780</v>
      </c>
    </row>
    <row r="3011" spans="1:10" x14ac:dyDescent="0.25">
      <c r="A3011">
        <v>292904</v>
      </c>
      <c r="B3011" t="s">
        <v>3165</v>
      </c>
      <c r="C3011" t="str">
        <f>"9780415395106"</f>
        <v>9780415395106</v>
      </c>
      <c r="D3011" t="str">
        <f>"9780203964484"</f>
        <v>9780203964484</v>
      </c>
      <c r="E3011" t="s">
        <v>15</v>
      </c>
      <c r="F3011" t="s">
        <v>16</v>
      </c>
      <c r="G3011" s="1">
        <v>39190</v>
      </c>
      <c r="H3011" s="1">
        <v>41877</v>
      </c>
      <c r="I3011" t="s">
        <v>12</v>
      </c>
      <c r="J3011" t="s">
        <v>13781</v>
      </c>
    </row>
    <row r="3012" spans="1:10" x14ac:dyDescent="0.25">
      <c r="A3012">
        <v>292906</v>
      </c>
      <c r="B3012" t="s">
        <v>3166</v>
      </c>
      <c r="C3012" t="str">
        <f>"9780415395748"</f>
        <v>9780415395748</v>
      </c>
      <c r="D3012" t="str">
        <f>"9780203962862"</f>
        <v>9780203962862</v>
      </c>
      <c r="E3012" t="s">
        <v>16</v>
      </c>
      <c r="F3012" t="s">
        <v>16</v>
      </c>
      <c r="G3012" s="1">
        <v>39161</v>
      </c>
      <c r="H3012" s="1">
        <v>39191</v>
      </c>
      <c r="I3012" t="s">
        <v>12</v>
      </c>
      <c r="J3012" t="s">
        <v>13782</v>
      </c>
    </row>
    <row r="3013" spans="1:10" x14ac:dyDescent="0.25">
      <c r="A3013">
        <v>292912</v>
      </c>
      <c r="B3013" t="s">
        <v>3167</v>
      </c>
      <c r="C3013" t="str">
        <f>"9780415397193"</f>
        <v>9780415397193</v>
      </c>
      <c r="D3013" t="str">
        <f>"9780203963593"</f>
        <v>9780203963593</v>
      </c>
      <c r="E3013" t="s">
        <v>15</v>
      </c>
      <c r="F3013" t="s">
        <v>16</v>
      </c>
      <c r="G3013" s="1">
        <v>39232</v>
      </c>
      <c r="H3013" s="1">
        <v>39211</v>
      </c>
      <c r="I3013" t="s">
        <v>12</v>
      </c>
      <c r="J3013" t="s">
        <v>13783</v>
      </c>
    </row>
    <row r="3014" spans="1:10" x14ac:dyDescent="0.25">
      <c r="A3014">
        <v>292913</v>
      </c>
      <c r="B3014" t="s">
        <v>3168</v>
      </c>
      <c r="C3014" t="str">
        <f>"9780415397407"</f>
        <v>9780415397407</v>
      </c>
      <c r="D3014" t="str">
        <f>"9780203968635"</f>
        <v>9780203968635</v>
      </c>
      <c r="E3014" t="s">
        <v>15</v>
      </c>
      <c r="F3014" t="s">
        <v>16</v>
      </c>
      <c r="G3014" s="1">
        <v>39021</v>
      </c>
      <c r="H3014" s="1">
        <v>39211</v>
      </c>
      <c r="I3014" t="s">
        <v>12</v>
      </c>
      <c r="J3014" t="s">
        <v>13784</v>
      </c>
    </row>
    <row r="3015" spans="1:10" x14ac:dyDescent="0.25">
      <c r="A3015">
        <v>292914</v>
      </c>
      <c r="B3015" t="s">
        <v>3169</v>
      </c>
      <c r="C3015" t="str">
        <f>"9780415397711"</f>
        <v>9780415397711</v>
      </c>
      <c r="D3015" t="str">
        <f>"9780203972304"</f>
        <v>9780203972304</v>
      </c>
      <c r="E3015" t="s">
        <v>16</v>
      </c>
      <c r="F3015" t="s">
        <v>16</v>
      </c>
      <c r="G3015" s="1">
        <v>39192</v>
      </c>
      <c r="H3015" s="1">
        <v>41877</v>
      </c>
      <c r="I3015" t="s">
        <v>12</v>
      </c>
      <c r="J3015" t="s">
        <v>13785</v>
      </c>
    </row>
    <row r="3016" spans="1:10" x14ac:dyDescent="0.25">
      <c r="A3016">
        <v>292915</v>
      </c>
      <c r="B3016" t="s">
        <v>3170</v>
      </c>
      <c r="C3016" t="str">
        <f>"9780415397780"</f>
        <v>9780415397780</v>
      </c>
      <c r="D3016" t="str">
        <f>"9780203964309"</f>
        <v>9780203964309</v>
      </c>
      <c r="E3016" t="s">
        <v>15</v>
      </c>
      <c r="F3016" t="s">
        <v>16</v>
      </c>
      <c r="G3016" s="1">
        <v>39190</v>
      </c>
      <c r="H3016" s="1">
        <v>39211</v>
      </c>
      <c r="I3016" t="s">
        <v>12</v>
      </c>
      <c r="J3016" t="s">
        <v>13786</v>
      </c>
    </row>
    <row r="3017" spans="1:10" x14ac:dyDescent="0.25">
      <c r="A3017">
        <v>292924</v>
      </c>
      <c r="B3017" t="s">
        <v>3171</v>
      </c>
      <c r="C3017" t="str">
        <f>"9780415399678"</f>
        <v>9780415399678</v>
      </c>
      <c r="D3017" t="str">
        <f>"9780203968321"</f>
        <v>9780203968321</v>
      </c>
      <c r="E3017" t="s">
        <v>15</v>
      </c>
      <c r="F3017" t="s">
        <v>16</v>
      </c>
      <c r="G3017" s="1">
        <v>39051</v>
      </c>
      <c r="H3017" s="1">
        <v>39211</v>
      </c>
      <c r="I3017" t="s">
        <v>12</v>
      </c>
      <c r="J3017" t="s">
        <v>13787</v>
      </c>
    </row>
    <row r="3018" spans="1:10" x14ac:dyDescent="0.25">
      <c r="A3018">
        <v>292925</v>
      </c>
      <c r="B3018" t="s">
        <v>3172</v>
      </c>
      <c r="C3018" t="str">
        <f>"9780415399975"</f>
        <v>9780415399975</v>
      </c>
      <c r="D3018" t="str">
        <f>"9780203968550"</f>
        <v>9780203968550</v>
      </c>
      <c r="E3018" t="s">
        <v>15</v>
      </c>
      <c r="F3018" t="s">
        <v>16</v>
      </c>
      <c r="G3018" s="1">
        <v>39084</v>
      </c>
      <c r="H3018" s="1">
        <v>39211</v>
      </c>
      <c r="I3018" t="s">
        <v>12</v>
      </c>
      <c r="J3018" t="s">
        <v>13788</v>
      </c>
    </row>
    <row r="3019" spans="1:10" x14ac:dyDescent="0.25">
      <c r="A3019">
        <v>292926</v>
      </c>
      <c r="B3019" t="s">
        <v>3173</v>
      </c>
      <c r="C3019" t="str">
        <f>"9780415400251"</f>
        <v>9780415400251</v>
      </c>
      <c r="D3019" t="str">
        <f>"9780203964224"</f>
        <v>9780203964224</v>
      </c>
      <c r="E3019" t="s">
        <v>15</v>
      </c>
      <c r="F3019" t="s">
        <v>16</v>
      </c>
      <c r="G3019" s="1">
        <v>39189</v>
      </c>
      <c r="H3019" s="1">
        <v>39211</v>
      </c>
      <c r="I3019" t="s">
        <v>12</v>
      </c>
      <c r="J3019" t="s">
        <v>13789</v>
      </c>
    </row>
    <row r="3020" spans="1:10" x14ac:dyDescent="0.25">
      <c r="A3020">
        <v>292930</v>
      </c>
      <c r="B3020" t="s">
        <v>3174</v>
      </c>
      <c r="C3020" t="str">
        <f>"9780415400770"</f>
        <v>9780415400770</v>
      </c>
      <c r="D3020" t="str">
        <f>"9780203966440"</f>
        <v>9780203966440</v>
      </c>
      <c r="E3020" t="s">
        <v>15</v>
      </c>
      <c r="F3020" t="s">
        <v>16</v>
      </c>
      <c r="G3020" s="1">
        <v>39136</v>
      </c>
      <c r="H3020" s="1">
        <v>39211</v>
      </c>
      <c r="I3020" t="s">
        <v>12</v>
      </c>
      <c r="J3020" t="s">
        <v>13790</v>
      </c>
    </row>
    <row r="3021" spans="1:10" x14ac:dyDescent="0.25">
      <c r="A3021">
        <v>292931</v>
      </c>
      <c r="B3021" t="s">
        <v>3175</v>
      </c>
      <c r="C3021" t="str">
        <f>"9780415401210"</f>
        <v>9780415401210</v>
      </c>
      <c r="D3021" t="str">
        <f>"9780203280478"</f>
        <v>9780203280478</v>
      </c>
      <c r="E3021" t="s">
        <v>15</v>
      </c>
      <c r="F3021" t="s">
        <v>16</v>
      </c>
      <c r="G3021" s="1">
        <v>39199</v>
      </c>
      <c r="H3021" s="1">
        <v>39211</v>
      </c>
      <c r="I3021" t="s">
        <v>12</v>
      </c>
      <c r="J3021" t="s">
        <v>13791</v>
      </c>
    </row>
    <row r="3022" spans="1:10" x14ac:dyDescent="0.25">
      <c r="A3022">
        <v>292934</v>
      </c>
      <c r="B3022" t="s">
        <v>3176</v>
      </c>
      <c r="C3022" t="str">
        <f>"9780415401784"</f>
        <v>9780415401784</v>
      </c>
      <c r="D3022" t="str">
        <f>"9780203968987"</f>
        <v>9780203968987</v>
      </c>
      <c r="E3022" t="s">
        <v>15</v>
      </c>
      <c r="F3022" t="s">
        <v>16</v>
      </c>
      <c r="G3022" s="1">
        <v>39106</v>
      </c>
      <c r="H3022" s="1">
        <v>39211</v>
      </c>
      <c r="I3022" t="s">
        <v>12</v>
      </c>
      <c r="J3022" t="s">
        <v>13792</v>
      </c>
    </row>
    <row r="3023" spans="1:10" x14ac:dyDescent="0.25">
      <c r="A3023">
        <v>292935</v>
      </c>
      <c r="B3023" t="s">
        <v>3177</v>
      </c>
      <c r="C3023" t="str">
        <f>"9780415401852"</f>
        <v>9780415401852</v>
      </c>
      <c r="D3023" t="str">
        <f>"9780203964736"</f>
        <v>9780203964736</v>
      </c>
      <c r="E3023" t="s">
        <v>15</v>
      </c>
      <c r="F3023" t="s">
        <v>16</v>
      </c>
      <c r="G3023" s="1">
        <v>39175</v>
      </c>
      <c r="H3023" s="1">
        <v>39211</v>
      </c>
      <c r="I3023" t="s">
        <v>12</v>
      </c>
      <c r="J3023" t="s">
        <v>13793</v>
      </c>
    </row>
    <row r="3024" spans="1:10" x14ac:dyDescent="0.25">
      <c r="A3024">
        <v>292938</v>
      </c>
      <c r="B3024" t="s">
        <v>3178</v>
      </c>
      <c r="C3024" t="str">
        <f>"9780415402682"</f>
        <v>9780415402682</v>
      </c>
      <c r="D3024" t="str">
        <f>"9780203966976"</f>
        <v>9780203966976</v>
      </c>
      <c r="E3024" t="s">
        <v>15</v>
      </c>
      <c r="F3024" t="s">
        <v>16</v>
      </c>
      <c r="G3024" s="1">
        <v>39070</v>
      </c>
      <c r="H3024" s="1">
        <v>39211</v>
      </c>
      <c r="I3024" t="s">
        <v>12</v>
      </c>
      <c r="J3024" t="s">
        <v>13794</v>
      </c>
    </row>
    <row r="3025" spans="1:10" x14ac:dyDescent="0.25">
      <c r="A3025">
        <v>292939</v>
      </c>
      <c r="B3025" t="s">
        <v>3179</v>
      </c>
      <c r="C3025" t="str">
        <f>"9780415402835"</f>
        <v>9780415402835</v>
      </c>
      <c r="D3025" t="str">
        <f>"9780203964996"</f>
        <v>9780203964996</v>
      </c>
      <c r="E3025" t="s">
        <v>15</v>
      </c>
      <c r="F3025" t="s">
        <v>16</v>
      </c>
      <c r="G3025" s="1">
        <v>39087</v>
      </c>
      <c r="H3025" s="1">
        <v>39211</v>
      </c>
      <c r="I3025" t="s">
        <v>12</v>
      </c>
      <c r="J3025" t="s">
        <v>13795</v>
      </c>
    </row>
    <row r="3026" spans="1:10" x14ac:dyDescent="0.25">
      <c r="A3026">
        <v>292940</v>
      </c>
      <c r="B3026" t="s">
        <v>3180</v>
      </c>
      <c r="C3026" t="str">
        <f>"9780415402996"</f>
        <v>9780415402996</v>
      </c>
      <c r="D3026" t="str">
        <f>"9780203962602"</f>
        <v>9780203962602</v>
      </c>
      <c r="E3026" t="s">
        <v>15</v>
      </c>
      <c r="F3026" t="s">
        <v>16</v>
      </c>
      <c r="G3026" s="1">
        <v>39164</v>
      </c>
      <c r="H3026" s="1">
        <v>39211</v>
      </c>
      <c r="I3026" t="s">
        <v>12</v>
      </c>
      <c r="J3026" t="s">
        <v>13796</v>
      </c>
    </row>
    <row r="3027" spans="1:10" x14ac:dyDescent="0.25">
      <c r="A3027">
        <v>292942</v>
      </c>
      <c r="B3027" t="s">
        <v>3181</v>
      </c>
      <c r="C3027" t="str">
        <f>"9780415403412"</f>
        <v>9780415403412</v>
      </c>
      <c r="D3027" t="str">
        <f>"9780203964842"</f>
        <v>9780203964842</v>
      </c>
      <c r="E3027" t="s">
        <v>16</v>
      </c>
      <c r="F3027" t="s">
        <v>16</v>
      </c>
      <c r="G3027" s="1">
        <v>41773</v>
      </c>
      <c r="H3027" s="1">
        <v>39142</v>
      </c>
      <c r="I3027" t="s">
        <v>12</v>
      </c>
      <c r="J3027" t="s">
        <v>13797</v>
      </c>
    </row>
    <row r="3028" spans="1:10" x14ac:dyDescent="0.25">
      <c r="A3028">
        <v>292945</v>
      </c>
      <c r="B3028" t="s">
        <v>3182</v>
      </c>
      <c r="C3028" t="str">
        <f>"9780415403993"</f>
        <v>9780415403993</v>
      </c>
      <c r="D3028" t="str">
        <f>"9780203963173"</f>
        <v>9780203963173</v>
      </c>
      <c r="E3028" t="s">
        <v>16</v>
      </c>
      <c r="F3028" t="s">
        <v>16</v>
      </c>
      <c r="G3028" s="1">
        <v>39153</v>
      </c>
      <c r="H3028" s="1">
        <v>39211</v>
      </c>
      <c r="I3028" t="s">
        <v>12</v>
      </c>
      <c r="J3028" t="s">
        <v>13798</v>
      </c>
    </row>
    <row r="3029" spans="1:10" x14ac:dyDescent="0.25">
      <c r="A3029">
        <v>292946</v>
      </c>
      <c r="B3029" t="s">
        <v>3183</v>
      </c>
      <c r="C3029" t="str">
        <f>"9780415404013"</f>
        <v>9780415404013</v>
      </c>
      <c r="D3029" t="str">
        <f>"9780203963753"</f>
        <v>9780203963753</v>
      </c>
      <c r="E3029" t="s">
        <v>16</v>
      </c>
      <c r="F3029" t="s">
        <v>16</v>
      </c>
      <c r="G3029" s="1">
        <v>41773</v>
      </c>
      <c r="H3029" s="1">
        <v>39142</v>
      </c>
      <c r="I3029" t="s">
        <v>12</v>
      </c>
      <c r="J3029" t="s">
        <v>13799</v>
      </c>
    </row>
    <row r="3030" spans="1:10" x14ac:dyDescent="0.25">
      <c r="A3030">
        <v>292947</v>
      </c>
      <c r="B3030" t="s">
        <v>3184</v>
      </c>
      <c r="C3030" t="str">
        <f>"9780415404129"</f>
        <v>9780415404129</v>
      </c>
      <c r="D3030" t="str">
        <f>"9780203964231"</f>
        <v>9780203964231</v>
      </c>
      <c r="E3030" t="s">
        <v>15</v>
      </c>
      <c r="F3030" t="s">
        <v>16</v>
      </c>
      <c r="G3030" s="1">
        <v>39120</v>
      </c>
      <c r="H3030" s="1">
        <v>41877</v>
      </c>
      <c r="I3030" t="s">
        <v>12</v>
      </c>
      <c r="J3030" t="s">
        <v>13800</v>
      </c>
    </row>
    <row r="3031" spans="1:10" x14ac:dyDescent="0.25">
      <c r="A3031">
        <v>292949</v>
      </c>
      <c r="B3031" t="s">
        <v>3185</v>
      </c>
      <c r="C3031" t="str">
        <f>"9780415404556"</f>
        <v>9780415404556</v>
      </c>
      <c r="D3031" t="str">
        <f>"9780203966105"</f>
        <v>9780203966105</v>
      </c>
      <c r="E3031" t="s">
        <v>15</v>
      </c>
      <c r="F3031" t="s">
        <v>16</v>
      </c>
      <c r="G3031" s="1">
        <v>39087</v>
      </c>
      <c r="H3031" s="1">
        <v>39211</v>
      </c>
      <c r="I3031" t="s">
        <v>12</v>
      </c>
      <c r="J3031" t="s">
        <v>13801</v>
      </c>
    </row>
    <row r="3032" spans="1:10" x14ac:dyDescent="0.25">
      <c r="A3032">
        <v>292955</v>
      </c>
      <c r="B3032" t="s">
        <v>3186</v>
      </c>
      <c r="C3032" t="str">
        <f>"9780415406291"</f>
        <v>9780415406291</v>
      </c>
      <c r="D3032" t="str">
        <f>"9780203968666"</f>
        <v>9780203968666</v>
      </c>
      <c r="E3032" t="s">
        <v>15</v>
      </c>
      <c r="F3032" t="s">
        <v>16</v>
      </c>
      <c r="G3032" s="1">
        <v>39043</v>
      </c>
      <c r="H3032" s="1">
        <v>39211</v>
      </c>
      <c r="I3032" t="s">
        <v>12</v>
      </c>
      <c r="J3032" t="s">
        <v>13802</v>
      </c>
    </row>
    <row r="3033" spans="1:10" x14ac:dyDescent="0.25">
      <c r="A3033">
        <v>292956</v>
      </c>
      <c r="B3033" t="s">
        <v>3187</v>
      </c>
      <c r="C3033" t="str">
        <f>"9780415406321"</f>
        <v>9780415406321</v>
      </c>
      <c r="D3033" t="str">
        <f>"9780203962824"</f>
        <v>9780203962824</v>
      </c>
      <c r="E3033" t="s">
        <v>15</v>
      </c>
      <c r="F3033" t="s">
        <v>16</v>
      </c>
      <c r="G3033" s="1">
        <v>39021</v>
      </c>
      <c r="H3033" s="1">
        <v>39211</v>
      </c>
      <c r="I3033" t="s">
        <v>12</v>
      </c>
      <c r="J3033" t="s">
        <v>13803</v>
      </c>
    </row>
    <row r="3034" spans="1:10" x14ac:dyDescent="0.25">
      <c r="A3034">
        <v>292957</v>
      </c>
      <c r="B3034" t="s">
        <v>3188</v>
      </c>
      <c r="C3034" t="str">
        <f>"9780415406345"</f>
        <v>9780415406345</v>
      </c>
      <c r="D3034" t="str">
        <f>"9780203962640"</f>
        <v>9780203962640</v>
      </c>
      <c r="E3034" t="s">
        <v>15</v>
      </c>
      <c r="F3034" t="s">
        <v>16</v>
      </c>
      <c r="G3034" s="1">
        <v>39188</v>
      </c>
      <c r="H3034" s="1">
        <v>39211</v>
      </c>
      <c r="I3034" t="s">
        <v>12</v>
      </c>
      <c r="J3034" t="s">
        <v>13804</v>
      </c>
    </row>
    <row r="3035" spans="1:10" x14ac:dyDescent="0.25">
      <c r="A3035">
        <v>292963</v>
      </c>
      <c r="B3035" t="s">
        <v>3189</v>
      </c>
      <c r="C3035" t="str">
        <f>"9781138000384"</f>
        <v>9781138000384</v>
      </c>
      <c r="D3035" t="str">
        <f>"9781134131198"</f>
        <v>9781134131198</v>
      </c>
      <c r="E3035" t="s">
        <v>144</v>
      </c>
      <c r="F3035" t="s">
        <v>144</v>
      </c>
      <c r="G3035" s="1">
        <v>41623</v>
      </c>
      <c r="H3035" s="1">
        <v>39211</v>
      </c>
      <c r="I3035" t="s">
        <v>12</v>
      </c>
      <c r="J3035" t="s">
        <v>13805</v>
      </c>
    </row>
    <row r="3036" spans="1:10" x14ac:dyDescent="0.25">
      <c r="A3036">
        <v>292969</v>
      </c>
      <c r="B3036" t="s">
        <v>3190</v>
      </c>
      <c r="C3036" t="str">
        <f>"9780415412551"</f>
        <v>9780415412551</v>
      </c>
      <c r="D3036" t="str">
        <f>"9780203964750"</f>
        <v>9780203964750</v>
      </c>
      <c r="E3036" t="s">
        <v>15</v>
      </c>
      <c r="F3036" t="s">
        <v>16</v>
      </c>
      <c r="G3036" s="1">
        <v>39181</v>
      </c>
      <c r="H3036" s="1">
        <v>39211</v>
      </c>
      <c r="I3036" t="s">
        <v>12</v>
      </c>
      <c r="J3036" t="s">
        <v>13806</v>
      </c>
    </row>
    <row r="3037" spans="1:10" x14ac:dyDescent="0.25">
      <c r="A3037">
        <v>292970</v>
      </c>
      <c r="B3037" t="s">
        <v>3191</v>
      </c>
      <c r="C3037" t="str">
        <f>"9780415412681"</f>
        <v>9780415412681</v>
      </c>
      <c r="D3037" t="str">
        <f>"9780203962282"</f>
        <v>9780203962282</v>
      </c>
      <c r="E3037" t="s">
        <v>15</v>
      </c>
      <c r="F3037" t="s">
        <v>16</v>
      </c>
      <c r="G3037" s="1">
        <v>39136</v>
      </c>
      <c r="H3037" s="1">
        <v>41877</v>
      </c>
      <c r="I3037" t="s">
        <v>12</v>
      </c>
      <c r="J3037" t="s">
        <v>13807</v>
      </c>
    </row>
    <row r="3038" spans="1:10" x14ac:dyDescent="0.25">
      <c r="A3038">
        <v>292973</v>
      </c>
      <c r="B3038" t="s">
        <v>3192</v>
      </c>
      <c r="C3038" t="str">
        <f>"9780415413411"</f>
        <v>9780415413411</v>
      </c>
      <c r="D3038" t="str">
        <f>"9780203961995"</f>
        <v>9780203961995</v>
      </c>
      <c r="E3038" t="s">
        <v>15</v>
      </c>
      <c r="F3038" t="s">
        <v>16</v>
      </c>
      <c r="G3038" s="1">
        <v>39084</v>
      </c>
      <c r="H3038" s="1">
        <v>39211</v>
      </c>
      <c r="I3038" t="s">
        <v>12</v>
      </c>
      <c r="J3038" t="s">
        <v>13808</v>
      </c>
    </row>
    <row r="3039" spans="1:10" x14ac:dyDescent="0.25">
      <c r="A3039">
        <v>292974</v>
      </c>
      <c r="B3039" t="s">
        <v>3193</v>
      </c>
      <c r="C3039" t="str">
        <f>"9780415413510"</f>
        <v>9780415413510</v>
      </c>
      <c r="D3039" t="str">
        <f>"9780203966327"</f>
        <v>9780203966327</v>
      </c>
      <c r="E3039" t="s">
        <v>15</v>
      </c>
      <c r="F3039" t="s">
        <v>16</v>
      </c>
      <c r="G3039" s="1">
        <v>39057</v>
      </c>
      <c r="H3039" s="1">
        <v>39211</v>
      </c>
      <c r="I3039" t="s">
        <v>12</v>
      </c>
      <c r="J3039" t="s">
        <v>13809</v>
      </c>
    </row>
    <row r="3040" spans="1:10" x14ac:dyDescent="0.25">
      <c r="A3040">
        <v>292975</v>
      </c>
      <c r="B3040" t="s">
        <v>3194</v>
      </c>
      <c r="C3040" t="str">
        <f>"9780415413664"</f>
        <v>9780415413664</v>
      </c>
      <c r="D3040" t="str">
        <f>"9780203965528"</f>
        <v>9780203965528</v>
      </c>
      <c r="E3040" t="s">
        <v>15</v>
      </c>
      <c r="F3040" t="s">
        <v>16</v>
      </c>
      <c r="G3040" s="1">
        <v>39139</v>
      </c>
      <c r="H3040" s="1">
        <v>39211</v>
      </c>
      <c r="I3040" t="s">
        <v>12</v>
      </c>
      <c r="J3040" t="s">
        <v>13810</v>
      </c>
    </row>
    <row r="3041" spans="1:10" x14ac:dyDescent="0.25">
      <c r="A3041">
        <v>292977</v>
      </c>
      <c r="B3041" t="s">
        <v>3195</v>
      </c>
      <c r="C3041" t="str">
        <f>"9780415413800"</f>
        <v>9780415413800</v>
      </c>
      <c r="D3041" t="str">
        <f>"9780203962312"</f>
        <v>9780203962312</v>
      </c>
      <c r="E3041" t="s">
        <v>15</v>
      </c>
      <c r="F3041" t="s">
        <v>16</v>
      </c>
      <c r="G3041" s="1">
        <v>39147</v>
      </c>
      <c r="H3041" s="1">
        <v>42059</v>
      </c>
      <c r="I3041" t="s">
        <v>12</v>
      </c>
      <c r="J3041" t="s">
        <v>13811</v>
      </c>
    </row>
    <row r="3042" spans="1:10" x14ac:dyDescent="0.25">
      <c r="A3042">
        <v>292979</v>
      </c>
      <c r="B3042" t="s">
        <v>3196</v>
      </c>
      <c r="C3042" t="str">
        <f>"9780415413961"</f>
        <v>9780415413961</v>
      </c>
      <c r="D3042" t="str">
        <f>"9780203967751"</f>
        <v>9780203967751</v>
      </c>
      <c r="E3042" t="s">
        <v>15</v>
      </c>
      <c r="F3042" t="s">
        <v>16</v>
      </c>
      <c r="G3042" s="1">
        <v>39066</v>
      </c>
      <c r="H3042" s="1">
        <v>39211</v>
      </c>
      <c r="I3042" t="s">
        <v>12</v>
      </c>
      <c r="J3042" t="s">
        <v>13812</v>
      </c>
    </row>
    <row r="3043" spans="1:10" x14ac:dyDescent="0.25">
      <c r="A3043">
        <v>292980</v>
      </c>
      <c r="B3043" t="s">
        <v>3197</v>
      </c>
      <c r="C3043" t="str">
        <f>"9780415414302"</f>
        <v>9780415414302</v>
      </c>
      <c r="D3043" t="str">
        <f>"9780203964347"</f>
        <v>9780203964347</v>
      </c>
      <c r="E3043" t="s">
        <v>15</v>
      </c>
      <c r="F3043" t="s">
        <v>16</v>
      </c>
      <c r="G3043" s="1">
        <v>39184</v>
      </c>
      <c r="H3043" s="1">
        <v>39211</v>
      </c>
      <c r="I3043" t="s">
        <v>12</v>
      </c>
      <c r="J3043" t="s">
        <v>13813</v>
      </c>
    </row>
    <row r="3044" spans="1:10" x14ac:dyDescent="0.25">
      <c r="A3044">
        <v>292982</v>
      </c>
      <c r="B3044" t="s">
        <v>3198</v>
      </c>
      <c r="C3044" t="str">
        <f>"9780415414470"</f>
        <v>9780415414470</v>
      </c>
      <c r="D3044" t="str">
        <f>"9780203964729"</f>
        <v>9780203964729</v>
      </c>
      <c r="E3044" t="s">
        <v>15</v>
      </c>
      <c r="F3044" t="s">
        <v>16</v>
      </c>
      <c r="G3044" s="1">
        <v>39153</v>
      </c>
      <c r="H3044" s="1">
        <v>41877</v>
      </c>
      <c r="I3044" t="s">
        <v>12</v>
      </c>
      <c r="J3044" t="s">
        <v>13814</v>
      </c>
    </row>
    <row r="3045" spans="1:10" x14ac:dyDescent="0.25">
      <c r="A3045">
        <v>292984</v>
      </c>
      <c r="B3045" t="s">
        <v>3199</v>
      </c>
      <c r="C3045" t="str">
        <f>"9780415414913"</f>
        <v>9780415414913</v>
      </c>
      <c r="D3045" t="str">
        <f>"9780203967379"</f>
        <v>9780203967379</v>
      </c>
      <c r="E3045" t="s">
        <v>15</v>
      </c>
      <c r="F3045" t="s">
        <v>16</v>
      </c>
      <c r="G3045" s="1">
        <v>39183</v>
      </c>
      <c r="H3045" s="1">
        <v>39211</v>
      </c>
      <c r="I3045" t="s">
        <v>12</v>
      </c>
      <c r="J3045" t="s">
        <v>13815</v>
      </c>
    </row>
    <row r="3046" spans="1:10" x14ac:dyDescent="0.25">
      <c r="A3046">
        <v>292987</v>
      </c>
      <c r="B3046" t="s">
        <v>3200</v>
      </c>
      <c r="C3046" t="str">
        <f>"9780415415811"</f>
        <v>9780415415811</v>
      </c>
      <c r="D3046" t="str">
        <f>"9780203964361"</f>
        <v>9780203964361</v>
      </c>
      <c r="E3046" t="s">
        <v>15</v>
      </c>
      <c r="F3046" t="s">
        <v>16</v>
      </c>
      <c r="G3046" s="1">
        <v>39132</v>
      </c>
      <c r="H3046" s="1">
        <v>39211</v>
      </c>
      <c r="I3046" t="s">
        <v>12</v>
      </c>
      <c r="J3046" t="s">
        <v>13816</v>
      </c>
    </row>
    <row r="3047" spans="1:10" x14ac:dyDescent="0.25">
      <c r="A3047">
        <v>292994</v>
      </c>
      <c r="B3047" t="s">
        <v>3201</v>
      </c>
      <c r="C3047" t="str">
        <f>"9780415416047"</f>
        <v>9780415416047</v>
      </c>
      <c r="D3047" t="str">
        <f>"9780203964583"</f>
        <v>9780203964583</v>
      </c>
      <c r="E3047" t="s">
        <v>15</v>
      </c>
      <c r="F3047" t="s">
        <v>16</v>
      </c>
      <c r="G3047" s="1">
        <v>39209</v>
      </c>
      <c r="H3047" s="1">
        <v>39211</v>
      </c>
      <c r="I3047" t="s">
        <v>12</v>
      </c>
      <c r="J3047" t="s">
        <v>13817</v>
      </c>
    </row>
    <row r="3048" spans="1:10" x14ac:dyDescent="0.25">
      <c r="A3048">
        <v>292996</v>
      </c>
      <c r="B3048" t="s">
        <v>3202</v>
      </c>
      <c r="C3048" t="str">
        <f>"9780415416689"</f>
        <v>9780415416689</v>
      </c>
      <c r="D3048" t="str">
        <f>"9780203964323"</f>
        <v>9780203964323</v>
      </c>
      <c r="E3048" t="s">
        <v>15</v>
      </c>
      <c r="F3048" t="s">
        <v>16</v>
      </c>
      <c r="G3048" s="1">
        <v>39147</v>
      </c>
      <c r="H3048" s="1">
        <v>41877</v>
      </c>
      <c r="I3048" t="s">
        <v>12</v>
      </c>
      <c r="J3048" t="s">
        <v>13818</v>
      </c>
    </row>
    <row r="3049" spans="1:10" x14ac:dyDescent="0.25">
      <c r="A3049">
        <v>292999</v>
      </c>
      <c r="B3049" t="s">
        <v>3203</v>
      </c>
      <c r="C3049" t="str">
        <f>"9780415417167"</f>
        <v>9780415417167</v>
      </c>
      <c r="D3049" t="str">
        <f>"9780203962947"</f>
        <v>9780203962947</v>
      </c>
      <c r="E3049" t="s">
        <v>15</v>
      </c>
      <c r="F3049" t="s">
        <v>16</v>
      </c>
      <c r="G3049" s="1">
        <v>39212</v>
      </c>
      <c r="H3049" s="1">
        <v>39211</v>
      </c>
      <c r="I3049" t="s">
        <v>12</v>
      </c>
      <c r="J3049" t="s">
        <v>13819</v>
      </c>
    </row>
    <row r="3050" spans="1:10" x14ac:dyDescent="0.25">
      <c r="A3050">
        <v>293002</v>
      </c>
      <c r="B3050" t="s">
        <v>3204</v>
      </c>
      <c r="C3050" t="str">
        <f>"9780415418645"</f>
        <v>9780415418645</v>
      </c>
      <c r="D3050" t="str">
        <f>"9780203964316"</f>
        <v>9780203964316</v>
      </c>
      <c r="E3050" t="s">
        <v>15</v>
      </c>
      <c r="F3050" t="s">
        <v>16</v>
      </c>
      <c r="G3050" s="1">
        <v>39175</v>
      </c>
      <c r="H3050" s="1">
        <v>39211</v>
      </c>
      <c r="I3050" t="s">
        <v>12</v>
      </c>
      <c r="J3050" t="s">
        <v>13820</v>
      </c>
    </row>
    <row r="3051" spans="1:10" x14ac:dyDescent="0.25">
      <c r="A3051">
        <v>293004</v>
      </c>
      <c r="B3051" t="s">
        <v>3205</v>
      </c>
      <c r="C3051" t="str">
        <f>"9780415418997"</f>
        <v>9780415418997</v>
      </c>
      <c r="D3051" t="str">
        <f>"9780203962442"</f>
        <v>9780203962442</v>
      </c>
      <c r="E3051" t="s">
        <v>15</v>
      </c>
      <c r="F3051" t="s">
        <v>16</v>
      </c>
      <c r="G3051" s="1">
        <v>39182</v>
      </c>
      <c r="H3051" s="1">
        <v>39211</v>
      </c>
      <c r="I3051" t="s">
        <v>12</v>
      </c>
      <c r="J3051" t="s">
        <v>13821</v>
      </c>
    </row>
    <row r="3052" spans="1:10" x14ac:dyDescent="0.25">
      <c r="A3052">
        <v>293006</v>
      </c>
      <c r="B3052" t="s">
        <v>3206</v>
      </c>
      <c r="C3052" t="str">
        <f>"9780415419635"</f>
        <v>9780415419635</v>
      </c>
      <c r="D3052" t="str">
        <f>"9780203945445"</f>
        <v>9780203945445</v>
      </c>
      <c r="E3052" t="s">
        <v>15</v>
      </c>
      <c r="F3052" t="s">
        <v>1019</v>
      </c>
      <c r="G3052" s="1">
        <v>39136</v>
      </c>
      <c r="H3052" s="1">
        <v>39211</v>
      </c>
      <c r="I3052" t="s">
        <v>12</v>
      </c>
      <c r="J3052" t="s">
        <v>13822</v>
      </c>
    </row>
    <row r="3053" spans="1:10" x14ac:dyDescent="0.25">
      <c r="A3053">
        <v>293010</v>
      </c>
      <c r="B3053" t="s">
        <v>3207</v>
      </c>
      <c r="C3053" t="str">
        <f>"9780415420488"</f>
        <v>9780415420488</v>
      </c>
      <c r="D3053" t="str">
        <f>"9780203962299"</f>
        <v>9780203962299</v>
      </c>
      <c r="E3053" t="s">
        <v>15</v>
      </c>
      <c r="F3053" t="s">
        <v>16</v>
      </c>
      <c r="G3053" s="1">
        <v>39139</v>
      </c>
      <c r="H3053" s="1">
        <v>39211</v>
      </c>
      <c r="I3053" t="s">
        <v>12</v>
      </c>
      <c r="J3053" t="s">
        <v>13823</v>
      </c>
    </row>
    <row r="3054" spans="1:10" x14ac:dyDescent="0.25">
      <c r="A3054">
        <v>293011</v>
      </c>
      <c r="B3054" t="s">
        <v>3208</v>
      </c>
      <c r="C3054" t="str">
        <f>"9780415420594"</f>
        <v>9780415420594</v>
      </c>
      <c r="D3054" t="str">
        <f>"9780203965863"</f>
        <v>9780203965863</v>
      </c>
      <c r="E3054" t="s">
        <v>15</v>
      </c>
      <c r="F3054" t="s">
        <v>16</v>
      </c>
      <c r="G3054" s="1">
        <v>39070</v>
      </c>
      <c r="H3054" s="1">
        <v>39211</v>
      </c>
      <c r="I3054" t="s">
        <v>12</v>
      </c>
      <c r="J3054" t="s">
        <v>13824</v>
      </c>
    </row>
    <row r="3055" spans="1:10" x14ac:dyDescent="0.25">
      <c r="A3055">
        <v>293012</v>
      </c>
      <c r="B3055" t="s">
        <v>3209</v>
      </c>
      <c r="C3055" t="str">
        <f>"9780415420914"</f>
        <v>9780415420914</v>
      </c>
      <c r="D3055" t="str">
        <f>"9780203962138"</f>
        <v>9780203962138</v>
      </c>
      <c r="E3055" t="s">
        <v>15</v>
      </c>
      <c r="F3055" t="s">
        <v>16</v>
      </c>
      <c r="G3055" s="1">
        <v>39225</v>
      </c>
      <c r="H3055" s="1">
        <v>39211</v>
      </c>
      <c r="I3055" t="s">
        <v>12</v>
      </c>
      <c r="J3055" t="s">
        <v>13825</v>
      </c>
    </row>
    <row r="3056" spans="1:10" x14ac:dyDescent="0.25">
      <c r="A3056">
        <v>293013</v>
      </c>
      <c r="B3056" t="s">
        <v>3210</v>
      </c>
      <c r="C3056" t="str">
        <f>"9780415421089"</f>
        <v>9780415421089</v>
      </c>
      <c r="D3056" t="str">
        <f>"9780203962879"</f>
        <v>9780203962879</v>
      </c>
      <c r="E3056" t="s">
        <v>15</v>
      </c>
      <c r="F3056" t="s">
        <v>16</v>
      </c>
      <c r="G3056" s="1">
        <v>39232</v>
      </c>
      <c r="H3056" s="1">
        <v>41877</v>
      </c>
      <c r="I3056" t="s">
        <v>12</v>
      </c>
      <c r="J3056" t="s">
        <v>13826</v>
      </c>
    </row>
    <row r="3057" spans="1:10" x14ac:dyDescent="0.25">
      <c r="A3057">
        <v>293014</v>
      </c>
      <c r="B3057" t="s">
        <v>3211</v>
      </c>
      <c r="C3057" t="str">
        <f>"9780415421683"</f>
        <v>9780415421683</v>
      </c>
      <c r="D3057" t="str">
        <f>"9780203962169"</f>
        <v>9780203962169</v>
      </c>
      <c r="E3057" t="s">
        <v>15</v>
      </c>
      <c r="F3057" t="s">
        <v>16</v>
      </c>
      <c r="G3057" s="1">
        <v>39162</v>
      </c>
      <c r="H3057" s="1">
        <v>39885</v>
      </c>
      <c r="I3057" t="s">
        <v>12</v>
      </c>
      <c r="J3057" t="s">
        <v>13827</v>
      </c>
    </row>
    <row r="3058" spans="1:10" x14ac:dyDescent="0.25">
      <c r="A3058">
        <v>293015</v>
      </c>
      <c r="B3058" t="s">
        <v>3212</v>
      </c>
      <c r="C3058" t="str">
        <f>"9780415423281"</f>
        <v>9780415423281</v>
      </c>
      <c r="D3058" t="str">
        <f>"9780203964422"</f>
        <v>9780203964422</v>
      </c>
      <c r="E3058" t="s">
        <v>15</v>
      </c>
      <c r="F3058" t="s">
        <v>16</v>
      </c>
      <c r="G3058" s="1">
        <v>39206</v>
      </c>
      <c r="H3058" s="1">
        <v>39211</v>
      </c>
      <c r="I3058" t="s">
        <v>12</v>
      </c>
      <c r="J3058" t="s">
        <v>13828</v>
      </c>
    </row>
    <row r="3059" spans="1:10" x14ac:dyDescent="0.25">
      <c r="A3059">
        <v>293016</v>
      </c>
      <c r="B3059" t="s">
        <v>3213</v>
      </c>
      <c r="C3059" t="str">
        <f>"9780415425452"</f>
        <v>9780415425452</v>
      </c>
      <c r="D3059" t="str">
        <f>"9780203962039"</f>
        <v>9780203962039</v>
      </c>
      <c r="E3059" t="s">
        <v>15</v>
      </c>
      <c r="F3059" t="s">
        <v>16</v>
      </c>
      <c r="G3059" s="1">
        <v>39211</v>
      </c>
      <c r="H3059" s="1">
        <v>39211</v>
      </c>
      <c r="I3059" t="s">
        <v>12</v>
      </c>
      <c r="J3059" t="s">
        <v>13829</v>
      </c>
    </row>
    <row r="3060" spans="1:10" x14ac:dyDescent="0.25">
      <c r="A3060">
        <v>293018</v>
      </c>
      <c r="B3060" t="s">
        <v>3214</v>
      </c>
      <c r="C3060" t="str">
        <f>"9780415425988"</f>
        <v>9780415425988</v>
      </c>
      <c r="D3060" t="str">
        <f>"9780203963999"</f>
        <v>9780203963999</v>
      </c>
      <c r="E3060" t="s">
        <v>15</v>
      </c>
      <c r="F3060" t="s">
        <v>16</v>
      </c>
      <c r="G3060" s="1">
        <v>39192</v>
      </c>
      <c r="H3060" s="1">
        <v>39211</v>
      </c>
      <c r="I3060" t="s">
        <v>12</v>
      </c>
      <c r="J3060" t="s">
        <v>13830</v>
      </c>
    </row>
    <row r="3061" spans="1:10" x14ac:dyDescent="0.25">
      <c r="A3061">
        <v>293019</v>
      </c>
      <c r="B3061" t="s">
        <v>3215</v>
      </c>
      <c r="C3061" t="str">
        <f>"9780415426329"</f>
        <v>9780415426329</v>
      </c>
      <c r="D3061" t="str">
        <f>"9780203962534"</f>
        <v>9780203962534</v>
      </c>
      <c r="E3061" t="s">
        <v>15</v>
      </c>
      <c r="F3061" t="s">
        <v>16</v>
      </c>
      <c r="G3061" s="1">
        <v>39211</v>
      </c>
      <c r="H3061" s="1">
        <v>39211</v>
      </c>
      <c r="I3061" t="s">
        <v>12</v>
      </c>
      <c r="J3061" t="s">
        <v>13831</v>
      </c>
    </row>
    <row r="3062" spans="1:10" x14ac:dyDescent="0.25">
      <c r="A3062">
        <v>293022</v>
      </c>
      <c r="B3062" t="s">
        <v>3216</v>
      </c>
      <c r="C3062" t="str">
        <f>"9780415429511"</f>
        <v>9780415429511</v>
      </c>
      <c r="D3062" t="str">
        <f>"9780203962244"</f>
        <v>9780203962244</v>
      </c>
      <c r="E3062" t="s">
        <v>15</v>
      </c>
      <c r="F3062" t="s">
        <v>16</v>
      </c>
      <c r="G3062" s="1">
        <v>39204</v>
      </c>
      <c r="H3062" s="1">
        <v>39211</v>
      </c>
      <c r="I3062" t="s">
        <v>12</v>
      </c>
      <c r="J3062" t="s">
        <v>13832</v>
      </c>
    </row>
    <row r="3063" spans="1:10" x14ac:dyDescent="0.25">
      <c r="A3063">
        <v>293023</v>
      </c>
      <c r="B3063" t="s">
        <v>3217</v>
      </c>
      <c r="C3063" t="str">
        <f>"9780415429863"</f>
        <v>9780415429863</v>
      </c>
      <c r="D3063" t="str">
        <f>"9780203441862"</f>
        <v>9780203441862</v>
      </c>
      <c r="E3063" t="s">
        <v>15</v>
      </c>
      <c r="F3063" t="s">
        <v>16</v>
      </c>
      <c r="G3063" s="1">
        <v>39211</v>
      </c>
      <c r="H3063" s="1">
        <v>39211</v>
      </c>
      <c r="I3063" t="s">
        <v>12</v>
      </c>
      <c r="J3063" t="s">
        <v>13833</v>
      </c>
    </row>
    <row r="3064" spans="1:10" x14ac:dyDescent="0.25">
      <c r="A3064">
        <v>293027</v>
      </c>
      <c r="B3064" t="s">
        <v>3218</v>
      </c>
      <c r="C3064" t="str">
        <f>"9780415701921"</f>
        <v>9780415701921</v>
      </c>
      <c r="D3064" t="str">
        <f>"9780203966143"</f>
        <v>9780203966143</v>
      </c>
      <c r="E3064" t="s">
        <v>15</v>
      </c>
      <c r="F3064" t="s">
        <v>16</v>
      </c>
      <c r="G3064" s="1">
        <v>39120</v>
      </c>
      <c r="H3064" s="1">
        <v>39211</v>
      </c>
      <c r="I3064" t="s">
        <v>12</v>
      </c>
      <c r="J3064" t="s">
        <v>13834</v>
      </c>
    </row>
    <row r="3065" spans="1:10" x14ac:dyDescent="0.25">
      <c r="A3065">
        <v>293031</v>
      </c>
      <c r="B3065" t="s">
        <v>3219</v>
      </c>
      <c r="C3065" t="str">
        <f>"9780415770163"</f>
        <v>9780415770163</v>
      </c>
      <c r="D3065" t="str">
        <f>"9780203964279"</f>
        <v>9780203964279</v>
      </c>
      <c r="E3065" t="s">
        <v>15</v>
      </c>
      <c r="F3065" t="s">
        <v>16</v>
      </c>
      <c r="G3065" s="1">
        <v>39183</v>
      </c>
      <c r="H3065" s="1">
        <v>39211</v>
      </c>
      <c r="I3065" t="s">
        <v>12</v>
      </c>
      <c r="J3065" t="s">
        <v>13835</v>
      </c>
    </row>
    <row r="3066" spans="1:10" x14ac:dyDescent="0.25">
      <c r="A3066">
        <v>293035</v>
      </c>
      <c r="B3066" t="s">
        <v>3220</v>
      </c>
      <c r="C3066" t="str">
        <f>"9780415770477"</f>
        <v>9780415770477</v>
      </c>
      <c r="D3066" t="str">
        <f>"9780203966389"</f>
        <v>9780203966389</v>
      </c>
      <c r="E3066" t="s">
        <v>15</v>
      </c>
      <c r="F3066" t="s">
        <v>16</v>
      </c>
      <c r="G3066" s="1">
        <v>39136</v>
      </c>
      <c r="H3066" s="1">
        <v>39211</v>
      </c>
      <c r="I3066" t="s">
        <v>12</v>
      </c>
      <c r="J3066" t="s">
        <v>13836</v>
      </c>
    </row>
    <row r="3067" spans="1:10" x14ac:dyDescent="0.25">
      <c r="A3067">
        <v>293037</v>
      </c>
      <c r="B3067" t="s">
        <v>3221</v>
      </c>
      <c r="C3067" t="str">
        <f>"9780415770569"</f>
        <v>9780415770569</v>
      </c>
      <c r="D3067" t="str">
        <f>"9780203966136"</f>
        <v>9780203966136</v>
      </c>
      <c r="E3067" t="s">
        <v>15</v>
      </c>
      <c r="F3067" t="s">
        <v>16</v>
      </c>
      <c r="G3067" s="1">
        <v>39063</v>
      </c>
      <c r="H3067" s="1">
        <v>39211</v>
      </c>
      <c r="I3067" t="s">
        <v>12</v>
      </c>
      <c r="J3067" t="s">
        <v>13837</v>
      </c>
    </row>
    <row r="3068" spans="1:10" x14ac:dyDescent="0.25">
      <c r="A3068">
        <v>293040</v>
      </c>
      <c r="B3068" t="s">
        <v>3222</v>
      </c>
      <c r="C3068" t="str">
        <f>"9780415770903"</f>
        <v>9780415770903</v>
      </c>
      <c r="D3068" t="str">
        <f>"9780203966341"</f>
        <v>9780203966341</v>
      </c>
      <c r="E3068" t="s">
        <v>15</v>
      </c>
      <c r="F3068" t="s">
        <v>16</v>
      </c>
      <c r="G3068" s="1">
        <v>39064</v>
      </c>
      <c r="H3068" s="1">
        <v>39211</v>
      </c>
      <c r="I3068" t="s">
        <v>12</v>
      </c>
      <c r="J3068" t="s">
        <v>13838</v>
      </c>
    </row>
    <row r="3069" spans="1:10" x14ac:dyDescent="0.25">
      <c r="A3069">
        <v>293042</v>
      </c>
      <c r="B3069" t="s">
        <v>3223</v>
      </c>
      <c r="C3069" t="str">
        <f>"9780415770996"</f>
        <v>9780415770996</v>
      </c>
      <c r="D3069" t="str">
        <f>"9780203964569"</f>
        <v>9780203964569</v>
      </c>
      <c r="E3069" t="s">
        <v>15</v>
      </c>
      <c r="F3069" t="s">
        <v>16</v>
      </c>
      <c r="G3069" s="1">
        <v>39176</v>
      </c>
      <c r="H3069" s="1">
        <v>39211</v>
      </c>
      <c r="I3069" t="s">
        <v>12</v>
      </c>
      <c r="J3069" t="s">
        <v>13839</v>
      </c>
    </row>
    <row r="3070" spans="1:10" x14ac:dyDescent="0.25">
      <c r="A3070">
        <v>293044</v>
      </c>
      <c r="B3070" t="s">
        <v>3224</v>
      </c>
      <c r="C3070" t="str">
        <f>"9780415771504"</f>
        <v>9780415771504</v>
      </c>
      <c r="D3070" t="str">
        <f>"9780203965122"</f>
        <v>9780203965122</v>
      </c>
      <c r="E3070" t="s">
        <v>15</v>
      </c>
      <c r="F3070" t="s">
        <v>16</v>
      </c>
      <c r="G3070" s="1">
        <v>39136</v>
      </c>
      <c r="H3070" s="1">
        <v>39211</v>
      </c>
      <c r="I3070" t="s">
        <v>12</v>
      </c>
      <c r="J3070" t="s">
        <v>13840</v>
      </c>
    </row>
    <row r="3071" spans="1:10" x14ac:dyDescent="0.25">
      <c r="A3071">
        <v>293046</v>
      </c>
      <c r="B3071" t="s">
        <v>3225</v>
      </c>
      <c r="C3071" t="str">
        <f>"9780415771672"</f>
        <v>9780415771672</v>
      </c>
      <c r="D3071" t="str">
        <f>"9780203963630"</f>
        <v>9780203963630</v>
      </c>
      <c r="E3071" t="s">
        <v>15</v>
      </c>
      <c r="F3071" t="s">
        <v>16</v>
      </c>
      <c r="G3071" s="1">
        <v>39190</v>
      </c>
      <c r="H3071" s="1">
        <v>39211</v>
      </c>
      <c r="I3071" t="s">
        <v>12</v>
      </c>
      <c r="J3071" t="s">
        <v>13841</v>
      </c>
    </row>
    <row r="3072" spans="1:10" x14ac:dyDescent="0.25">
      <c r="A3072">
        <v>293047</v>
      </c>
      <c r="B3072" t="s">
        <v>3226</v>
      </c>
      <c r="C3072" t="str">
        <f>"9780415771689"</f>
        <v>9780415771689</v>
      </c>
      <c r="D3072" t="str">
        <f>"9780203965689"</f>
        <v>9780203965689</v>
      </c>
      <c r="E3072" t="s">
        <v>15</v>
      </c>
      <c r="F3072" t="s">
        <v>16</v>
      </c>
      <c r="G3072" s="1">
        <v>39077</v>
      </c>
      <c r="H3072" s="1">
        <v>39211</v>
      </c>
      <c r="I3072" t="s">
        <v>12</v>
      </c>
      <c r="J3072" t="s">
        <v>13842</v>
      </c>
    </row>
    <row r="3073" spans="1:10" x14ac:dyDescent="0.25">
      <c r="A3073">
        <v>293048</v>
      </c>
      <c r="B3073" t="s">
        <v>3227</v>
      </c>
      <c r="C3073" t="str">
        <f>"9780415771795"</f>
        <v>9780415771795</v>
      </c>
      <c r="D3073" t="str">
        <f>"9780203964675"</f>
        <v>9780203964675</v>
      </c>
      <c r="E3073" t="s">
        <v>15</v>
      </c>
      <c r="F3073" t="s">
        <v>16</v>
      </c>
      <c r="G3073" s="1">
        <v>39183</v>
      </c>
      <c r="H3073" s="1">
        <v>39211</v>
      </c>
      <c r="I3073" t="s">
        <v>12</v>
      </c>
      <c r="J3073" t="s">
        <v>13843</v>
      </c>
    </row>
    <row r="3074" spans="1:10" x14ac:dyDescent="0.25">
      <c r="A3074">
        <v>293049</v>
      </c>
      <c r="B3074" t="s">
        <v>3228</v>
      </c>
      <c r="C3074" t="str">
        <f>"9780415771818"</f>
        <v>9780415771818</v>
      </c>
      <c r="D3074" t="str">
        <f>"9780203963159"</f>
        <v>9780203963159</v>
      </c>
      <c r="E3074" t="s">
        <v>15</v>
      </c>
      <c r="F3074" t="s">
        <v>16</v>
      </c>
      <c r="G3074" s="1">
        <v>39199</v>
      </c>
      <c r="H3074" s="1">
        <v>39211</v>
      </c>
      <c r="I3074" t="s">
        <v>12</v>
      </c>
      <c r="J3074" t="s">
        <v>13844</v>
      </c>
    </row>
    <row r="3075" spans="1:10" x14ac:dyDescent="0.25">
      <c r="A3075">
        <v>293051</v>
      </c>
      <c r="B3075" t="s">
        <v>3229</v>
      </c>
      <c r="C3075" t="str">
        <f>"9780415940238"</f>
        <v>9780415940238</v>
      </c>
      <c r="D3075" t="str">
        <f>"9780203967836"</f>
        <v>9780203967836</v>
      </c>
      <c r="E3075" t="s">
        <v>15</v>
      </c>
      <c r="F3075" t="s">
        <v>16</v>
      </c>
      <c r="G3075" s="1">
        <v>39139</v>
      </c>
      <c r="H3075" s="1">
        <v>39211</v>
      </c>
      <c r="I3075" t="s">
        <v>12</v>
      </c>
      <c r="J3075" t="s">
        <v>13845</v>
      </c>
    </row>
    <row r="3076" spans="1:10" x14ac:dyDescent="0.25">
      <c r="A3076">
        <v>293058</v>
      </c>
      <c r="B3076" t="s">
        <v>3230</v>
      </c>
      <c r="C3076" t="str">
        <f>"9781583917121"</f>
        <v>9781583917121</v>
      </c>
      <c r="D3076" t="str">
        <f>"9780203698655"</f>
        <v>9780203698655</v>
      </c>
      <c r="E3076" t="s">
        <v>15</v>
      </c>
      <c r="F3076" t="s">
        <v>16</v>
      </c>
      <c r="G3076" s="1">
        <v>39147</v>
      </c>
      <c r="H3076" s="1">
        <v>39211</v>
      </c>
      <c r="I3076" t="s">
        <v>12</v>
      </c>
      <c r="J3076" t="s">
        <v>13846</v>
      </c>
    </row>
    <row r="3077" spans="1:10" x14ac:dyDescent="0.25">
      <c r="A3077">
        <v>293060</v>
      </c>
      <c r="B3077" t="s">
        <v>3231</v>
      </c>
      <c r="C3077" t="str">
        <f>"9781583917404"</f>
        <v>9781583917404</v>
      </c>
      <c r="D3077" t="str">
        <f>"9780203012109"</f>
        <v>9780203012109</v>
      </c>
      <c r="E3077" t="s">
        <v>15</v>
      </c>
      <c r="F3077" t="s">
        <v>16</v>
      </c>
      <c r="G3077" s="1">
        <v>38947</v>
      </c>
      <c r="H3077" s="1">
        <v>39211</v>
      </c>
      <c r="I3077" t="s">
        <v>12</v>
      </c>
      <c r="J3077" t="s">
        <v>13847</v>
      </c>
    </row>
    <row r="3078" spans="1:10" x14ac:dyDescent="0.25">
      <c r="A3078">
        <v>293063</v>
      </c>
      <c r="B3078" t="s">
        <v>3232</v>
      </c>
      <c r="C3078" t="str">
        <f>"9781583917695"</f>
        <v>9781583917695</v>
      </c>
      <c r="D3078" t="str">
        <f>"9780203028438"</f>
        <v>9780203028438</v>
      </c>
      <c r="E3078" t="s">
        <v>15</v>
      </c>
      <c r="F3078" t="s">
        <v>16</v>
      </c>
      <c r="G3078" s="1">
        <v>39196</v>
      </c>
      <c r="H3078" s="1">
        <v>39211</v>
      </c>
      <c r="I3078" t="s">
        <v>12</v>
      </c>
      <c r="J3078" t="s">
        <v>13848</v>
      </c>
    </row>
    <row r="3079" spans="1:10" x14ac:dyDescent="0.25">
      <c r="A3079">
        <v>293064</v>
      </c>
      <c r="B3079" t="s">
        <v>3233</v>
      </c>
      <c r="C3079" t="str">
        <f>"9781583917756"</f>
        <v>9781583917756</v>
      </c>
      <c r="D3079" t="str">
        <f>"9780203028513"</f>
        <v>9780203028513</v>
      </c>
      <c r="E3079" t="s">
        <v>15</v>
      </c>
      <c r="F3079" t="s">
        <v>16</v>
      </c>
      <c r="G3079" s="1">
        <v>39147</v>
      </c>
      <c r="H3079" s="1">
        <v>39211</v>
      </c>
      <c r="I3079" t="s">
        <v>12</v>
      </c>
      <c r="J3079" t="s">
        <v>13849</v>
      </c>
    </row>
    <row r="3080" spans="1:10" x14ac:dyDescent="0.25">
      <c r="A3080">
        <v>293065</v>
      </c>
      <c r="B3080" t="s">
        <v>3234</v>
      </c>
      <c r="C3080" t="str">
        <f>"9781583918203"</f>
        <v>9781583918203</v>
      </c>
      <c r="D3080" t="str">
        <f>"9780203966013"</f>
        <v>9780203966013</v>
      </c>
      <c r="E3080" t="s">
        <v>15</v>
      </c>
      <c r="F3080" t="s">
        <v>16</v>
      </c>
      <c r="G3080" s="1">
        <v>39021</v>
      </c>
      <c r="H3080" s="1">
        <v>39211</v>
      </c>
      <c r="I3080" t="s">
        <v>12</v>
      </c>
      <c r="J3080" t="s">
        <v>13850</v>
      </c>
    </row>
    <row r="3081" spans="1:10" x14ac:dyDescent="0.25">
      <c r="A3081">
        <v>293066</v>
      </c>
      <c r="B3081" t="s">
        <v>3235</v>
      </c>
      <c r="C3081" t="str">
        <f>"9781583918449"</f>
        <v>9781583918449</v>
      </c>
      <c r="D3081" t="str">
        <f>"9780203966006"</f>
        <v>9780203966006</v>
      </c>
      <c r="E3081" t="s">
        <v>15</v>
      </c>
      <c r="F3081" t="s">
        <v>16</v>
      </c>
      <c r="G3081" s="1">
        <v>38975</v>
      </c>
      <c r="H3081" s="1">
        <v>39211</v>
      </c>
      <c r="I3081" t="s">
        <v>12</v>
      </c>
      <c r="J3081" t="s">
        <v>13851</v>
      </c>
    </row>
    <row r="3082" spans="1:10" x14ac:dyDescent="0.25">
      <c r="A3082">
        <v>293068</v>
      </c>
      <c r="B3082" t="s">
        <v>3236</v>
      </c>
      <c r="C3082" t="str">
        <f>"9781841693804"</f>
        <v>9781841693804</v>
      </c>
      <c r="D3082" t="str">
        <f>"9780203965221"</f>
        <v>9780203965221</v>
      </c>
      <c r="E3082" t="s">
        <v>15</v>
      </c>
      <c r="F3082" t="s">
        <v>55</v>
      </c>
      <c r="G3082" s="1">
        <v>38835</v>
      </c>
      <c r="H3082" s="1">
        <v>39211</v>
      </c>
      <c r="I3082" t="s">
        <v>12</v>
      </c>
      <c r="J3082" t="s">
        <v>13852</v>
      </c>
    </row>
    <row r="3083" spans="1:10" x14ac:dyDescent="0.25">
      <c r="A3083">
        <v>293070</v>
      </c>
      <c r="B3083" t="s">
        <v>3237</v>
      </c>
      <c r="C3083" t="str">
        <f>"9781841696454"</f>
        <v>9781841696454</v>
      </c>
      <c r="D3083" t="str">
        <f>"9780203965245"</f>
        <v>9780203965245</v>
      </c>
      <c r="E3083" t="s">
        <v>15</v>
      </c>
      <c r="F3083" t="s">
        <v>55</v>
      </c>
      <c r="G3083" s="1">
        <v>39147</v>
      </c>
      <c r="H3083" s="1">
        <v>39211</v>
      </c>
      <c r="I3083" t="s">
        <v>12</v>
      </c>
      <c r="J3083" t="s">
        <v>13853</v>
      </c>
    </row>
    <row r="3084" spans="1:10" x14ac:dyDescent="0.25">
      <c r="A3084">
        <v>293071</v>
      </c>
      <c r="B3084" t="s">
        <v>3238</v>
      </c>
      <c r="C3084" t="str">
        <f>"9781841696508"</f>
        <v>9781841696508</v>
      </c>
      <c r="D3084" t="str">
        <f>"9780203968512"</f>
        <v>9780203968512</v>
      </c>
      <c r="E3084" t="s">
        <v>15</v>
      </c>
      <c r="F3084" t="s">
        <v>55</v>
      </c>
      <c r="G3084" s="1">
        <v>39133</v>
      </c>
      <c r="H3084" s="1">
        <v>39211</v>
      </c>
      <c r="I3084" t="s">
        <v>12</v>
      </c>
      <c r="J3084" t="s">
        <v>13854</v>
      </c>
    </row>
    <row r="3085" spans="1:10" x14ac:dyDescent="0.25">
      <c r="A3085">
        <v>293072</v>
      </c>
      <c r="B3085" t="s">
        <v>3239</v>
      </c>
      <c r="C3085" t="str">
        <f>"9781843124535"</f>
        <v>9781843124535</v>
      </c>
      <c r="D3085" t="str">
        <f>"9780203962671"</f>
        <v>9780203962671</v>
      </c>
      <c r="E3085" t="s">
        <v>15</v>
      </c>
      <c r="F3085" t="s">
        <v>16</v>
      </c>
      <c r="G3085" s="1">
        <v>39195</v>
      </c>
      <c r="H3085" s="1">
        <v>39211</v>
      </c>
      <c r="I3085" t="s">
        <v>12</v>
      </c>
      <c r="J3085" t="s">
        <v>13855</v>
      </c>
    </row>
    <row r="3086" spans="1:10" x14ac:dyDescent="0.25">
      <c r="A3086">
        <v>293074</v>
      </c>
      <c r="B3086" t="s">
        <v>3240</v>
      </c>
      <c r="C3086" t="str">
        <f>"9781844720491"</f>
        <v>9781844720491</v>
      </c>
      <c r="D3086" t="str">
        <f>"9780203945414"</f>
        <v>9780203945414</v>
      </c>
      <c r="E3086" t="s">
        <v>15</v>
      </c>
      <c r="F3086" t="s">
        <v>1019</v>
      </c>
      <c r="G3086" s="1">
        <v>39077</v>
      </c>
      <c r="H3086" s="1">
        <v>39211</v>
      </c>
      <c r="I3086" t="s">
        <v>12</v>
      </c>
      <c r="J3086" t="s">
        <v>13856</v>
      </c>
    </row>
    <row r="3087" spans="1:10" x14ac:dyDescent="0.25">
      <c r="A3087">
        <v>293075</v>
      </c>
      <c r="B3087" t="s">
        <v>3241</v>
      </c>
      <c r="C3087" t="str">
        <f>"9781844720590"</f>
        <v>9781844720590</v>
      </c>
      <c r="D3087" t="str">
        <f>"9780203944998"</f>
        <v>9780203944998</v>
      </c>
      <c r="E3087" t="s">
        <v>15</v>
      </c>
      <c r="F3087" t="s">
        <v>1019</v>
      </c>
      <c r="G3087" s="1">
        <v>39065</v>
      </c>
      <c r="H3087" s="1">
        <v>39211</v>
      </c>
      <c r="I3087" t="s">
        <v>12</v>
      </c>
      <c r="J3087" t="s">
        <v>13857</v>
      </c>
    </row>
    <row r="3088" spans="1:10" x14ac:dyDescent="0.25">
      <c r="A3088">
        <v>293076</v>
      </c>
      <c r="B3088" t="s">
        <v>3242</v>
      </c>
      <c r="C3088" t="str">
        <f>"9781844720729"</f>
        <v>9781844720729</v>
      </c>
      <c r="D3088" t="str">
        <f>"9780203088791"</f>
        <v>9780203088791</v>
      </c>
      <c r="E3088" t="s">
        <v>15</v>
      </c>
      <c r="F3088" t="s">
        <v>16</v>
      </c>
      <c r="G3088" s="1">
        <v>38852</v>
      </c>
      <c r="H3088" s="1">
        <v>39211</v>
      </c>
      <c r="I3088" t="s">
        <v>12</v>
      </c>
      <c r="J3088" t="s">
        <v>13858</v>
      </c>
    </row>
    <row r="3089" spans="1:10" x14ac:dyDescent="0.25">
      <c r="A3089">
        <v>293077</v>
      </c>
      <c r="B3089" t="s">
        <v>3243</v>
      </c>
      <c r="C3089" t="str">
        <f>"9781844721078"</f>
        <v>9781844721078</v>
      </c>
      <c r="D3089" t="str">
        <f>"9780203945131"</f>
        <v>9780203945131</v>
      </c>
      <c r="E3089" t="s">
        <v>15</v>
      </c>
      <c r="F3089" t="s">
        <v>1019</v>
      </c>
      <c r="G3089" s="1">
        <v>39082</v>
      </c>
      <c r="H3089" s="1">
        <v>39211</v>
      </c>
      <c r="I3089" t="s">
        <v>12</v>
      </c>
      <c r="J3089" t="s">
        <v>13859</v>
      </c>
    </row>
    <row r="3090" spans="1:10" x14ac:dyDescent="0.25">
      <c r="A3090">
        <v>293081</v>
      </c>
      <c r="B3090" t="s">
        <v>3244</v>
      </c>
      <c r="C3090" t="str">
        <f>"9781844721405"</f>
        <v>9781844721405</v>
      </c>
      <c r="D3090" t="str">
        <f>"9780203945469"</f>
        <v>9780203945469</v>
      </c>
      <c r="E3090" t="s">
        <v>15</v>
      </c>
      <c r="F3090" t="s">
        <v>1019</v>
      </c>
      <c r="G3090" s="1">
        <v>39105</v>
      </c>
      <c r="H3090" s="1">
        <v>39211</v>
      </c>
      <c r="I3090" t="s">
        <v>12</v>
      </c>
      <c r="J3090" t="s">
        <v>13860</v>
      </c>
    </row>
    <row r="3091" spans="1:10" x14ac:dyDescent="0.25">
      <c r="A3091">
        <v>293084</v>
      </c>
      <c r="B3091" t="s">
        <v>3245</v>
      </c>
      <c r="C3091" t="str">
        <f>"9781845680756"</f>
        <v>9781845680756</v>
      </c>
      <c r="D3091" t="str">
        <f>"9780203945438"</f>
        <v>9780203945438</v>
      </c>
      <c r="E3091" t="s">
        <v>15</v>
      </c>
      <c r="F3091" t="s">
        <v>1019</v>
      </c>
      <c r="G3091" s="1">
        <v>39064</v>
      </c>
      <c r="H3091" s="1">
        <v>39211</v>
      </c>
      <c r="I3091" t="s">
        <v>12</v>
      </c>
      <c r="J3091" t="s">
        <v>13861</v>
      </c>
    </row>
    <row r="3092" spans="1:10" x14ac:dyDescent="0.25">
      <c r="A3092">
        <v>293086</v>
      </c>
      <c r="B3092" t="s">
        <v>3246</v>
      </c>
      <c r="C3092" t="str">
        <f>"9781859419175"</f>
        <v>9781859419175</v>
      </c>
      <c r="D3092" t="str">
        <f>"9780203945476"</f>
        <v>9780203945476</v>
      </c>
      <c r="E3092" t="s">
        <v>15</v>
      </c>
      <c r="F3092" t="s">
        <v>1019</v>
      </c>
      <c r="G3092" s="1">
        <v>38928</v>
      </c>
      <c r="H3092" s="1">
        <v>39211</v>
      </c>
      <c r="I3092" t="s">
        <v>12</v>
      </c>
      <c r="J3092" t="s">
        <v>13862</v>
      </c>
    </row>
    <row r="3093" spans="1:10" x14ac:dyDescent="0.25">
      <c r="A3093">
        <v>293087</v>
      </c>
      <c r="B3093" t="s">
        <v>3247</v>
      </c>
      <c r="C3093" t="str">
        <f>"9781859419830"</f>
        <v>9781859419830</v>
      </c>
      <c r="D3093" t="str">
        <f>"9780203088784"</f>
        <v>9780203088784</v>
      </c>
      <c r="E3093" t="s">
        <v>15</v>
      </c>
      <c r="F3093" t="s">
        <v>1019</v>
      </c>
      <c r="G3093" s="1">
        <v>39087</v>
      </c>
      <c r="H3093" s="1">
        <v>39211</v>
      </c>
      <c r="I3093" t="s">
        <v>12</v>
      </c>
      <c r="J3093" t="s">
        <v>13863</v>
      </c>
    </row>
    <row r="3094" spans="1:10" x14ac:dyDescent="0.25">
      <c r="A3094">
        <v>293088</v>
      </c>
      <c r="B3094" t="s">
        <v>3248</v>
      </c>
      <c r="C3094" t="str">
        <f>"9781904385424"</f>
        <v>9781904385424</v>
      </c>
      <c r="D3094" t="str">
        <f>"9780203945384"</f>
        <v>9780203945384</v>
      </c>
      <c r="E3094" t="s">
        <v>15</v>
      </c>
      <c r="F3094" t="s">
        <v>1019</v>
      </c>
      <c r="G3094" s="1">
        <v>39070</v>
      </c>
      <c r="H3094" s="1">
        <v>39211</v>
      </c>
      <c r="I3094" t="s">
        <v>12</v>
      </c>
      <c r="J3094" t="s">
        <v>13864</v>
      </c>
    </row>
    <row r="3095" spans="1:10" x14ac:dyDescent="0.25">
      <c r="A3095">
        <v>293100</v>
      </c>
      <c r="B3095" t="s">
        <v>3249</v>
      </c>
      <c r="C3095" t="str">
        <f>"9781405117593"</f>
        <v>9781405117593</v>
      </c>
      <c r="D3095" t="str">
        <f>"9781405178457"</f>
        <v>9781405178457</v>
      </c>
      <c r="E3095" t="s">
        <v>1088</v>
      </c>
      <c r="F3095" t="s">
        <v>1089</v>
      </c>
      <c r="G3095" s="1">
        <v>38919</v>
      </c>
      <c r="H3095" s="1">
        <v>40696</v>
      </c>
      <c r="I3095" t="s">
        <v>12</v>
      </c>
      <c r="J3095" t="s">
        <v>13865</v>
      </c>
    </row>
    <row r="3096" spans="1:10" x14ac:dyDescent="0.25">
      <c r="A3096">
        <v>293103</v>
      </c>
      <c r="B3096" t="s">
        <v>3250</v>
      </c>
      <c r="C3096" t="str">
        <f>"9781405124614"</f>
        <v>9781405124614</v>
      </c>
      <c r="D3096" t="str">
        <f>"9781405178525"</f>
        <v>9781405178525</v>
      </c>
      <c r="E3096" t="s">
        <v>1088</v>
      </c>
      <c r="F3096" t="s">
        <v>1089</v>
      </c>
      <c r="G3096" s="1">
        <v>38331</v>
      </c>
      <c r="H3096" s="1">
        <v>39255</v>
      </c>
      <c r="I3096" t="s">
        <v>12</v>
      </c>
      <c r="J3096" t="s">
        <v>13866</v>
      </c>
    </row>
    <row r="3097" spans="1:10" x14ac:dyDescent="0.25">
      <c r="A3097">
        <v>293104</v>
      </c>
      <c r="B3097" t="s">
        <v>3251</v>
      </c>
      <c r="C3097" t="str">
        <f>"9781405101592"</f>
        <v>9781405101592</v>
      </c>
      <c r="D3097" t="str">
        <f>"9781405178334"</f>
        <v>9781405178334</v>
      </c>
      <c r="E3097" t="s">
        <v>1088</v>
      </c>
      <c r="F3097" t="s">
        <v>1089</v>
      </c>
      <c r="G3097" s="1">
        <v>38965</v>
      </c>
      <c r="H3097" s="1">
        <v>40696</v>
      </c>
      <c r="I3097" t="s">
        <v>12</v>
      </c>
      <c r="J3097" t="s">
        <v>13867</v>
      </c>
    </row>
    <row r="3098" spans="1:10" x14ac:dyDescent="0.25">
      <c r="A3098">
        <v>293108</v>
      </c>
      <c r="B3098" t="s">
        <v>3252</v>
      </c>
      <c r="C3098" t="str">
        <f>"9781405150538"</f>
        <v>9781405150538</v>
      </c>
      <c r="D3098" t="str">
        <f>"9781405178693"</f>
        <v>9781405178693</v>
      </c>
      <c r="E3098" t="s">
        <v>1088</v>
      </c>
      <c r="F3098" t="s">
        <v>1089</v>
      </c>
      <c r="G3098" s="1">
        <v>38919</v>
      </c>
      <c r="H3098" s="1">
        <v>39262</v>
      </c>
      <c r="I3098" t="s">
        <v>12</v>
      </c>
      <c r="J3098" t="s">
        <v>13868</v>
      </c>
    </row>
    <row r="3099" spans="1:10" x14ac:dyDescent="0.25">
      <c r="A3099">
        <v>293137</v>
      </c>
      <c r="B3099" t="s">
        <v>3253</v>
      </c>
      <c r="C3099" t="str">
        <f>"9781405188319"</f>
        <v>9781405188319</v>
      </c>
      <c r="D3099" t="str">
        <f>"9781405178365"</f>
        <v>9781405178365</v>
      </c>
      <c r="E3099" t="s">
        <v>1138</v>
      </c>
      <c r="F3099" t="s">
        <v>1089</v>
      </c>
      <c r="G3099" s="1">
        <v>39553</v>
      </c>
      <c r="H3099" s="1">
        <v>39255</v>
      </c>
      <c r="I3099" t="s">
        <v>12</v>
      </c>
      <c r="J3099" t="s">
        <v>13869</v>
      </c>
    </row>
    <row r="3100" spans="1:10" x14ac:dyDescent="0.25">
      <c r="A3100">
        <v>293216</v>
      </c>
      <c r="B3100" t="s">
        <v>3254</v>
      </c>
      <c r="C3100" t="str">
        <f>"9781853599576"</f>
        <v>9781853599576</v>
      </c>
      <c r="D3100" t="str">
        <f>"9781853599583"</f>
        <v>9781853599583</v>
      </c>
      <c r="E3100" t="s">
        <v>886</v>
      </c>
      <c r="F3100" t="s">
        <v>887</v>
      </c>
      <c r="G3100" s="1">
        <v>39184</v>
      </c>
      <c r="H3100" s="1">
        <v>39214</v>
      </c>
      <c r="I3100" t="s">
        <v>12</v>
      </c>
      <c r="J3100" t="s">
        <v>13870</v>
      </c>
    </row>
    <row r="3101" spans="1:10" x14ac:dyDescent="0.25">
      <c r="A3101">
        <v>293217</v>
      </c>
      <c r="B3101" t="s">
        <v>3255</v>
      </c>
      <c r="C3101" t="str">
        <f>"9781853599521"</f>
        <v>9781853599521</v>
      </c>
      <c r="D3101" t="str">
        <f>"9781853599538"</f>
        <v>9781853599538</v>
      </c>
      <c r="E3101" t="s">
        <v>886</v>
      </c>
      <c r="F3101" t="s">
        <v>887</v>
      </c>
      <c r="G3101" s="1">
        <v>39153</v>
      </c>
      <c r="H3101" s="1">
        <v>39214</v>
      </c>
      <c r="I3101" t="s">
        <v>12</v>
      </c>
      <c r="J3101" t="s">
        <v>13871</v>
      </c>
    </row>
    <row r="3102" spans="1:10" x14ac:dyDescent="0.25">
      <c r="A3102">
        <v>293218</v>
      </c>
      <c r="B3102" t="s">
        <v>3256</v>
      </c>
      <c r="C3102" t="str">
        <f>"9781853599606"</f>
        <v>9781853599606</v>
      </c>
      <c r="D3102" t="str">
        <f>"9781853599613"</f>
        <v>9781853599613</v>
      </c>
      <c r="E3102" t="s">
        <v>886</v>
      </c>
      <c r="F3102" t="s">
        <v>887</v>
      </c>
      <c r="G3102" s="1">
        <v>39153</v>
      </c>
      <c r="H3102" s="1">
        <v>39214</v>
      </c>
      <c r="I3102" t="s">
        <v>12</v>
      </c>
      <c r="J3102" t="s">
        <v>13872</v>
      </c>
    </row>
    <row r="3103" spans="1:10" x14ac:dyDescent="0.25">
      <c r="A3103">
        <v>293219</v>
      </c>
      <c r="B3103" t="s">
        <v>3257</v>
      </c>
      <c r="C3103" t="str">
        <f>"9781853599460"</f>
        <v>9781853599460</v>
      </c>
      <c r="D3103" t="str">
        <f>"9781853599484"</f>
        <v>9781853599484</v>
      </c>
      <c r="E3103" t="s">
        <v>886</v>
      </c>
      <c r="F3103" t="s">
        <v>887</v>
      </c>
      <c r="G3103" s="1">
        <v>38768</v>
      </c>
      <c r="H3103" s="1">
        <v>39214</v>
      </c>
      <c r="I3103" t="s">
        <v>12</v>
      </c>
      <c r="J3103" t="s">
        <v>13873</v>
      </c>
    </row>
    <row r="3104" spans="1:10" x14ac:dyDescent="0.25">
      <c r="A3104">
        <v>293220</v>
      </c>
      <c r="B3104" t="s">
        <v>3258</v>
      </c>
      <c r="C3104" t="str">
        <f>"9781853599644"</f>
        <v>9781853599644</v>
      </c>
      <c r="D3104" t="str">
        <f>"9781853599651"</f>
        <v>9781853599651</v>
      </c>
      <c r="E3104" t="s">
        <v>886</v>
      </c>
      <c r="F3104" t="s">
        <v>887</v>
      </c>
      <c r="G3104" s="1">
        <v>39184</v>
      </c>
      <c r="H3104" s="1">
        <v>39214</v>
      </c>
      <c r="I3104" t="s">
        <v>12</v>
      </c>
      <c r="J3104" t="s">
        <v>13874</v>
      </c>
    </row>
    <row r="3105" spans="1:10" x14ac:dyDescent="0.25">
      <c r="A3105">
        <v>293222</v>
      </c>
      <c r="B3105" t="s">
        <v>3259</v>
      </c>
      <c r="C3105" t="str">
        <f>"9781853599545"</f>
        <v>9781853599545</v>
      </c>
      <c r="D3105" t="str">
        <f>"9781853599552"</f>
        <v>9781853599552</v>
      </c>
      <c r="E3105" t="s">
        <v>886</v>
      </c>
      <c r="F3105" t="s">
        <v>887</v>
      </c>
      <c r="G3105" s="1">
        <v>39184</v>
      </c>
      <c r="H3105" s="1">
        <v>39214</v>
      </c>
      <c r="I3105" t="s">
        <v>12</v>
      </c>
      <c r="J3105" t="s">
        <v>13875</v>
      </c>
    </row>
    <row r="3106" spans="1:10" x14ac:dyDescent="0.25">
      <c r="A3106">
        <v>293334</v>
      </c>
      <c r="B3106" t="s">
        <v>3260</v>
      </c>
      <c r="C3106" t="str">
        <f>"9780521690409"</f>
        <v>9780521690409</v>
      </c>
      <c r="D3106" t="str">
        <f>"9780511277573"</f>
        <v>9780511277573</v>
      </c>
      <c r="E3106" t="s">
        <v>18</v>
      </c>
      <c r="F3106" t="s">
        <v>18</v>
      </c>
      <c r="G3106" s="1">
        <v>39212</v>
      </c>
      <c r="H3106" s="1">
        <v>39231</v>
      </c>
      <c r="I3106" t="s">
        <v>12</v>
      </c>
      <c r="J3106" t="s">
        <v>13876</v>
      </c>
    </row>
    <row r="3107" spans="1:10" x14ac:dyDescent="0.25">
      <c r="A3107">
        <v>293335</v>
      </c>
      <c r="B3107" t="s">
        <v>3261</v>
      </c>
      <c r="C3107" t="str">
        <f>"9780521705189"</f>
        <v>9780521705189</v>
      </c>
      <c r="D3107" t="str">
        <f>"9780511277320"</f>
        <v>9780511277320</v>
      </c>
      <c r="E3107" t="s">
        <v>18</v>
      </c>
      <c r="F3107" t="s">
        <v>18</v>
      </c>
      <c r="G3107" s="1">
        <v>39173</v>
      </c>
      <c r="H3107" s="1">
        <v>39221</v>
      </c>
      <c r="I3107" t="s">
        <v>12</v>
      </c>
      <c r="J3107" t="s">
        <v>13877</v>
      </c>
    </row>
    <row r="3108" spans="1:10" x14ac:dyDescent="0.25">
      <c r="A3108">
        <v>293340</v>
      </c>
      <c r="B3108" t="s">
        <v>3262</v>
      </c>
      <c r="C3108" t="str">
        <f>"9780521819343"</f>
        <v>9780521819343</v>
      </c>
      <c r="D3108" t="str">
        <f>"9780511277511"</f>
        <v>9780511277511</v>
      </c>
      <c r="E3108" t="s">
        <v>18</v>
      </c>
      <c r="F3108" t="s">
        <v>18</v>
      </c>
      <c r="G3108" s="1">
        <v>39181</v>
      </c>
      <c r="H3108" s="1">
        <v>39226</v>
      </c>
      <c r="I3108" t="s">
        <v>12</v>
      </c>
      <c r="J3108" t="s">
        <v>13878</v>
      </c>
    </row>
    <row r="3109" spans="1:10" x14ac:dyDescent="0.25">
      <c r="A3109">
        <v>293344</v>
      </c>
      <c r="B3109" t="s">
        <v>3263</v>
      </c>
      <c r="C3109" t="str">
        <f>"9780521842082"</f>
        <v>9780521842082</v>
      </c>
      <c r="D3109" t="str">
        <f>"9780511277283"</f>
        <v>9780511277283</v>
      </c>
      <c r="E3109" t="s">
        <v>18</v>
      </c>
      <c r="F3109" t="s">
        <v>18</v>
      </c>
      <c r="G3109" s="1">
        <v>39083</v>
      </c>
      <c r="H3109" s="1">
        <v>39226</v>
      </c>
      <c r="I3109" t="s">
        <v>12</v>
      </c>
      <c r="J3109" t="s">
        <v>13879</v>
      </c>
    </row>
    <row r="3110" spans="1:10" x14ac:dyDescent="0.25">
      <c r="A3110">
        <v>293345</v>
      </c>
      <c r="B3110" t="s">
        <v>3264</v>
      </c>
      <c r="C3110" t="str">
        <f>"9780521842600"</f>
        <v>9780521842600</v>
      </c>
      <c r="D3110" t="str">
        <f>"9780511277597"</f>
        <v>9780511277597</v>
      </c>
      <c r="E3110" t="s">
        <v>18</v>
      </c>
      <c r="F3110" t="s">
        <v>18</v>
      </c>
      <c r="G3110" s="1">
        <v>39114</v>
      </c>
      <c r="H3110" s="1">
        <v>39226</v>
      </c>
      <c r="I3110" t="s">
        <v>12</v>
      </c>
      <c r="J3110" t="s">
        <v>13880</v>
      </c>
    </row>
    <row r="3111" spans="1:10" x14ac:dyDescent="0.25">
      <c r="A3111">
        <v>293352</v>
      </c>
      <c r="B3111" t="s">
        <v>3265</v>
      </c>
      <c r="C3111" t="str">
        <f>"9780521848794"</f>
        <v>9780521848794</v>
      </c>
      <c r="D3111" t="str">
        <f>"9780511277276"</f>
        <v>9780511277276</v>
      </c>
      <c r="E3111" t="s">
        <v>18</v>
      </c>
      <c r="F3111" t="s">
        <v>18</v>
      </c>
      <c r="G3111" s="1">
        <v>39114</v>
      </c>
      <c r="H3111" s="1">
        <v>39220</v>
      </c>
      <c r="I3111" t="s">
        <v>12</v>
      </c>
      <c r="J3111" t="s">
        <v>13881</v>
      </c>
    </row>
    <row r="3112" spans="1:10" x14ac:dyDescent="0.25">
      <c r="A3112">
        <v>293353</v>
      </c>
      <c r="B3112" t="s">
        <v>3266</v>
      </c>
      <c r="C3112" t="str">
        <f>"9780521853361"</f>
        <v>9780521853361</v>
      </c>
      <c r="D3112" t="str">
        <f>"9780511277627"</f>
        <v>9780511277627</v>
      </c>
      <c r="E3112" t="s">
        <v>18</v>
      </c>
      <c r="F3112" t="s">
        <v>18</v>
      </c>
      <c r="G3112" s="1">
        <v>39173</v>
      </c>
      <c r="H3112" s="1">
        <v>39221</v>
      </c>
      <c r="I3112" t="s">
        <v>12</v>
      </c>
      <c r="J3112" t="s">
        <v>13882</v>
      </c>
    </row>
    <row r="3113" spans="1:10" x14ac:dyDescent="0.25">
      <c r="A3113">
        <v>293355</v>
      </c>
      <c r="B3113" t="s">
        <v>3267</v>
      </c>
      <c r="C3113" t="str">
        <f>"9780521855655"</f>
        <v>9780521855655</v>
      </c>
      <c r="D3113" t="str">
        <f>"9780511277535"</f>
        <v>9780511277535</v>
      </c>
      <c r="E3113" t="s">
        <v>18</v>
      </c>
      <c r="F3113" t="s">
        <v>18</v>
      </c>
      <c r="G3113" s="1">
        <v>39173</v>
      </c>
      <c r="H3113" s="1">
        <v>39221</v>
      </c>
      <c r="I3113" t="s">
        <v>12</v>
      </c>
      <c r="J3113" t="s">
        <v>13883</v>
      </c>
    </row>
    <row r="3114" spans="1:10" x14ac:dyDescent="0.25">
      <c r="A3114">
        <v>293356</v>
      </c>
      <c r="B3114" t="s">
        <v>3268</v>
      </c>
      <c r="C3114" t="str">
        <f>"9780521856751"</f>
        <v>9780521856751</v>
      </c>
      <c r="D3114" t="str">
        <f>"9780511277634"</f>
        <v>9780511277634</v>
      </c>
      <c r="E3114" t="s">
        <v>18</v>
      </c>
      <c r="F3114" t="s">
        <v>18</v>
      </c>
      <c r="G3114" s="1">
        <v>39205</v>
      </c>
      <c r="H3114" s="1">
        <v>39226</v>
      </c>
      <c r="I3114" t="s">
        <v>12</v>
      </c>
      <c r="J3114" t="s">
        <v>13884</v>
      </c>
    </row>
    <row r="3115" spans="1:10" x14ac:dyDescent="0.25">
      <c r="A3115">
        <v>293358</v>
      </c>
      <c r="B3115" t="s">
        <v>3269</v>
      </c>
      <c r="C3115" t="str">
        <f>"9780521858502"</f>
        <v>9780521858502</v>
      </c>
      <c r="D3115" t="str">
        <f>"9780511277214"</f>
        <v>9780511277214</v>
      </c>
      <c r="E3115" t="s">
        <v>18</v>
      </c>
      <c r="F3115" t="s">
        <v>18</v>
      </c>
      <c r="G3115" s="1">
        <v>39052</v>
      </c>
      <c r="H3115" s="1">
        <v>39220</v>
      </c>
      <c r="I3115" t="s">
        <v>12</v>
      </c>
      <c r="J3115" t="s">
        <v>13885</v>
      </c>
    </row>
    <row r="3116" spans="1:10" x14ac:dyDescent="0.25">
      <c r="A3116">
        <v>293360</v>
      </c>
      <c r="B3116" t="s">
        <v>3270</v>
      </c>
      <c r="C3116" t="str">
        <f>"9780521860345"</f>
        <v>9780521860345</v>
      </c>
      <c r="D3116" t="str">
        <f>"9780511277641"</f>
        <v>9780511277641</v>
      </c>
      <c r="E3116" t="s">
        <v>18</v>
      </c>
      <c r="F3116" t="s">
        <v>18</v>
      </c>
      <c r="G3116" s="1">
        <v>39170</v>
      </c>
      <c r="H3116" s="1">
        <v>39221</v>
      </c>
      <c r="I3116" t="s">
        <v>12</v>
      </c>
      <c r="J3116" t="s">
        <v>13886</v>
      </c>
    </row>
    <row r="3117" spans="1:10" x14ac:dyDescent="0.25">
      <c r="A3117">
        <v>293362</v>
      </c>
      <c r="B3117" t="s">
        <v>3271</v>
      </c>
      <c r="C3117" t="str">
        <f>"9780521861885"</f>
        <v>9780521861885</v>
      </c>
      <c r="D3117" t="str">
        <f>"9780511277658"</f>
        <v>9780511277658</v>
      </c>
      <c r="E3117" t="s">
        <v>18</v>
      </c>
      <c r="F3117" t="s">
        <v>18</v>
      </c>
      <c r="G3117" s="1">
        <v>39191</v>
      </c>
      <c r="H3117" s="1">
        <v>39221</v>
      </c>
      <c r="I3117" t="s">
        <v>12</v>
      </c>
      <c r="J3117" t="s">
        <v>13887</v>
      </c>
    </row>
    <row r="3118" spans="1:10" x14ac:dyDescent="0.25">
      <c r="A3118">
        <v>293364</v>
      </c>
      <c r="B3118" t="s">
        <v>3272</v>
      </c>
      <c r="C3118" t="str">
        <f>"9780521862721"</f>
        <v>9780521862721</v>
      </c>
      <c r="D3118" t="str">
        <f>"9780511277382"</f>
        <v>9780511277382</v>
      </c>
      <c r="E3118" t="s">
        <v>18</v>
      </c>
      <c r="F3118" t="s">
        <v>18</v>
      </c>
      <c r="G3118" s="1">
        <v>39142</v>
      </c>
      <c r="H3118" s="1">
        <v>39226</v>
      </c>
      <c r="I3118" t="s">
        <v>12</v>
      </c>
      <c r="J3118" t="s">
        <v>13888</v>
      </c>
    </row>
    <row r="3119" spans="1:10" x14ac:dyDescent="0.25">
      <c r="A3119">
        <v>293366</v>
      </c>
      <c r="B3119" t="s">
        <v>3273</v>
      </c>
      <c r="C3119" t="str">
        <f>"9780521863742"</f>
        <v>9780521863742</v>
      </c>
      <c r="D3119" t="str">
        <f>"9780511277672"</f>
        <v>9780511277672</v>
      </c>
      <c r="E3119" t="s">
        <v>18</v>
      </c>
      <c r="F3119" t="s">
        <v>18</v>
      </c>
      <c r="G3119" s="1">
        <v>39173</v>
      </c>
      <c r="H3119" s="1">
        <v>39226</v>
      </c>
      <c r="I3119" t="s">
        <v>12</v>
      </c>
      <c r="J3119" t="s">
        <v>13889</v>
      </c>
    </row>
    <row r="3120" spans="1:10" x14ac:dyDescent="0.25">
      <c r="A3120">
        <v>293379</v>
      </c>
      <c r="B3120" t="s">
        <v>3274</v>
      </c>
      <c r="C3120" t="str">
        <f>"9780521870740"</f>
        <v>9780521870740</v>
      </c>
      <c r="D3120" t="str">
        <f>"9780511277207"</f>
        <v>9780511277207</v>
      </c>
      <c r="E3120" t="s">
        <v>18</v>
      </c>
      <c r="F3120" t="s">
        <v>18</v>
      </c>
      <c r="G3120" s="1">
        <v>39128</v>
      </c>
      <c r="H3120" s="1">
        <v>39225</v>
      </c>
      <c r="I3120" t="s">
        <v>12</v>
      </c>
      <c r="J3120" t="s">
        <v>13890</v>
      </c>
    </row>
    <row r="3121" spans="1:10" x14ac:dyDescent="0.25">
      <c r="A3121">
        <v>293382</v>
      </c>
      <c r="B3121" t="s">
        <v>3275</v>
      </c>
      <c r="C3121" t="str">
        <f>"9780521872331"</f>
        <v>9780521872331</v>
      </c>
      <c r="D3121" t="str">
        <f>"9780511277450"</f>
        <v>9780511277450</v>
      </c>
      <c r="E3121" t="s">
        <v>18</v>
      </c>
      <c r="F3121" t="s">
        <v>18</v>
      </c>
      <c r="G3121" s="1">
        <v>39142</v>
      </c>
      <c r="H3121" s="1">
        <v>39221</v>
      </c>
      <c r="I3121" t="s">
        <v>12</v>
      </c>
      <c r="J3121" t="s">
        <v>13891</v>
      </c>
    </row>
    <row r="3122" spans="1:10" x14ac:dyDescent="0.25">
      <c r="A3122">
        <v>293389</v>
      </c>
      <c r="B3122" t="s">
        <v>3276</v>
      </c>
      <c r="C3122" t="str">
        <f>"9780521875127"</f>
        <v>9780521875127</v>
      </c>
      <c r="D3122" t="str">
        <f>"9780511277733"</f>
        <v>9780511277733</v>
      </c>
      <c r="E3122" t="s">
        <v>18</v>
      </c>
      <c r="F3122" t="s">
        <v>18</v>
      </c>
      <c r="G3122" s="1">
        <v>39198</v>
      </c>
      <c r="H3122" s="1">
        <v>39225</v>
      </c>
      <c r="I3122" t="s">
        <v>12</v>
      </c>
      <c r="J3122" t="s">
        <v>13892</v>
      </c>
    </row>
    <row r="3123" spans="1:10" x14ac:dyDescent="0.25">
      <c r="A3123">
        <v>293408</v>
      </c>
      <c r="B3123" t="s">
        <v>3277</v>
      </c>
      <c r="C3123" t="str">
        <f>"9780230001336"</f>
        <v>9780230001336</v>
      </c>
      <c r="D3123" t="str">
        <f>"9780230627529"</f>
        <v>9780230627529</v>
      </c>
      <c r="E3123" t="s">
        <v>875</v>
      </c>
      <c r="F3123" t="s">
        <v>875</v>
      </c>
      <c r="G3123" s="1">
        <v>39049</v>
      </c>
      <c r="H3123" s="1">
        <v>39218</v>
      </c>
      <c r="I3123" t="s">
        <v>12</v>
      </c>
      <c r="J3123" t="s">
        <v>13893</v>
      </c>
    </row>
    <row r="3124" spans="1:10" x14ac:dyDescent="0.25">
      <c r="A3124">
        <v>293413</v>
      </c>
      <c r="B3124" t="s">
        <v>3278</v>
      </c>
      <c r="C3124" t="str">
        <f>"9781403993618"</f>
        <v>9781403993618</v>
      </c>
      <c r="D3124" t="str">
        <f>"9780230627314"</f>
        <v>9780230627314</v>
      </c>
      <c r="E3124" t="s">
        <v>875</v>
      </c>
      <c r="F3124" t="s">
        <v>875</v>
      </c>
      <c r="G3124" s="1">
        <v>39049</v>
      </c>
      <c r="H3124" s="1">
        <v>39218</v>
      </c>
      <c r="I3124" t="s">
        <v>12</v>
      </c>
      <c r="J3124" t="s">
        <v>13894</v>
      </c>
    </row>
    <row r="3125" spans="1:10" x14ac:dyDescent="0.25">
      <c r="A3125">
        <v>293419</v>
      </c>
      <c r="B3125" t="s">
        <v>3279</v>
      </c>
      <c r="C3125" t="str">
        <f>"9781403996411"</f>
        <v>9781403996411</v>
      </c>
      <c r="D3125" t="str">
        <f>"9780230627574"</f>
        <v>9780230627574</v>
      </c>
      <c r="E3125" t="s">
        <v>875</v>
      </c>
      <c r="F3125" t="s">
        <v>875</v>
      </c>
      <c r="G3125" s="1">
        <v>39045</v>
      </c>
      <c r="H3125" s="1">
        <v>39218</v>
      </c>
      <c r="I3125" t="s">
        <v>12</v>
      </c>
      <c r="J3125" t="s">
        <v>13895</v>
      </c>
    </row>
    <row r="3126" spans="1:10" x14ac:dyDescent="0.25">
      <c r="A3126">
        <v>293421</v>
      </c>
      <c r="B3126" t="s">
        <v>3280</v>
      </c>
      <c r="C3126" t="str">
        <f>"9781403936387"</f>
        <v>9781403936387</v>
      </c>
      <c r="D3126" t="str">
        <f>"9780230626256"</f>
        <v>9780230626256</v>
      </c>
      <c r="E3126" t="s">
        <v>875</v>
      </c>
      <c r="F3126" t="s">
        <v>875</v>
      </c>
      <c r="G3126" s="1">
        <v>38734</v>
      </c>
      <c r="H3126" s="1">
        <v>39218</v>
      </c>
      <c r="I3126" t="s">
        <v>12</v>
      </c>
      <c r="J3126" t="s">
        <v>13896</v>
      </c>
    </row>
    <row r="3127" spans="1:10" x14ac:dyDescent="0.25">
      <c r="A3127">
        <v>293423</v>
      </c>
      <c r="B3127" t="s">
        <v>3281</v>
      </c>
      <c r="C3127" t="str">
        <f>"9781403934932"</f>
        <v>9781403934932</v>
      </c>
      <c r="D3127" t="str">
        <f>"9780230626584"</f>
        <v>9780230626584</v>
      </c>
      <c r="E3127" t="s">
        <v>875</v>
      </c>
      <c r="F3127" t="s">
        <v>875</v>
      </c>
      <c r="G3127" s="1">
        <v>38954</v>
      </c>
      <c r="H3127" s="1">
        <v>39218</v>
      </c>
      <c r="I3127" t="s">
        <v>12</v>
      </c>
      <c r="J3127" t="s">
        <v>13897</v>
      </c>
    </row>
    <row r="3128" spans="1:10" x14ac:dyDescent="0.25">
      <c r="A3128">
        <v>293427</v>
      </c>
      <c r="B3128" t="s">
        <v>3282</v>
      </c>
      <c r="C3128" t="str">
        <f>"9780230019157"</f>
        <v>9780230019157</v>
      </c>
      <c r="D3128" t="str">
        <f>"9780230626508"</f>
        <v>9780230626508</v>
      </c>
      <c r="E3128" t="s">
        <v>875</v>
      </c>
      <c r="F3128" t="s">
        <v>875</v>
      </c>
      <c r="G3128" s="1">
        <v>39038</v>
      </c>
      <c r="H3128" s="1">
        <v>39218</v>
      </c>
      <c r="I3128" t="s">
        <v>12</v>
      </c>
      <c r="J3128" t="s">
        <v>13898</v>
      </c>
    </row>
    <row r="3129" spans="1:10" x14ac:dyDescent="0.25">
      <c r="A3129">
        <v>293431</v>
      </c>
      <c r="B3129" t="s">
        <v>3283</v>
      </c>
      <c r="C3129" t="str">
        <f>"9780230007826"</f>
        <v>9780230007826</v>
      </c>
      <c r="D3129" t="str">
        <f>"9780230627673"</f>
        <v>9780230627673</v>
      </c>
      <c r="E3129" t="s">
        <v>875</v>
      </c>
      <c r="F3129" t="s">
        <v>875</v>
      </c>
      <c r="G3129" s="1">
        <v>39021</v>
      </c>
      <c r="H3129" s="1">
        <v>39218</v>
      </c>
      <c r="I3129" t="s">
        <v>12</v>
      </c>
      <c r="J3129" t="s">
        <v>13899</v>
      </c>
    </row>
    <row r="3130" spans="1:10" x14ac:dyDescent="0.25">
      <c r="A3130">
        <v>293434</v>
      </c>
      <c r="B3130" t="s">
        <v>3284</v>
      </c>
      <c r="C3130" t="str">
        <f>"9781403993496"</f>
        <v>9781403993496</v>
      </c>
      <c r="D3130" t="str">
        <f>"9780230627666"</f>
        <v>9780230627666</v>
      </c>
      <c r="E3130" t="s">
        <v>3285</v>
      </c>
      <c r="F3130" t="s">
        <v>3286</v>
      </c>
      <c r="G3130" s="1">
        <v>36161</v>
      </c>
      <c r="H3130" s="1">
        <v>39218</v>
      </c>
      <c r="I3130" t="s">
        <v>12</v>
      </c>
      <c r="J3130" t="s">
        <v>13900</v>
      </c>
    </row>
    <row r="3131" spans="1:10" x14ac:dyDescent="0.25">
      <c r="A3131">
        <v>293435</v>
      </c>
      <c r="B3131" t="s">
        <v>3287</v>
      </c>
      <c r="C3131" t="str">
        <f>"9781403998095"</f>
        <v>9781403998095</v>
      </c>
      <c r="D3131" t="str">
        <f>"9780230626409"</f>
        <v>9780230626409</v>
      </c>
      <c r="E3131" t="s">
        <v>875</v>
      </c>
      <c r="F3131" t="s">
        <v>875</v>
      </c>
      <c r="G3131" s="1">
        <v>38979</v>
      </c>
      <c r="H3131" s="1">
        <v>39218</v>
      </c>
      <c r="I3131" t="s">
        <v>12</v>
      </c>
      <c r="J3131" t="s">
        <v>13901</v>
      </c>
    </row>
    <row r="3132" spans="1:10" x14ac:dyDescent="0.25">
      <c r="A3132">
        <v>293436</v>
      </c>
      <c r="B3132" t="s">
        <v>3288</v>
      </c>
      <c r="C3132" t="str">
        <f>"9780230001848"</f>
        <v>9780230001848</v>
      </c>
      <c r="D3132" t="str">
        <f>"9780230626577"</f>
        <v>9780230626577</v>
      </c>
      <c r="E3132" t="s">
        <v>875</v>
      </c>
      <c r="F3132" t="s">
        <v>875</v>
      </c>
      <c r="G3132" s="1">
        <v>38933</v>
      </c>
      <c r="H3132" s="1">
        <v>39218</v>
      </c>
      <c r="I3132" t="s">
        <v>12</v>
      </c>
      <c r="J3132" t="s">
        <v>13902</v>
      </c>
    </row>
    <row r="3133" spans="1:10" x14ac:dyDescent="0.25">
      <c r="A3133">
        <v>293446</v>
      </c>
      <c r="B3133" t="s">
        <v>3289</v>
      </c>
      <c r="C3133" t="str">
        <f>"9780230007802"</f>
        <v>9780230007802</v>
      </c>
      <c r="D3133" t="str">
        <f>"9780230626300"</f>
        <v>9780230626300</v>
      </c>
      <c r="E3133" t="s">
        <v>876</v>
      </c>
      <c r="F3133" t="s">
        <v>876</v>
      </c>
      <c r="G3133" s="1">
        <v>39248</v>
      </c>
      <c r="H3133" s="1">
        <v>39218</v>
      </c>
      <c r="I3133" t="s">
        <v>12</v>
      </c>
      <c r="J3133" t="s">
        <v>13903</v>
      </c>
    </row>
    <row r="3134" spans="1:10" x14ac:dyDescent="0.25">
      <c r="A3134">
        <v>293452</v>
      </c>
      <c r="B3134" t="s">
        <v>3290</v>
      </c>
      <c r="C3134" t="str">
        <f>"9780230006492"</f>
        <v>9780230006492</v>
      </c>
      <c r="D3134" t="str">
        <f>"9780230627260"</f>
        <v>9780230627260</v>
      </c>
      <c r="E3134" t="s">
        <v>875</v>
      </c>
      <c r="F3134" t="s">
        <v>875</v>
      </c>
      <c r="G3134" s="1">
        <v>38884</v>
      </c>
      <c r="H3134" s="1">
        <v>39218</v>
      </c>
      <c r="I3134" t="s">
        <v>12</v>
      </c>
      <c r="J3134" t="s">
        <v>13904</v>
      </c>
    </row>
    <row r="3135" spans="1:10" x14ac:dyDescent="0.25">
      <c r="A3135">
        <v>293453</v>
      </c>
      <c r="B3135" t="s">
        <v>3291</v>
      </c>
      <c r="C3135" t="str">
        <f>"9780230018914"</f>
        <v>9780230018914</v>
      </c>
      <c r="D3135" t="str">
        <f>"9780230627352"</f>
        <v>9780230627352</v>
      </c>
      <c r="E3135" t="s">
        <v>875</v>
      </c>
      <c r="F3135" t="s">
        <v>875</v>
      </c>
      <c r="G3135" s="1">
        <v>38982</v>
      </c>
      <c r="H3135" s="1">
        <v>39218</v>
      </c>
      <c r="I3135" t="s">
        <v>12</v>
      </c>
      <c r="J3135" t="s">
        <v>13905</v>
      </c>
    </row>
    <row r="3136" spans="1:10" x14ac:dyDescent="0.25">
      <c r="A3136">
        <v>293455</v>
      </c>
      <c r="B3136" t="s">
        <v>3292</v>
      </c>
      <c r="C3136" t="str">
        <f>"9781403941244"</f>
        <v>9781403941244</v>
      </c>
      <c r="D3136" t="str">
        <f>"9780230627543"</f>
        <v>9780230627543</v>
      </c>
      <c r="E3136" t="s">
        <v>875</v>
      </c>
      <c r="F3136" t="s">
        <v>875</v>
      </c>
      <c r="G3136" s="1">
        <v>39021</v>
      </c>
      <c r="H3136" s="1">
        <v>39218</v>
      </c>
      <c r="I3136" t="s">
        <v>12</v>
      </c>
      <c r="J3136" t="s">
        <v>13906</v>
      </c>
    </row>
    <row r="3137" spans="1:10" x14ac:dyDescent="0.25">
      <c r="A3137">
        <v>293460</v>
      </c>
      <c r="B3137" t="s">
        <v>3293</v>
      </c>
      <c r="C3137" t="str">
        <f>"9780230204898"</f>
        <v>9780230204898</v>
      </c>
      <c r="D3137" t="str">
        <f>"9780230627321"</f>
        <v>9780230627321</v>
      </c>
      <c r="E3137" t="s">
        <v>875</v>
      </c>
      <c r="F3137" t="s">
        <v>875</v>
      </c>
      <c r="G3137" s="1">
        <v>38932</v>
      </c>
      <c r="H3137" s="1">
        <v>39220</v>
      </c>
      <c r="I3137" t="s">
        <v>12</v>
      </c>
      <c r="J3137" t="s">
        <v>13907</v>
      </c>
    </row>
    <row r="3138" spans="1:10" x14ac:dyDescent="0.25">
      <c r="A3138">
        <v>293461</v>
      </c>
      <c r="B3138" t="s">
        <v>3294</v>
      </c>
      <c r="C3138" t="str">
        <f>"9781403947765"</f>
        <v>9781403947765</v>
      </c>
      <c r="D3138" t="str">
        <f>"9780230626263"</f>
        <v>9780230626263</v>
      </c>
      <c r="E3138" t="s">
        <v>875</v>
      </c>
      <c r="F3138" t="s">
        <v>875</v>
      </c>
      <c r="G3138" s="1">
        <v>39049</v>
      </c>
      <c r="H3138" s="1">
        <v>39218</v>
      </c>
      <c r="I3138" t="s">
        <v>12</v>
      </c>
      <c r="J3138" t="s">
        <v>13908</v>
      </c>
    </row>
    <row r="3139" spans="1:10" x14ac:dyDescent="0.25">
      <c r="A3139">
        <v>293462</v>
      </c>
      <c r="B3139" t="s">
        <v>3295</v>
      </c>
      <c r="C3139" t="str">
        <f>"9781403935755"</f>
        <v>9781403935755</v>
      </c>
      <c r="D3139" t="str">
        <f>"9780230627710"</f>
        <v>9780230627710</v>
      </c>
      <c r="E3139" t="s">
        <v>875</v>
      </c>
      <c r="F3139" t="s">
        <v>875</v>
      </c>
      <c r="G3139" s="1">
        <v>39038</v>
      </c>
      <c r="H3139" s="1">
        <v>39218</v>
      </c>
      <c r="I3139" t="s">
        <v>12</v>
      </c>
      <c r="J3139" t="s">
        <v>13909</v>
      </c>
    </row>
    <row r="3140" spans="1:10" x14ac:dyDescent="0.25">
      <c r="A3140">
        <v>293466</v>
      </c>
      <c r="B3140" t="s">
        <v>3296</v>
      </c>
      <c r="C3140" t="str">
        <f>"9781403941763"</f>
        <v>9781403941763</v>
      </c>
      <c r="D3140" t="str">
        <f>"9780230627444"</f>
        <v>9780230627444</v>
      </c>
      <c r="E3140" t="s">
        <v>875</v>
      </c>
      <c r="F3140" t="s">
        <v>875</v>
      </c>
      <c r="G3140" s="1">
        <v>38954</v>
      </c>
      <c r="H3140" s="1">
        <v>39218</v>
      </c>
      <c r="I3140" t="s">
        <v>12</v>
      </c>
      <c r="J3140" t="s">
        <v>13910</v>
      </c>
    </row>
    <row r="3141" spans="1:10" x14ac:dyDescent="0.25">
      <c r="A3141">
        <v>293472</v>
      </c>
      <c r="B3141" t="s">
        <v>3297</v>
      </c>
      <c r="C3141" t="str">
        <f>"9781403992161"</f>
        <v>9781403992161</v>
      </c>
      <c r="D3141" t="str">
        <f>"9780230627239"</f>
        <v>9780230627239</v>
      </c>
      <c r="E3141" t="s">
        <v>875</v>
      </c>
      <c r="F3141" t="s">
        <v>875</v>
      </c>
      <c r="G3141" s="1">
        <v>38909</v>
      </c>
      <c r="H3141" s="1">
        <v>39218</v>
      </c>
      <c r="I3141" t="s">
        <v>12</v>
      </c>
      <c r="J3141" t="s">
        <v>13911</v>
      </c>
    </row>
    <row r="3142" spans="1:10" x14ac:dyDescent="0.25">
      <c r="A3142">
        <v>293474</v>
      </c>
      <c r="B3142" t="s">
        <v>3298</v>
      </c>
      <c r="C3142" t="str">
        <f>"9780230500556"</f>
        <v>9780230500556</v>
      </c>
      <c r="D3142" t="str">
        <f>"9780230626546"</f>
        <v>9780230626546</v>
      </c>
      <c r="E3142" t="s">
        <v>876</v>
      </c>
      <c r="F3142" t="s">
        <v>876</v>
      </c>
      <c r="G3142" s="1">
        <v>39052</v>
      </c>
      <c r="H3142" s="1">
        <v>39218</v>
      </c>
      <c r="I3142" t="s">
        <v>12</v>
      </c>
      <c r="J3142" t="s">
        <v>13912</v>
      </c>
    </row>
    <row r="3143" spans="1:10" x14ac:dyDescent="0.25">
      <c r="A3143">
        <v>293476</v>
      </c>
      <c r="B3143" t="s">
        <v>3299</v>
      </c>
      <c r="C3143" t="str">
        <f>"9781403986436"</f>
        <v>9781403986436</v>
      </c>
      <c r="D3143" t="str">
        <f>"9780230626522"</f>
        <v>9780230626522</v>
      </c>
      <c r="E3143" t="s">
        <v>875</v>
      </c>
      <c r="F3143" t="s">
        <v>875</v>
      </c>
      <c r="G3143" s="1">
        <v>39112</v>
      </c>
      <c r="H3143" s="1">
        <v>39218</v>
      </c>
      <c r="I3143" t="s">
        <v>12</v>
      </c>
      <c r="J3143" t="s">
        <v>13913</v>
      </c>
    </row>
    <row r="3144" spans="1:10" x14ac:dyDescent="0.25">
      <c r="A3144">
        <v>293477</v>
      </c>
      <c r="B3144" t="s">
        <v>3300</v>
      </c>
      <c r="C3144" t="str">
        <f>"9780230019171"</f>
        <v>9780230019171</v>
      </c>
      <c r="D3144" t="str">
        <f>"9780230626515"</f>
        <v>9780230626515</v>
      </c>
      <c r="E3144" t="s">
        <v>875</v>
      </c>
      <c r="F3144" t="s">
        <v>875</v>
      </c>
      <c r="G3144" s="1">
        <v>39038</v>
      </c>
      <c r="H3144" s="1">
        <v>39218</v>
      </c>
      <c r="I3144" t="s">
        <v>12</v>
      </c>
      <c r="J3144" t="s">
        <v>13914</v>
      </c>
    </row>
    <row r="3145" spans="1:10" x14ac:dyDescent="0.25">
      <c r="A3145">
        <v>293480</v>
      </c>
      <c r="B3145" t="s">
        <v>3301</v>
      </c>
      <c r="C3145" t="str">
        <f>"9781403946768"</f>
        <v>9781403946768</v>
      </c>
      <c r="D3145" t="str">
        <f>"9780230626386"</f>
        <v>9780230626386</v>
      </c>
      <c r="E3145" t="s">
        <v>875</v>
      </c>
      <c r="F3145" t="s">
        <v>875</v>
      </c>
      <c r="G3145" s="1">
        <v>38951</v>
      </c>
      <c r="H3145" s="1">
        <v>39218</v>
      </c>
      <c r="I3145" t="s">
        <v>12</v>
      </c>
      <c r="J3145" t="s">
        <v>13915</v>
      </c>
    </row>
    <row r="3146" spans="1:10" x14ac:dyDescent="0.25">
      <c r="A3146">
        <v>293481</v>
      </c>
      <c r="B3146" t="s">
        <v>3302</v>
      </c>
      <c r="C3146" t="str">
        <f>"9781403987488"</f>
        <v>9781403987488</v>
      </c>
      <c r="D3146" t="str">
        <f>"9780230626317"</f>
        <v>9780230626317</v>
      </c>
      <c r="E3146" t="s">
        <v>875</v>
      </c>
      <c r="F3146" t="s">
        <v>875</v>
      </c>
      <c r="G3146" s="1">
        <v>39065</v>
      </c>
      <c r="H3146" s="1">
        <v>39218</v>
      </c>
      <c r="I3146" t="s">
        <v>12</v>
      </c>
      <c r="J3146" t="s">
        <v>13916</v>
      </c>
    </row>
    <row r="3147" spans="1:10" x14ac:dyDescent="0.25">
      <c r="A3147">
        <v>293482</v>
      </c>
      <c r="B3147" t="s">
        <v>3303</v>
      </c>
      <c r="C3147" t="str">
        <f>"9780230006430"</f>
        <v>9780230006430</v>
      </c>
      <c r="D3147" t="str">
        <f>"9780230626379"</f>
        <v>9780230626379</v>
      </c>
      <c r="E3147" t="s">
        <v>875</v>
      </c>
      <c r="F3147" t="s">
        <v>875</v>
      </c>
      <c r="G3147" s="1">
        <v>38992</v>
      </c>
      <c r="H3147" s="1">
        <v>39218</v>
      </c>
      <c r="I3147" t="s">
        <v>12</v>
      </c>
      <c r="J3147" t="s">
        <v>13917</v>
      </c>
    </row>
    <row r="3148" spans="1:10" x14ac:dyDescent="0.25">
      <c r="A3148">
        <v>293491</v>
      </c>
      <c r="B3148" t="s">
        <v>3304</v>
      </c>
      <c r="C3148" t="str">
        <f>"9780230500280"</f>
        <v>9780230500280</v>
      </c>
      <c r="D3148" t="str">
        <f>"9780230627727"</f>
        <v>9780230627727</v>
      </c>
      <c r="E3148" t="s">
        <v>875</v>
      </c>
      <c r="F3148" t="s">
        <v>875</v>
      </c>
      <c r="G3148" s="1">
        <v>39034</v>
      </c>
      <c r="H3148" s="1">
        <v>39218</v>
      </c>
      <c r="I3148" t="s">
        <v>12</v>
      </c>
      <c r="J3148" t="s">
        <v>13918</v>
      </c>
    </row>
    <row r="3149" spans="1:10" x14ac:dyDescent="0.25">
      <c r="A3149">
        <v>293493</v>
      </c>
      <c r="B3149" t="s">
        <v>3305</v>
      </c>
      <c r="C3149" t="str">
        <f>"9781403997890"</f>
        <v>9781403997890</v>
      </c>
      <c r="D3149" t="str">
        <f>"9780230627581"</f>
        <v>9780230627581</v>
      </c>
      <c r="E3149" t="s">
        <v>875</v>
      </c>
      <c r="F3149" t="s">
        <v>875</v>
      </c>
      <c r="G3149" s="1">
        <v>38923</v>
      </c>
      <c r="H3149" s="1">
        <v>39218</v>
      </c>
      <c r="I3149" t="s">
        <v>12</v>
      </c>
      <c r="J3149" t="s">
        <v>13919</v>
      </c>
    </row>
    <row r="3150" spans="1:10" x14ac:dyDescent="0.25">
      <c r="A3150">
        <v>293494</v>
      </c>
      <c r="B3150" t="s">
        <v>3306</v>
      </c>
      <c r="C3150" t="str">
        <f>"9780230018952"</f>
        <v>9780230018952</v>
      </c>
      <c r="D3150" t="str">
        <f>"9780230626607"</f>
        <v>9780230626607</v>
      </c>
      <c r="E3150" t="s">
        <v>875</v>
      </c>
      <c r="F3150" t="s">
        <v>875</v>
      </c>
      <c r="G3150" s="1">
        <v>39112</v>
      </c>
      <c r="H3150" s="1">
        <v>39218</v>
      </c>
      <c r="I3150" t="s">
        <v>12</v>
      </c>
      <c r="J3150" t="s">
        <v>13920</v>
      </c>
    </row>
    <row r="3151" spans="1:10" x14ac:dyDescent="0.25">
      <c r="A3151">
        <v>293517</v>
      </c>
      <c r="B3151" t="s">
        <v>3307</v>
      </c>
      <c r="C3151" t="str">
        <f>"9780240807386"</f>
        <v>9780240807386</v>
      </c>
      <c r="D3151" t="str">
        <f>"9780080468396"</f>
        <v>9780080468396</v>
      </c>
      <c r="E3151" t="s">
        <v>15</v>
      </c>
      <c r="F3151" t="s">
        <v>16</v>
      </c>
      <c r="G3151" s="1">
        <v>38705</v>
      </c>
      <c r="H3151" s="1">
        <v>39226</v>
      </c>
      <c r="I3151" t="s">
        <v>12</v>
      </c>
      <c r="J3151" t="s">
        <v>13921</v>
      </c>
    </row>
    <row r="3152" spans="1:10" x14ac:dyDescent="0.25">
      <c r="A3152">
        <v>293518</v>
      </c>
      <c r="B3152" t="s">
        <v>3308</v>
      </c>
      <c r="C3152" t="str">
        <f>"9780240807874"</f>
        <v>9780240807874</v>
      </c>
      <c r="D3152" t="str">
        <f>"9780080468495"</f>
        <v>9780080468495</v>
      </c>
      <c r="E3152" t="s">
        <v>15</v>
      </c>
      <c r="F3152" t="s">
        <v>1122</v>
      </c>
      <c r="G3152" s="1">
        <v>38700</v>
      </c>
      <c r="H3152" s="1">
        <v>39317</v>
      </c>
      <c r="I3152" t="s">
        <v>12</v>
      </c>
      <c r="J3152" t="s">
        <v>13922</v>
      </c>
    </row>
    <row r="3153" spans="1:10" x14ac:dyDescent="0.25">
      <c r="A3153">
        <v>293519</v>
      </c>
      <c r="B3153" t="s">
        <v>3309</v>
      </c>
      <c r="C3153" t="str">
        <f>"9780240808161"</f>
        <v>9780240808161</v>
      </c>
      <c r="D3153" t="str">
        <f>"9780080468372"</f>
        <v>9780080468372</v>
      </c>
      <c r="E3153" t="s">
        <v>15</v>
      </c>
      <c r="F3153" t="s">
        <v>1122</v>
      </c>
      <c r="G3153" s="1">
        <v>41162</v>
      </c>
      <c r="H3153" s="1">
        <v>39226</v>
      </c>
      <c r="I3153" t="s">
        <v>12</v>
      </c>
      <c r="J3153" t="s">
        <v>13923</v>
      </c>
    </row>
    <row r="3154" spans="1:10" x14ac:dyDescent="0.25">
      <c r="A3154">
        <v>293646</v>
      </c>
      <c r="B3154" t="s">
        <v>3310</v>
      </c>
      <c r="C3154" t="str">
        <f>"9780415372817"</f>
        <v>9780415372817</v>
      </c>
      <c r="D3154" t="str">
        <f>"9780203968390"</f>
        <v>9780203968390</v>
      </c>
      <c r="E3154" t="s">
        <v>15</v>
      </c>
      <c r="F3154" t="s">
        <v>16</v>
      </c>
      <c r="G3154" s="1">
        <v>39030</v>
      </c>
      <c r="H3154" s="1">
        <v>39226</v>
      </c>
      <c r="I3154" t="s">
        <v>12</v>
      </c>
      <c r="J3154" t="s">
        <v>13924</v>
      </c>
    </row>
    <row r="3155" spans="1:10" x14ac:dyDescent="0.25">
      <c r="A3155">
        <v>293661</v>
      </c>
      <c r="B3155" t="s">
        <v>3311</v>
      </c>
      <c r="C3155" t="str">
        <f>"9780415383684"</f>
        <v>9780415383684</v>
      </c>
      <c r="D3155" t="str">
        <f>"9780203967676"</f>
        <v>9780203967676</v>
      </c>
      <c r="E3155" t="s">
        <v>15</v>
      </c>
      <c r="F3155" t="s">
        <v>16</v>
      </c>
      <c r="G3155" s="1">
        <v>39014</v>
      </c>
      <c r="H3155" s="1">
        <v>39226</v>
      </c>
      <c r="I3155" t="s">
        <v>12</v>
      </c>
      <c r="J3155" t="s">
        <v>13925</v>
      </c>
    </row>
    <row r="3156" spans="1:10" x14ac:dyDescent="0.25">
      <c r="A3156">
        <v>293710</v>
      </c>
      <c r="B3156" t="s">
        <v>3312</v>
      </c>
      <c r="C3156" t="str">
        <f>"9781403942685"</f>
        <v>9781403942685</v>
      </c>
      <c r="D3156" t="str">
        <f>"9780230625693"</f>
        <v>9780230625693</v>
      </c>
      <c r="E3156" t="s">
        <v>875</v>
      </c>
      <c r="F3156" t="s">
        <v>875</v>
      </c>
      <c r="G3156" s="1">
        <v>39021</v>
      </c>
      <c r="H3156" s="1">
        <v>39220</v>
      </c>
      <c r="I3156" t="s">
        <v>12</v>
      </c>
      <c r="J3156" t="s">
        <v>13926</v>
      </c>
    </row>
    <row r="3157" spans="1:10" x14ac:dyDescent="0.25">
      <c r="A3157">
        <v>293713</v>
      </c>
      <c r="B3157" t="s">
        <v>3313</v>
      </c>
      <c r="C3157" t="str">
        <f>"9780230019164"</f>
        <v>9780230019164</v>
      </c>
      <c r="D3157" t="str">
        <f>"9780230625846"</f>
        <v>9780230625846</v>
      </c>
      <c r="E3157" t="s">
        <v>875</v>
      </c>
      <c r="F3157" t="s">
        <v>875</v>
      </c>
      <c r="G3157" s="1">
        <v>39038</v>
      </c>
      <c r="H3157" s="1">
        <v>39220</v>
      </c>
      <c r="I3157" t="s">
        <v>12</v>
      </c>
      <c r="J3157" t="s">
        <v>13927</v>
      </c>
    </row>
    <row r="3158" spans="1:10" x14ac:dyDescent="0.25">
      <c r="A3158">
        <v>293717</v>
      </c>
      <c r="B3158" t="s">
        <v>3314</v>
      </c>
      <c r="C3158" t="str">
        <f>"9781403997647"</f>
        <v>9781403997647</v>
      </c>
      <c r="D3158" t="str">
        <f>"9780230625716"</f>
        <v>9780230625716</v>
      </c>
      <c r="E3158" t="s">
        <v>875</v>
      </c>
      <c r="F3158" t="s">
        <v>875</v>
      </c>
      <c r="G3158" s="1">
        <v>38905</v>
      </c>
      <c r="H3158" s="1">
        <v>39220</v>
      </c>
      <c r="I3158" t="s">
        <v>12</v>
      </c>
      <c r="J3158" t="s">
        <v>13928</v>
      </c>
    </row>
    <row r="3159" spans="1:10" x14ac:dyDescent="0.25">
      <c r="A3159">
        <v>293718</v>
      </c>
      <c r="B3159" t="s">
        <v>3315</v>
      </c>
      <c r="C3159" t="str">
        <f>"9780230013414"</f>
        <v>9780230013414</v>
      </c>
      <c r="D3159" t="str">
        <f>"9780230624894"</f>
        <v>9780230624894</v>
      </c>
      <c r="E3159" t="s">
        <v>875</v>
      </c>
      <c r="F3159" t="s">
        <v>875</v>
      </c>
      <c r="G3159" s="1">
        <v>39028</v>
      </c>
      <c r="H3159" s="1">
        <v>39220</v>
      </c>
      <c r="I3159" t="s">
        <v>12</v>
      </c>
      <c r="J3159" t="s">
        <v>13929</v>
      </c>
    </row>
    <row r="3160" spans="1:10" x14ac:dyDescent="0.25">
      <c r="A3160">
        <v>293719</v>
      </c>
      <c r="B3160" t="s">
        <v>3316</v>
      </c>
      <c r="C3160" t="str">
        <f>"9780230008090"</f>
        <v>9780230008090</v>
      </c>
      <c r="D3160" t="str">
        <f>"9780230625105"</f>
        <v>9780230625105</v>
      </c>
      <c r="E3160" t="s">
        <v>875</v>
      </c>
      <c r="F3160" t="s">
        <v>875</v>
      </c>
      <c r="G3160" s="1">
        <v>39049</v>
      </c>
      <c r="H3160" s="1">
        <v>39220</v>
      </c>
      <c r="I3160" t="s">
        <v>12</v>
      </c>
      <c r="J3160" t="s">
        <v>13930</v>
      </c>
    </row>
    <row r="3161" spans="1:10" x14ac:dyDescent="0.25">
      <c r="A3161">
        <v>293720</v>
      </c>
      <c r="B3161" t="s">
        <v>3317</v>
      </c>
      <c r="C3161" t="str">
        <f>"9780230005075"</f>
        <v>9780230005075</v>
      </c>
      <c r="D3161" t="str">
        <f>"9780230625204"</f>
        <v>9780230625204</v>
      </c>
      <c r="E3161" t="s">
        <v>876</v>
      </c>
      <c r="F3161" t="s">
        <v>876</v>
      </c>
      <c r="G3161" s="1">
        <v>39021</v>
      </c>
      <c r="H3161" s="1">
        <v>39220</v>
      </c>
      <c r="I3161" t="s">
        <v>12</v>
      </c>
      <c r="J3161" t="s">
        <v>13931</v>
      </c>
    </row>
    <row r="3162" spans="1:10" x14ac:dyDescent="0.25">
      <c r="A3162">
        <v>293722</v>
      </c>
      <c r="B3162" t="s">
        <v>3318</v>
      </c>
      <c r="C3162" t="str">
        <f>"9780230020030"</f>
        <v>9780230020030</v>
      </c>
      <c r="D3162" t="str">
        <f>"9780230625747"</f>
        <v>9780230625747</v>
      </c>
      <c r="E3162" t="s">
        <v>876</v>
      </c>
      <c r="F3162" t="s">
        <v>876</v>
      </c>
      <c r="G3162" s="1">
        <v>39021</v>
      </c>
      <c r="H3162" s="1">
        <v>39220</v>
      </c>
      <c r="I3162" t="s">
        <v>12</v>
      </c>
      <c r="J3162" t="s">
        <v>13932</v>
      </c>
    </row>
    <row r="3163" spans="1:10" x14ac:dyDescent="0.25">
      <c r="A3163">
        <v>293723</v>
      </c>
      <c r="B3163" t="s">
        <v>3319</v>
      </c>
      <c r="C3163" t="str">
        <f>"9780230002203"</f>
        <v>9780230002203</v>
      </c>
      <c r="D3163" t="str">
        <f>"9780230625815"</f>
        <v>9780230625815</v>
      </c>
      <c r="E3163" t="s">
        <v>876</v>
      </c>
      <c r="F3163" t="s">
        <v>876</v>
      </c>
      <c r="G3163" s="1">
        <v>38804</v>
      </c>
      <c r="H3163" s="1">
        <v>39220</v>
      </c>
      <c r="I3163" t="s">
        <v>12</v>
      </c>
      <c r="J3163" t="s">
        <v>13933</v>
      </c>
    </row>
    <row r="3164" spans="1:10" x14ac:dyDescent="0.25">
      <c r="A3164">
        <v>293728</v>
      </c>
      <c r="B3164" t="s">
        <v>3320</v>
      </c>
      <c r="C3164" t="str">
        <f>"9780230004702"</f>
        <v>9780230004702</v>
      </c>
      <c r="D3164" t="str">
        <f>"9780230624931"</f>
        <v>9780230624931</v>
      </c>
      <c r="E3164" t="s">
        <v>876</v>
      </c>
      <c r="F3164" t="s">
        <v>876</v>
      </c>
      <c r="G3164" s="1">
        <v>39070</v>
      </c>
      <c r="H3164" s="1">
        <v>39220</v>
      </c>
      <c r="I3164" t="s">
        <v>12</v>
      </c>
      <c r="J3164" t="s">
        <v>13934</v>
      </c>
    </row>
    <row r="3165" spans="1:10" x14ac:dyDescent="0.25">
      <c r="A3165">
        <v>293729</v>
      </c>
      <c r="B3165" t="s">
        <v>3321</v>
      </c>
      <c r="C3165" t="str">
        <f>"9781403912619"</f>
        <v>9781403912619</v>
      </c>
      <c r="D3165" t="str">
        <f>"9780230625792"</f>
        <v>9780230625792</v>
      </c>
      <c r="E3165" t="s">
        <v>3285</v>
      </c>
      <c r="F3165" t="s">
        <v>3286</v>
      </c>
      <c r="G3165" s="1">
        <v>36329</v>
      </c>
      <c r="H3165" s="1">
        <v>39282</v>
      </c>
      <c r="I3165" t="s">
        <v>12</v>
      </c>
      <c r="J3165" t="s">
        <v>13935</v>
      </c>
    </row>
    <row r="3166" spans="1:10" x14ac:dyDescent="0.25">
      <c r="A3166">
        <v>293733</v>
      </c>
      <c r="B3166" t="s">
        <v>3322</v>
      </c>
      <c r="C3166" t="str">
        <f>"9781403986238"</f>
        <v>9781403986238</v>
      </c>
      <c r="D3166" t="str">
        <f>"9780230624849"</f>
        <v>9780230624849</v>
      </c>
      <c r="E3166" t="s">
        <v>875</v>
      </c>
      <c r="F3166" t="s">
        <v>875</v>
      </c>
      <c r="G3166" s="1">
        <v>39049</v>
      </c>
      <c r="H3166" s="1">
        <v>39220</v>
      </c>
      <c r="I3166" t="s">
        <v>12</v>
      </c>
      <c r="J3166" t="s">
        <v>13936</v>
      </c>
    </row>
    <row r="3167" spans="1:10" x14ac:dyDescent="0.25">
      <c r="A3167">
        <v>293740</v>
      </c>
      <c r="B3167" t="s">
        <v>3323</v>
      </c>
      <c r="C3167" t="str">
        <f>"9780230000186"</f>
        <v>9780230000186</v>
      </c>
      <c r="D3167" t="str">
        <f>"9780230245969"</f>
        <v>9780230245969</v>
      </c>
      <c r="E3167" t="s">
        <v>875</v>
      </c>
      <c r="F3167" t="s">
        <v>875</v>
      </c>
      <c r="G3167" s="1">
        <v>38965</v>
      </c>
      <c r="H3167" s="1">
        <v>39220</v>
      </c>
      <c r="I3167" t="s">
        <v>12</v>
      </c>
      <c r="J3167" t="s">
        <v>13937</v>
      </c>
    </row>
    <row r="3168" spans="1:10" x14ac:dyDescent="0.25">
      <c r="A3168">
        <v>293742</v>
      </c>
      <c r="B3168" t="s">
        <v>3324</v>
      </c>
      <c r="C3168" t="str">
        <f>"9780230004986"</f>
        <v>9780230004986</v>
      </c>
      <c r="D3168" t="str">
        <f>"9780230625600"</f>
        <v>9780230625600</v>
      </c>
      <c r="E3168" t="s">
        <v>876</v>
      </c>
      <c r="F3168" t="s">
        <v>876</v>
      </c>
      <c r="G3168" s="1">
        <v>39049</v>
      </c>
      <c r="H3168" s="1">
        <v>39220</v>
      </c>
      <c r="I3168" t="s">
        <v>12</v>
      </c>
      <c r="J3168" t="s">
        <v>13938</v>
      </c>
    </row>
    <row r="3169" spans="1:10" x14ac:dyDescent="0.25">
      <c r="A3169">
        <v>293744</v>
      </c>
      <c r="B3169" t="s">
        <v>3325</v>
      </c>
      <c r="C3169" t="str">
        <f>"9781403987525"</f>
        <v>9781403987525</v>
      </c>
      <c r="D3169" t="str">
        <f>"9780230625594"</f>
        <v>9780230625594</v>
      </c>
      <c r="E3169" t="s">
        <v>875</v>
      </c>
      <c r="F3169" t="s">
        <v>875</v>
      </c>
      <c r="G3169" s="1">
        <v>38940</v>
      </c>
      <c r="H3169" s="1">
        <v>39220</v>
      </c>
      <c r="I3169" t="s">
        <v>12</v>
      </c>
      <c r="J3169" t="s">
        <v>13939</v>
      </c>
    </row>
    <row r="3170" spans="1:10" x14ac:dyDescent="0.25">
      <c r="A3170">
        <v>293745</v>
      </c>
      <c r="B3170" t="s">
        <v>3326</v>
      </c>
      <c r="C3170" t="str">
        <f>"9780230019911"</f>
        <v>9780230019911</v>
      </c>
      <c r="D3170" t="str">
        <f>"9780230625211"</f>
        <v>9780230625211</v>
      </c>
      <c r="E3170" t="s">
        <v>876</v>
      </c>
      <c r="F3170" t="s">
        <v>876</v>
      </c>
      <c r="G3170" s="1">
        <v>39000</v>
      </c>
      <c r="H3170" s="1">
        <v>39220</v>
      </c>
      <c r="I3170" t="s">
        <v>12</v>
      </c>
      <c r="J3170" t="s">
        <v>13940</v>
      </c>
    </row>
    <row r="3171" spans="1:10" x14ac:dyDescent="0.25">
      <c r="A3171">
        <v>293748</v>
      </c>
      <c r="B3171" t="s">
        <v>3327</v>
      </c>
      <c r="C3171" t="str">
        <f>"9780230005280"</f>
        <v>9780230005280</v>
      </c>
      <c r="D3171" t="str">
        <f>"9780230625129"</f>
        <v>9780230625129</v>
      </c>
      <c r="E3171" t="s">
        <v>875</v>
      </c>
      <c r="F3171" t="s">
        <v>875</v>
      </c>
      <c r="G3171" s="1">
        <v>38964</v>
      </c>
      <c r="H3171" s="1">
        <v>39220</v>
      </c>
      <c r="I3171" t="s">
        <v>12</v>
      </c>
      <c r="J3171" t="s">
        <v>13941</v>
      </c>
    </row>
    <row r="3172" spans="1:10" x14ac:dyDescent="0.25">
      <c r="A3172">
        <v>293753</v>
      </c>
      <c r="B3172" t="s">
        <v>3328</v>
      </c>
      <c r="C3172" t="str">
        <f>"9781403986290"</f>
        <v>9781403986290</v>
      </c>
      <c r="D3172" t="str">
        <f>"9780230505742"</f>
        <v>9780230505742</v>
      </c>
      <c r="E3172" t="s">
        <v>875</v>
      </c>
      <c r="F3172" t="s">
        <v>875</v>
      </c>
      <c r="G3172" s="1">
        <v>38903</v>
      </c>
      <c r="H3172" s="1">
        <v>39220</v>
      </c>
      <c r="I3172" t="s">
        <v>12</v>
      </c>
      <c r="J3172" t="s">
        <v>13942</v>
      </c>
    </row>
    <row r="3173" spans="1:10" x14ac:dyDescent="0.25">
      <c r="A3173">
        <v>293754</v>
      </c>
      <c r="B3173" t="s">
        <v>3329</v>
      </c>
      <c r="C3173" t="str">
        <f>"9781403938008"</f>
        <v>9781403938008</v>
      </c>
      <c r="D3173" t="str">
        <f>"9780230505049"</f>
        <v>9780230505049</v>
      </c>
      <c r="E3173" t="s">
        <v>876</v>
      </c>
      <c r="F3173" t="s">
        <v>876</v>
      </c>
      <c r="G3173" s="1">
        <v>38860</v>
      </c>
      <c r="H3173" s="1">
        <v>39220</v>
      </c>
      <c r="I3173" t="s">
        <v>12</v>
      </c>
      <c r="J3173" t="s">
        <v>13943</v>
      </c>
    </row>
    <row r="3174" spans="1:10" x14ac:dyDescent="0.25">
      <c r="A3174">
        <v>293756</v>
      </c>
      <c r="B3174" t="s">
        <v>3330</v>
      </c>
      <c r="C3174" t="str">
        <f>"9781403933270"</f>
        <v>9781403933270</v>
      </c>
      <c r="D3174" t="str">
        <f>"9780230625136"</f>
        <v>9780230625136</v>
      </c>
      <c r="E3174" t="s">
        <v>875</v>
      </c>
      <c r="F3174" t="s">
        <v>875</v>
      </c>
      <c r="G3174" s="1">
        <v>39065</v>
      </c>
      <c r="H3174" s="1">
        <v>39220</v>
      </c>
      <c r="I3174" t="s">
        <v>12</v>
      </c>
      <c r="J3174" t="s">
        <v>13944</v>
      </c>
    </row>
    <row r="3175" spans="1:10" x14ac:dyDescent="0.25">
      <c r="A3175">
        <v>293758</v>
      </c>
      <c r="B3175" t="s">
        <v>3331</v>
      </c>
      <c r="C3175" t="str">
        <f>"9781403921086"</f>
        <v>9781403921086</v>
      </c>
      <c r="D3175" t="str">
        <f>"9780230625624"</f>
        <v>9780230625624</v>
      </c>
      <c r="E3175" t="s">
        <v>875</v>
      </c>
      <c r="F3175" t="s">
        <v>875</v>
      </c>
      <c r="G3175" s="1">
        <v>39000</v>
      </c>
      <c r="H3175" s="1">
        <v>39220</v>
      </c>
      <c r="I3175" t="s">
        <v>12</v>
      </c>
      <c r="J3175" t="s">
        <v>13945</v>
      </c>
    </row>
    <row r="3176" spans="1:10" x14ac:dyDescent="0.25">
      <c r="A3176">
        <v>293760</v>
      </c>
      <c r="B3176" t="s">
        <v>3332</v>
      </c>
      <c r="C3176" t="str">
        <f>"9781403987990"</f>
        <v>9781403987990</v>
      </c>
      <c r="D3176" t="str">
        <f>"9780230624856"</f>
        <v>9780230624856</v>
      </c>
      <c r="E3176" t="s">
        <v>875</v>
      </c>
      <c r="F3176" t="s">
        <v>875</v>
      </c>
      <c r="G3176" s="1">
        <v>39043</v>
      </c>
      <c r="H3176" s="1">
        <v>39220</v>
      </c>
      <c r="I3176" t="s">
        <v>12</v>
      </c>
      <c r="J3176" t="s">
        <v>13946</v>
      </c>
    </row>
    <row r="3177" spans="1:10" x14ac:dyDescent="0.25">
      <c r="A3177">
        <v>293763</v>
      </c>
      <c r="B3177" t="s">
        <v>3333</v>
      </c>
      <c r="C3177" t="str">
        <f>"9780230001671"</f>
        <v>9780230001671</v>
      </c>
      <c r="D3177" t="str">
        <f>"9780230625679"</f>
        <v>9780230625679</v>
      </c>
      <c r="E3177" t="s">
        <v>875</v>
      </c>
      <c r="F3177" t="s">
        <v>875</v>
      </c>
      <c r="G3177" s="1">
        <v>38940</v>
      </c>
      <c r="H3177" s="1">
        <v>39220</v>
      </c>
      <c r="I3177" t="s">
        <v>12</v>
      </c>
      <c r="J3177" t="s">
        <v>13947</v>
      </c>
    </row>
    <row r="3178" spans="1:10" x14ac:dyDescent="0.25">
      <c r="A3178">
        <v>293769</v>
      </c>
      <c r="B3178" t="s">
        <v>3334</v>
      </c>
      <c r="C3178" t="str">
        <f>"9781403991645"</f>
        <v>9781403991645</v>
      </c>
      <c r="D3178" t="str">
        <f>"9780230625419"</f>
        <v>9780230625419</v>
      </c>
      <c r="E3178" t="s">
        <v>875</v>
      </c>
      <c r="F3178" t="s">
        <v>875</v>
      </c>
      <c r="G3178" s="1">
        <v>38819</v>
      </c>
      <c r="H3178" s="1">
        <v>39220</v>
      </c>
      <c r="I3178" t="s">
        <v>12</v>
      </c>
      <c r="J3178" t="s">
        <v>13948</v>
      </c>
    </row>
    <row r="3179" spans="1:10" x14ac:dyDescent="0.25">
      <c r="A3179">
        <v>293771</v>
      </c>
      <c r="B3179" t="s">
        <v>3335</v>
      </c>
      <c r="C3179" t="str">
        <f>"9781403935373"</f>
        <v>9781403935373</v>
      </c>
      <c r="D3179" t="str">
        <f>"9780230625396"</f>
        <v>9780230625396</v>
      </c>
      <c r="E3179" t="s">
        <v>875</v>
      </c>
      <c r="F3179" t="s">
        <v>875</v>
      </c>
      <c r="G3179" s="1">
        <v>39043</v>
      </c>
      <c r="H3179" s="1">
        <v>39220</v>
      </c>
      <c r="I3179" t="s">
        <v>12</v>
      </c>
      <c r="J3179" t="s">
        <v>13949</v>
      </c>
    </row>
    <row r="3180" spans="1:10" x14ac:dyDescent="0.25">
      <c r="A3180">
        <v>293774</v>
      </c>
      <c r="B3180" t="s">
        <v>3336</v>
      </c>
      <c r="C3180" t="str">
        <f>"9780230004849"</f>
        <v>9780230004849</v>
      </c>
      <c r="D3180" t="str">
        <f>"9780230624955"</f>
        <v>9780230624955</v>
      </c>
      <c r="E3180" t="s">
        <v>875</v>
      </c>
      <c r="F3180" t="s">
        <v>875</v>
      </c>
      <c r="G3180" s="1">
        <v>38833</v>
      </c>
      <c r="H3180" s="1">
        <v>39220</v>
      </c>
      <c r="I3180" t="s">
        <v>12</v>
      </c>
      <c r="J3180" t="s">
        <v>13950</v>
      </c>
    </row>
    <row r="3181" spans="1:10" x14ac:dyDescent="0.25">
      <c r="A3181">
        <v>293776</v>
      </c>
      <c r="B3181" t="s">
        <v>3337</v>
      </c>
      <c r="C3181" t="str">
        <f>"9780230008724"</f>
        <v>9780230008724</v>
      </c>
      <c r="D3181" t="str">
        <f>"9780230625273"</f>
        <v>9780230625273</v>
      </c>
      <c r="E3181" t="s">
        <v>876</v>
      </c>
      <c r="F3181" t="s">
        <v>876</v>
      </c>
      <c r="G3181" s="1">
        <v>39021</v>
      </c>
      <c r="H3181" s="1">
        <v>39220</v>
      </c>
      <c r="I3181" t="s">
        <v>12</v>
      </c>
      <c r="J3181" t="s">
        <v>13951</v>
      </c>
    </row>
    <row r="3182" spans="1:10" x14ac:dyDescent="0.25">
      <c r="A3182">
        <v>293777</v>
      </c>
      <c r="B3182" t="s">
        <v>3338</v>
      </c>
      <c r="C3182" t="str">
        <f>"9780230003385"</f>
        <v>9780230003385</v>
      </c>
      <c r="D3182" t="str">
        <f>"9780230625303"</f>
        <v>9780230625303</v>
      </c>
      <c r="E3182" t="s">
        <v>875</v>
      </c>
      <c r="F3182" t="s">
        <v>875</v>
      </c>
      <c r="G3182" s="1">
        <v>39000</v>
      </c>
      <c r="H3182" s="1">
        <v>39220</v>
      </c>
      <c r="I3182" t="s">
        <v>12</v>
      </c>
      <c r="J3182" t="s">
        <v>13952</v>
      </c>
    </row>
    <row r="3183" spans="1:10" x14ac:dyDescent="0.25">
      <c r="A3183">
        <v>293778</v>
      </c>
      <c r="B3183" t="s">
        <v>3339</v>
      </c>
      <c r="C3183" t="str">
        <f>"9780230004801"</f>
        <v>9780230004801</v>
      </c>
      <c r="D3183" t="str">
        <f>"9780230625150"</f>
        <v>9780230625150</v>
      </c>
      <c r="E3183" t="s">
        <v>875</v>
      </c>
      <c r="F3183" t="s">
        <v>875</v>
      </c>
      <c r="G3183" s="1">
        <v>39049</v>
      </c>
      <c r="H3183" s="1">
        <v>39220</v>
      </c>
      <c r="I3183" t="s">
        <v>12</v>
      </c>
      <c r="J3183" t="s">
        <v>13953</v>
      </c>
    </row>
    <row r="3184" spans="1:10" x14ac:dyDescent="0.25">
      <c r="A3184">
        <v>293785</v>
      </c>
      <c r="B3184" t="s">
        <v>3340</v>
      </c>
      <c r="C3184" t="str">
        <f>"9781403945648"</f>
        <v>9781403945648</v>
      </c>
      <c r="D3184" t="str">
        <f>"9780230624832"</f>
        <v>9780230624832</v>
      </c>
      <c r="E3184" t="s">
        <v>875</v>
      </c>
      <c r="F3184" t="s">
        <v>875</v>
      </c>
      <c r="G3184" s="1">
        <v>38742</v>
      </c>
      <c r="H3184" s="1">
        <v>39220</v>
      </c>
      <c r="I3184" t="s">
        <v>12</v>
      </c>
      <c r="J3184" t="s">
        <v>13954</v>
      </c>
    </row>
    <row r="3185" spans="1:10" x14ac:dyDescent="0.25">
      <c r="A3185">
        <v>293786</v>
      </c>
      <c r="B3185" t="s">
        <v>3341</v>
      </c>
      <c r="C3185" t="str">
        <f>"9780230008175"</f>
        <v>9780230008175</v>
      </c>
      <c r="D3185" t="str">
        <f>"9780230624962"</f>
        <v>9780230624962</v>
      </c>
      <c r="E3185" t="s">
        <v>876</v>
      </c>
      <c r="F3185" t="s">
        <v>876</v>
      </c>
      <c r="G3185" s="1">
        <v>39043</v>
      </c>
      <c r="H3185" s="1">
        <v>39220</v>
      </c>
      <c r="I3185" t="s">
        <v>12</v>
      </c>
      <c r="J3185" t="s">
        <v>13955</v>
      </c>
    </row>
    <row r="3186" spans="1:10" x14ac:dyDescent="0.25">
      <c r="A3186">
        <v>293788</v>
      </c>
      <c r="B3186" t="s">
        <v>3342</v>
      </c>
      <c r="C3186" t="str">
        <f>"9781403991607"</f>
        <v>9781403991607</v>
      </c>
      <c r="D3186" t="str">
        <f>"9780230625822"</f>
        <v>9780230625822</v>
      </c>
      <c r="E3186" t="s">
        <v>875</v>
      </c>
      <c r="F3186" t="s">
        <v>875</v>
      </c>
      <c r="G3186" s="1">
        <v>39057</v>
      </c>
      <c r="H3186" s="1">
        <v>39220</v>
      </c>
      <c r="I3186" t="s">
        <v>12</v>
      </c>
      <c r="J3186" t="s">
        <v>13956</v>
      </c>
    </row>
    <row r="3187" spans="1:10" x14ac:dyDescent="0.25">
      <c r="A3187">
        <v>293793</v>
      </c>
      <c r="B3187" t="s">
        <v>3343</v>
      </c>
      <c r="C3187" t="str">
        <f>"9780230008854"</f>
        <v>9780230008854</v>
      </c>
      <c r="D3187" t="str">
        <f>"9780230625587"</f>
        <v>9780230625587</v>
      </c>
      <c r="E3187" t="s">
        <v>875</v>
      </c>
      <c r="F3187" t="s">
        <v>875</v>
      </c>
      <c r="G3187" s="1">
        <v>39000</v>
      </c>
      <c r="H3187" s="1">
        <v>39220</v>
      </c>
      <c r="I3187" t="s">
        <v>12</v>
      </c>
      <c r="J3187" t="s">
        <v>13957</v>
      </c>
    </row>
    <row r="3188" spans="1:10" x14ac:dyDescent="0.25">
      <c r="A3188">
        <v>293794</v>
      </c>
      <c r="B3188" t="s">
        <v>3344</v>
      </c>
      <c r="C3188" t="str">
        <f>"9781403998552"</f>
        <v>9781403998552</v>
      </c>
      <c r="D3188" t="str">
        <f>"9780230625525"</f>
        <v>9780230625525</v>
      </c>
      <c r="E3188" t="s">
        <v>875</v>
      </c>
      <c r="F3188" t="s">
        <v>875</v>
      </c>
      <c r="G3188" s="1">
        <v>38874</v>
      </c>
      <c r="H3188" s="1">
        <v>39220</v>
      </c>
      <c r="I3188" t="s">
        <v>12</v>
      </c>
      <c r="J3188" t="s">
        <v>13958</v>
      </c>
    </row>
    <row r="3189" spans="1:10" x14ac:dyDescent="0.25">
      <c r="A3189">
        <v>293795</v>
      </c>
      <c r="B3189" t="s">
        <v>3345</v>
      </c>
      <c r="C3189" t="str">
        <f>"9780230004757"</f>
        <v>9780230004757</v>
      </c>
      <c r="D3189" t="str">
        <f>"9780230625709"</f>
        <v>9780230625709</v>
      </c>
      <c r="E3189" t="s">
        <v>875</v>
      </c>
      <c r="F3189" t="s">
        <v>875</v>
      </c>
      <c r="G3189" s="1">
        <v>38982</v>
      </c>
      <c r="H3189" s="1">
        <v>39220</v>
      </c>
      <c r="I3189" t="s">
        <v>12</v>
      </c>
      <c r="J3189" t="s">
        <v>13959</v>
      </c>
    </row>
    <row r="3190" spans="1:10" x14ac:dyDescent="0.25">
      <c r="A3190">
        <v>293799</v>
      </c>
      <c r="B3190" t="s">
        <v>3346</v>
      </c>
      <c r="C3190" t="str">
        <f>"9780230019591"</f>
        <v>9780230019591</v>
      </c>
      <c r="D3190" t="str">
        <f>"9780230625433"</f>
        <v>9780230625433</v>
      </c>
      <c r="E3190" t="s">
        <v>875</v>
      </c>
      <c r="F3190" t="s">
        <v>875</v>
      </c>
      <c r="G3190" s="1">
        <v>39099</v>
      </c>
      <c r="H3190" s="1">
        <v>39220</v>
      </c>
      <c r="I3190" t="s">
        <v>12</v>
      </c>
      <c r="J3190" t="s">
        <v>13960</v>
      </c>
    </row>
    <row r="3191" spans="1:10" x14ac:dyDescent="0.25">
      <c r="A3191">
        <v>293802</v>
      </c>
      <c r="B3191" t="s">
        <v>3347</v>
      </c>
      <c r="C3191" t="str">
        <f>"9780230004795"</f>
        <v>9780230004795</v>
      </c>
      <c r="D3191" t="str">
        <f>"9780230625501"</f>
        <v>9780230625501</v>
      </c>
      <c r="E3191" t="s">
        <v>875</v>
      </c>
      <c r="F3191" t="s">
        <v>875</v>
      </c>
      <c r="G3191" s="1">
        <v>39087</v>
      </c>
      <c r="H3191" s="1">
        <v>39220</v>
      </c>
      <c r="I3191" t="s">
        <v>12</v>
      </c>
      <c r="J3191" t="s">
        <v>13961</v>
      </c>
    </row>
    <row r="3192" spans="1:10" x14ac:dyDescent="0.25">
      <c r="A3192">
        <v>293803</v>
      </c>
      <c r="B3192" t="s">
        <v>3348</v>
      </c>
      <c r="C3192" t="str">
        <f>"9781403998743"</f>
        <v>9781403998743</v>
      </c>
      <c r="D3192" t="str">
        <f>"9780230625044"</f>
        <v>9780230625044</v>
      </c>
      <c r="E3192" t="s">
        <v>875</v>
      </c>
      <c r="F3192" t="s">
        <v>875</v>
      </c>
      <c r="G3192" s="1">
        <v>38929</v>
      </c>
      <c r="H3192" s="1">
        <v>39220</v>
      </c>
      <c r="I3192" t="s">
        <v>12</v>
      </c>
      <c r="J3192" t="s">
        <v>13962</v>
      </c>
    </row>
    <row r="3193" spans="1:10" x14ac:dyDescent="0.25">
      <c r="A3193">
        <v>293810</v>
      </c>
      <c r="B3193" t="s">
        <v>3349</v>
      </c>
      <c r="C3193" t="str">
        <f>"9781403989567"</f>
        <v>9781403989567</v>
      </c>
      <c r="D3193" t="str">
        <f>"9780230625549"</f>
        <v>9780230625549</v>
      </c>
      <c r="E3193" t="s">
        <v>875</v>
      </c>
      <c r="F3193" t="s">
        <v>875</v>
      </c>
      <c r="G3193" s="1">
        <v>39021</v>
      </c>
      <c r="H3193" s="1">
        <v>39220</v>
      </c>
      <c r="I3193" t="s">
        <v>12</v>
      </c>
      <c r="J3193" t="s">
        <v>13963</v>
      </c>
    </row>
    <row r="3194" spans="1:10" x14ac:dyDescent="0.25">
      <c r="A3194">
        <v>293813</v>
      </c>
      <c r="B3194" t="s">
        <v>3350</v>
      </c>
      <c r="C3194" t="str">
        <f>"9781403986115"</f>
        <v>9781403986115</v>
      </c>
      <c r="D3194" t="str">
        <f>"9780230625563"</f>
        <v>9780230625563</v>
      </c>
      <c r="E3194" t="s">
        <v>875</v>
      </c>
      <c r="F3194" t="s">
        <v>875</v>
      </c>
      <c r="G3194" s="1">
        <v>38727</v>
      </c>
      <c r="H3194" s="1">
        <v>39220</v>
      </c>
      <c r="I3194" t="s">
        <v>12</v>
      </c>
      <c r="J3194" t="s">
        <v>13964</v>
      </c>
    </row>
    <row r="3195" spans="1:10" x14ac:dyDescent="0.25">
      <c r="A3195">
        <v>293814</v>
      </c>
      <c r="B3195" t="s">
        <v>3351</v>
      </c>
      <c r="C3195" t="str">
        <f>"9781403941695"</f>
        <v>9781403941695</v>
      </c>
      <c r="D3195" t="str">
        <f>"9780230625112"</f>
        <v>9780230625112</v>
      </c>
      <c r="E3195" t="s">
        <v>875</v>
      </c>
      <c r="F3195" t="s">
        <v>875</v>
      </c>
      <c r="G3195" s="1">
        <v>38965</v>
      </c>
      <c r="H3195" s="1">
        <v>39220</v>
      </c>
      <c r="I3195" t="s">
        <v>12</v>
      </c>
      <c r="J3195" t="s">
        <v>13965</v>
      </c>
    </row>
    <row r="3196" spans="1:10" x14ac:dyDescent="0.25">
      <c r="A3196">
        <v>293818</v>
      </c>
      <c r="B3196" t="s">
        <v>3352</v>
      </c>
      <c r="C3196" t="str">
        <f>"9781403992505"</f>
        <v>9781403992505</v>
      </c>
      <c r="D3196" t="str">
        <f>"9780230625020"</f>
        <v>9780230625020</v>
      </c>
      <c r="E3196" t="s">
        <v>875</v>
      </c>
      <c r="F3196" t="s">
        <v>875</v>
      </c>
      <c r="G3196" s="1">
        <v>39057</v>
      </c>
      <c r="H3196" s="1">
        <v>39220</v>
      </c>
      <c r="I3196" t="s">
        <v>12</v>
      </c>
      <c r="J3196" t="s">
        <v>13966</v>
      </c>
    </row>
    <row r="3197" spans="1:10" x14ac:dyDescent="0.25">
      <c r="A3197">
        <v>293819</v>
      </c>
      <c r="B3197" t="s">
        <v>3353</v>
      </c>
      <c r="C3197" t="str">
        <f>"9781403996671"</f>
        <v>9781403996671</v>
      </c>
      <c r="D3197" t="str">
        <f>"9780230505223"</f>
        <v>9780230505223</v>
      </c>
      <c r="E3197" t="s">
        <v>875</v>
      </c>
      <c r="F3197" t="s">
        <v>875</v>
      </c>
      <c r="G3197" s="1">
        <v>38819</v>
      </c>
      <c r="H3197" s="1">
        <v>39220</v>
      </c>
      <c r="I3197" t="s">
        <v>12</v>
      </c>
      <c r="J3197" t="s">
        <v>13967</v>
      </c>
    </row>
    <row r="3198" spans="1:10" x14ac:dyDescent="0.25">
      <c r="A3198">
        <v>293824</v>
      </c>
      <c r="B3198" t="s">
        <v>3354</v>
      </c>
      <c r="C3198" t="str">
        <f>"9781403996893"</f>
        <v>9781403996893</v>
      </c>
      <c r="D3198" t="str">
        <f>"9780230625334"</f>
        <v>9780230625334</v>
      </c>
      <c r="E3198" t="s">
        <v>876</v>
      </c>
      <c r="F3198" t="s">
        <v>876</v>
      </c>
      <c r="G3198" s="1">
        <v>38791</v>
      </c>
      <c r="H3198" s="1">
        <v>39220</v>
      </c>
      <c r="I3198" t="s">
        <v>12</v>
      </c>
      <c r="J3198" t="s">
        <v>13968</v>
      </c>
    </row>
    <row r="3199" spans="1:10" x14ac:dyDescent="0.25">
      <c r="A3199">
        <v>293828</v>
      </c>
      <c r="B3199" t="s">
        <v>3355</v>
      </c>
      <c r="C3199" t="str">
        <f>"9781556526121"</f>
        <v>9781556526121</v>
      </c>
      <c r="D3199" t="str">
        <f>"9781556526930"</f>
        <v>9781556526930</v>
      </c>
      <c r="E3199" t="s">
        <v>3090</v>
      </c>
      <c r="F3199" t="s">
        <v>3090</v>
      </c>
      <c r="G3199" s="1">
        <v>39052</v>
      </c>
      <c r="H3199" s="1">
        <v>39261</v>
      </c>
      <c r="I3199" t="s">
        <v>12</v>
      </c>
      <c r="J3199" t="s">
        <v>13969</v>
      </c>
    </row>
    <row r="3200" spans="1:10" x14ac:dyDescent="0.25">
      <c r="A3200">
        <v>293833</v>
      </c>
      <c r="B3200" t="s">
        <v>3356</v>
      </c>
      <c r="C3200" t="str">
        <f>"9780520249011"</f>
        <v>9780520249011</v>
      </c>
      <c r="D3200" t="str">
        <f>"9780520940031"</f>
        <v>9780520940031</v>
      </c>
      <c r="E3200" t="s">
        <v>2000</v>
      </c>
      <c r="F3200" t="s">
        <v>2000</v>
      </c>
      <c r="G3200" s="1">
        <v>39161</v>
      </c>
      <c r="H3200" s="1">
        <v>40171</v>
      </c>
      <c r="I3200" t="s">
        <v>12</v>
      </c>
      <c r="J3200" t="s">
        <v>13970</v>
      </c>
    </row>
    <row r="3201" spans="1:10" x14ac:dyDescent="0.25">
      <c r="A3201">
        <v>293835</v>
      </c>
      <c r="B3201" t="s">
        <v>3357</v>
      </c>
      <c r="C3201" t="str">
        <f>"9780520241176"</f>
        <v>9780520241176</v>
      </c>
      <c r="D3201" t="str">
        <f>"9780520941663"</f>
        <v>9780520941663</v>
      </c>
      <c r="E3201" t="s">
        <v>2000</v>
      </c>
      <c r="F3201" t="s">
        <v>2000</v>
      </c>
      <c r="G3201" s="1">
        <v>39202</v>
      </c>
      <c r="H3201" s="1">
        <v>42337</v>
      </c>
      <c r="I3201" t="s">
        <v>12</v>
      </c>
      <c r="J3201" t="s">
        <v>13971</v>
      </c>
    </row>
    <row r="3202" spans="1:10" x14ac:dyDescent="0.25">
      <c r="A3202">
        <v>293855</v>
      </c>
      <c r="B3202" t="s">
        <v>3358</v>
      </c>
      <c r="C3202" t="str">
        <f>"9780851995236"</f>
        <v>9780851995236</v>
      </c>
      <c r="D3202" t="str">
        <f>"9780851997537"</f>
        <v>9780851997537</v>
      </c>
      <c r="E3202" t="s">
        <v>2878</v>
      </c>
      <c r="F3202" t="s">
        <v>2879</v>
      </c>
      <c r="G3202" s="1">
        <v>37257</v>
      </c>
      <c r="H3202" s="1">
        <v>39222</v>
      </c>
      <c r="I3202" t="s">
        <v>12</v>
      </c>
      <c r="J3202" t="s">
        <v>13972</v>
      </c>
    </row>
    <row r="3203" spans="1:10" x14ac:dyDescent="0.25">
      <c r="A3203">
        <v>293858</v>
      </c>
      <c r="B3203" t="s">
        <v>3359</v>
      </c>
      <c r="C3203" t="str">
        <f>"9780851995229"</f>
        <v>9780851995229</v>
      </c>
      <c r="D3203" t="str">
        <f>"9780851998862"</f>
        <v>9780851998862</v>
      </c>
      <c r="E3203" t="s">
        <v>2878</v>
      </c>
      <c r="F3203" t="s">
        <v>2879</v>
      </c>
      <c r="G3203" s="1">
        <v>36892</v>
      </c>
      <c r="H3203" s="1">
        <v>39222</v>
      </c>
      <c r="I3203" t="s">
        <v>12</v>
      </c>
      <c r="J3203" t="s">
        <v>13973</v>
      </c>
    </row>
    <row r="3204" spans="1:10" x14ac:dyDescent="0.25">
      <c r="A3204">
        <v>293873</v>
      </c>
      <c r="B3204" t="s">
        <v>3360</v>
      </c>
      <c r="C3204" t="str">
        <f>"9780851995069"</f>
        <v>9780851995069</v>
      </c>
      <c r="D3204" t="str">
        <f>"9780851997681"</f>
        <v>9780851997681</v>
      </c>
      <c r="E3204" t="s">
        <v>2878</v>
      </c>
      <c r="F3204" t="s">
        <v>2879</v>
      </c>
      <c r="G3204" s="1">
        <v>36892</v>
      </c>
      <c r="H3204" s="1">
        <v>39222</v>
      </c>
      <c r="I3204" t="s">
        <v>12</v>
      </c>
      <c r="J3204" t="s">
        <v>13974</v>
      </c>
    </row>
    <row r="3205" spans="1:10" x14ac:dyDescent="0.25">
      <c r="A3205">
        <v>293875</v>
      </c>
      <c r="B3205" t="s">
        <v>3361</v>
      </c>
      <c r="C3205" t="str">
        <f>"9780851995335"</f>
        <v>9780851995335</v>
      </c>
      <c r="D3205" t="str">
        <f>"9780851997650"</f>
        <v>9780851997650</v>
      </c>
      <c r="E3205" t="s">
        <v>2878</v>
      </c>
      <c r="F3205" t="s">
        <v>2879</v>
      </c>
      <c r="G3205" s="1">
        <v>36892</v>
      </c>
      <c r="H3205" s="1">
        <v>39222</v>
      </c>
      <c r="I3205" t="s">
        <v>12</v>
      </c>
      <c r="J3205" t="s">
        <v>13975</v>
      </c>
    </row>
    <row r="3206" spans="1:10" x14ac:dyDescent="0.25">
      <c r="A3206">
        <v>293931</v>
      </c>
      <c r="B3206" t="s">
        <v>3362</v>
      </c>
      <c r="C3206" t="str">
        <f>"9781556526138"</f>
        <v>9781556526138</v>
      </c>
      <c r="D3206" t="str">
        <f>"9781556526985"</f>
        <v>9781556526985</v>
      </c>
      <c r="E3206" t="s">
        <v>3090</v>
      </c>
      <c r="F3206" t="s">
        <v>3090</v>
      </c>
      <c r="G3206" s="1">
        <v>38991</v>
      </c>
      <c r="H3206" s="1">
        <v>39229</v>
      </c>
      <c r="I3206" t="s">
        <v>12</v>
      </c>
      <c r="J3206" t="s">
        <v>13976</v>
      </c>
    </row>
    <row r="3207" spans="1:10" x14ac:dyDescent="0.25">
      <c r="A3207">
        <v>293932</v>
      </c>
      <c r="B3207" t="s">
        <v>3363</v>
      </c>
      <c r="C3207" t="str">
        <f>"9781556524011"</f>
        <v>9781556524011</v>
      </c>
      <c r="D3207" t="str">
        <f>"9781556527395"</f>
        <v>9781556527395</v>
      </c>
      <c r="E3207" t="s">
        <v>3090</v>
      </c>
      <c r="F3207" t="s">
        <v>3090</v>
      </c>
      <c r="G3207" s="1">
        <v>36708</v>
      </c>
      <c r="H3207" s="1">
        <v>39228</v>
      </c>
      <c r="I3207" t="s">
        <v>12</v>
      </c>
      <c r="J3207" t="s">
        <v>13977</v>
      </c>
    </row>
    <row r="3208" spans="1:10" x14ac:dyDescent="0.25">
      <c r="A3208">
        <v>293998</v>
      </c>
      <c r="B3208" t="s">
        <v>3364</v>
      </c>
      <c r="C3208" t="str">
        <f>"9780124262973"</f>
        <v>9780124262973</v>
      </c>
      <c r="D3208" t="str">
        <f>"9780080475967"</f>
        <v>9780080475967</v>
      </c>
      <c r="E3208" t="s">
        <v>1119</v>
      </c>
      <c r="F3208" t="s">
        <v>1120</v>
      </c>
      <c r="G3208" s="1">
        <v>37371</v>
      </c>
      <c r="H3208" s="1">
        <v>39226</v>
      </c>
      <c r="I3208" t="s">
        <v>12</v>
      </c>
      <c r="J3208" t="s">
        <v>13978</v>
      </c>
    </row>
    <row r="3209" spans="1:10" x14ac:dyDescent="0.25">
      <c r="A3209">
        <v>294012</v>
      </c>
      <c r="B3209" t="s">
        <v>3365</v>
      </c>
      <c r="C3209" t="str">
        <f>"9780750682510"</f>
        <v>9780750682510</v>
      </c>
      <c r="D3209" t="str">
        <f>"9780080476254"</f>
        <v>9780080476254</v>
      </c>
      <c r="E3209" t="s">
        <v>1119</v>
      </c>
      <c r="F3209" t="s">
        <v>1120</v>
      </c>
      <c r="G3209" s="1">
        <v>39225</v>
      </c>
      <c r="H3209" s="1">
        <v>39226</v>
      </c>
      <c r="I3209" t="s">
        <v>12</v>
      </c>
      <c r="J3209" t="s">
        <v>13979</v>
      </c>
    </row>
    <row r="3210" spans="1:10" x14ac:dyDescent="0.25">
      <c r="A3210">
        <v>294023</v>
      </c>
      <c r="B3210" t="s">
        <v>3366</v>
      </c>
      <c r="C3210" t="str">
        <f>"9780750658409"</f>
        <v>9780750658409</v>
      </c>
      <c r="D3210" t="str">
        <f>"9780080476391"</f>
        <v>9780080476391</v>
      </c>
      <c r="E3210" t="s">
        <v>15</v>
      </c>
      <c r="F3210" t="s">
        <v>16</v>
      </c>
      <c r="G3210" s="1">
        <v>37574</v>
      </c>
      <c r="H3210" s="1">
        <v>39227</v>
      </c>
      <c r="I3210" t="s">
        <v>12</v>
      </c>
      <c r="J3210" t="s">
        <v>13980</v>
      </c>
    </row>
    <row r="3211" spans="1:10" x14ac:dyDescent="0.25">
      <c r="A3211">
        <v>294037</v>
      </c>
      <c r="B3211" t="s">
        <v>3367</v>
      </c>
      <c r="C3211" t="str">
        <f>"9780120884162"</f>
        <v>9780120884162</v>
      </c>
      <c r="D3211" t="str">
        <f>"9780080476568"</f>
        <v>9780080476568</v>
      </c>
      <c r="E3211" t="s">
        <v>1119</v>
      </c>
      <c r="F3211" t="s">
        <v>1120</v>
      </c>
      <c r="G3211" s="1">
        <v>38808</v>
      </c>
      <c r="H3211" s="1">
        <v>39226</v>
      </c>
      <c r="I3211" t="s">
        <v>12</v>
      </c>
      <c r="J3211" t="s">
        <v>13981</v>
      </c>
    </row>
    <row r="3212" spans="1:10" x14ac:dyDescent="0.25">
      <c r="A3212">
        <v>294043</v>
      </c>
      <c r="B3212" t="s">
        <v>3368</v>
      </c>
      <c r="C3212" t="str">
        <f>"9780762313594"</f>
        <v>9780762313594</v>
      </c>
      <c r="D3212" t="str">
        <f>"9781849504539"</f>
        <v>9781849504539</v>
      </c>
      <c r="E3212" t="s">
        <v>1116</v>
      </c>
      <c r="F3212" t="s">
        <v>2163</v>
      </c>
      <c r="G3212" s="1">
        <v>39052</v>
      </c>
      <c r="H3212" s="1">
        <v>39226</v>
      </c>
      <c r="I3212" t="s">
        <v>12</v>
      </c>
      <c r="J3212" t="s">
        <v>13982</v>
      </c>
    </row>
    <row r="3213" spans="1:10" x14ac:dyDescent="0.25">
      <c r="A3213">
        <v>294063</v>
      </c>
      <c r="B3213" t="s">
        <v>3369</v>
      </c>
      <c r="C3213" t="str">
        <f>"9780750669245"</f>
        <v>9780750669245</v>
      </c>
      <c r="D3213" t="str">
        <f>"9780080476889"</f>
        <v>9780080476889</v>
      </c>
      <c r="E3213" t="s">
        <v>1119</v>
      </c>
      <c r="F3213" t="s">
        <v>2125</v>
      </c>
      <c r="G3213" s="1">
        <v>38819</v>
      </c>
      <c r="H3213" s="1">
        <v>39226</v>
      </c>
      <c r="I3213" t="s">
        <v>12</v>
      </c>
      <c r="J3213" t="s">
        <v>13983</v>
      </c>
    </row>
    <row r="3214" spans="1:10" x14ac:dyDescent="0.25">
      <c r="A3214">
        <v>294066</v>
      </c>
      <c r="B3214" t="s">
        <v>3370</v>
      </c>
      <c r="C3214" t="str">
        <f>"9780750679367"</f>
        <v>9780750679367</v>
      </c>
      <c r="D3214" t="str">
        <f>"9780080476940"</f>
        <v>9780080476940</v>
      </c>
      <c r="E3214" t="s">
        <v>15</v>
      </c>
      <c r="F3214" t="s">
        <v>16</v>
      </c>
      <c r="G3214" s="1">
        <v>40771</v>
      </c>
      <c r="H3214" s="1">
        <v>40171</v>
      </c>
      <c r="I3214" t="s">
        <v>12</v>
      </c>
      <c r="J3214" t="s">
        <v>13984</v>
      </c>
    </row>
    <row r="3215" spans="1:10" x14ac:dyDescent="0.25">
      <c r="A3215">
        <v>294083</v>
      </c>
      <c r="B3215" t="s">
        <v>3371</v>
      </c>
      <c r="C3215" t="str">
        <f>"9780750659697"</f>
        <v>9780750659697</v>
      </c>
      <c r="D3215" t="str">
        <f>"9780080477206"</f>
        <v>9780080477206</v>
      </c>
      <c r="E3215" t="s">
        <v>15</v>
      </c>
      <c r="F3215" t="s">
        <v>16</v>
      </c>
      <c r="G3215" s="1">
        <v>39240</v>
      </c>
      <c r="H3215" s="1">
        <v>39226</v>
      </c>
      <c r="I3215" t="s">
        <v>12</v>
      </c>
      <c r="J3215" t="s">
        <v>13985</v>
      </c>
    </row>
    <row r="3216" spans="1:10" x14ac:dyDescent="0.25">
      <c r="A3216">
        <v>294162</v>
      </c>
      <c r="B3216" t="s">
        <v>3372</v>
      </c>
      <c r="C3216" t="str">
        <f>"9780444508751"</f>
        <v>9780444508751</v>
      </c>
      <c r="D3216" t="str">
        <f>"9780080478203"</f>
        <v>9780080478203</v>
      </c>
      <c r="E3216" t="s">
        <v>1119</v>
      </c>
      <c r="F3216" t="s">
        <v>2175</v>
      </c>
      <c r="G3216" s="1">
        <v>38915</v>
      </c>
      <c r="H3216" s="1">
        <v>39641</v>
      </c>
      <c r="I3216" t="s">
        <v>12</v>
      </c>
      <c r="J3216" t="s">
        <v>13986</v>
      </c>
    </row>
    <row r="3217" spans="1:10" x14ac:dyDescent="0.25">
      <c r="A3217">
        <v>294179</v>
      </c>
      <c r="B3217" t="s">
        <v>3373</v>
      </c>
      <c r="C3217" t="str">
        <f>"9780750679022"</f>
        <v>9780750679022</v>
      </c>
      <c r="D3217" t="str">
        <f>"9780080478371"</f>
        <v>9780080478371</v>
      </c>
      <c r="E3217" t="s">
        <v>15</v>
      </c>
      <c r="F3217" t="s">
        <v>16</v>
      </c>
      <c r="G3217" s="1">
        <v>40770</v>
      </c>
      <c r="H3217" s="1">
        <v>40171</v>
      </c>
      <c r="I3217" t="s">
        <v>12</v>
      </c>
      <c r="J3217" t="s">
        <v>13987</v>
      </c>
    </row>
    <row r="3218" spans="1:10" x14ac:dyDescent="0.25">
      <c r="A3218">
        <v>294240</v>
      </c>
      <c r="B3218" t="s">
        <v>3374</v>
      </c>
      <c r="C3218" t="str">
        <f>"9780750658287"</f>
        <v>9780750658287</v>
      </c>
      <c r="D3218" t="str">
        <f>"9780080479095"</f>
        <v>9780080479095</v>
      </c>
      <c r="E3218" t="s">
        <v>15</v>
      </c>
      <c r="F3218" t="s">
        <v>16</v>
      </c>
      <c r="G3218" s="1">
        <v>38040</v>
      </c>
      <c r="H3218" s="1">
        <v>39226</v>
      </c>
      <c r="I3218" t="s">
        <v>12</v>
      </c>
      <c r="J3218" t="s">
        <v>13988</v>
      </c>
    </row>
    <row r="3219" spans="1:10" x14ac:dyDescent="0.25">
      <c r="A3219">
        <v>294241</v>
      </c>
      <c r="B3219" t="s">
        <v>3375</v>
      </c>
      <c r="C3219" t="str">
        <f>"9780750678957"</f>
        <v>9780750678957</v>
      </c>
      <c r="D3219" t="str">
        <f>"9780080479101"</f>
        <v>9780080479101</v>
      </c>
      <c r="E3219" t="s">
        <v>15</v>
      </c>
      <c r="F3219" t="s">
        <v>16</v>
      </c>
      <c r="G3219" s="1">
        <v>40751</v>
      </c>
      <c r="H3219" s="1">
        <v>40084</v>
      </c>
      <c r="I3219" t="s">
        <v>12</v>
      </c>
      <c r="J3219" t="s">
        <v>13989</v>
      </c>
    </row>
    <row r="3220" spans="1:10" x14ac:dyDescent="0.25">
      <c r="A3220">
        <v>294242</v>
      </c>
      <c r="B3220" t="s">
        <v>3376</v>
      </c>
      <c r="C3220" t="str">
        <f>"9780750679404"</f>
        <v>9780750679404</v>
      </c>
      <c r="D3220" t="str">
        <f>"9780080479118"</f>
        <v>9780080479118</v>
      </c>
      <c r="E3220" t="s">
        <v>15</v>
      </c>
      <c r="F3220" t="s">
        <v>16</v>
      </c>
      <c r="G3220" s="1">
        <v>38768</v>
      </c>
      <c r="H3220" s="1">
        <v>39317</v>
      </c>
      <c r="I3220" t="s">
        <v>12</v>
      </c>
      <c r="J3220" t="s">
        <v>13990</v>
      </c>
    </row>
    <row r="3221" spans="1:10" x14ac:dyDescent="0.25">
      <c r="A3221">
        <v>294243</v>
      </c>
      <c r="B3221" t="s">
        <v>3377</v>
      </c>
      <c r="C3221" t="str">
        <f>"9780750658416"</f>
        <v>9780750658416</v>
      </c>
      <c r="D3221" t="str">
        <f>"9780080479170"</f>
        <v>9780080479170</v>
      </c>
      <c r="E3221" t="s">
        <v>15</v>
      </c>
      <c r="F3221" t="s">
        <v>16</v>
      </c>
      <c r="G3221" s="1">
        <v>37590</v>
      </c>
      <c r="H3221" s="1">
        <v>39251</v>
      </c>
      <c r="I3221" t="s">
        <v>12</v>
      </c>
      <c r="J3221" t="s">
        <v>13991</v>
      </c>
    </row>
    <row r="3222" spans="1:10" x14ac:dyDescent="0.25">
      <c r="A3222">
        <v>294251</v>
      </c>
      <c r="B3222" t="s">
        <v>3378</v>
      </c>
      <c r="C3222" t="str">
        <f>"9781932266566"</f>
        <v>9781932266566</v>
      </c>
      <c r="D3222" t="str">
        <f>"9780080479262"</f>
        <v>9780080479262</v>
      </c>
      <c r="E3222" t="s">
        <v>2415</v>
      </c>
      <c r="F3222" t="s">
        <v>2416</v>
      </c>
      <c r="G3222" s="1">
        <v>37903</v>
      </c>
      <c r="H3222" s="1">
        <v>39307</v>
      </c>
      <c r="I3222" t="s">
        <v>12</v>
      </c>
      <c r="J3222" t="s">
        <v>13992</v>
      </c>
    </row>
    <row r="3223" spans="1:10" x14ac:dyDescent="0.25">
      <c r="A3223">
        <v>294252</v>
      </c>
      <c r="B3223" t="s">
        <v>3379</v>
      </c>
      <c r="C3223" t="str">
        <f>"9781932266542"</f>
        <v>9781932266542</v>
      </c>
      <c r="D3223" t="str">
        <f>"9780080479286"</f>
        <v>9780080479286</v>
      </c>
      <c r="E3223" t="s">
        <v>2415</v>
      </c>
      <c r="F3223" t="s">
        <v>2416</v>
      </c>
      <c r="G3223" s="1">
        <v>38047</v>
      </c>
      <c r="H3223" s="1">
        <v>39307</v>
      </c>
      <c r="I3223" t="s">
        <v>12</v>
      </c>
      <c r="J3223" t="s">
        <v>13993</v>
      </c>
    </row>
    <row r="3224" spans="1:10" x14ac:dyDescent="0.25">
      <c r="A3224">
        <v>294254</v>
      </c>
      <c r="B3224" t="s">
        <v>3380</v>
      </c>
      <c r="C3224" t="str">
        <f>"9781931836937"</f>
        <v>9781931836937</v>
      </c>
      <c r="D3224" t="str">
        <f>"9780080479309"</f>
        <v>9780080479309</v>
      </c>
      <c r="E3224" t="s">
        <v>2415</v>
      </c>
      <c r="F3224" t="s">
        <v>2416</v>
      </c>
      <c r="G3224" s="1">
        <v>37910</v>
      </c>
      <c r="H3224" s="1">
        <v>39307</v>
      </c>
      <c r="I3224" t="s">
        <v>12</v>
      </c>
      <c r="J3224" t="s">
        <v>13994</v>
      </c>
    </row>
    <row r="3225" spans="1:10" x14ac:dyDescent="0.25">
      <c r="A3225">
        <v>294257</v>
      </c>
      <c r="B3225" t="s">
        <v>3381</v>
      </c>
      <c r="C3225" t="str">
        <f>"9781932266573"</f>
        <v>9781932266573</v>
      </c>
      <c r="D3225" t="str">
        <f>"9780080479323"</f>
        <v>9780080479323</v>
      </c>
      <c r="E3225" t="s">
        <v>2415</v>
      </c>
      <c r="F3225" t="s">
        <v>2416</v>
      </c>
      <c r="G3225" s="1">
        <v>37936</v>
      </c>
      <c r="H3225" s="1">
        <v>39307</v>
      </c>
      <c r="I3225" t="s">
        <v>12</v>
      </c>
      <c r="J3225" t="s">
        <v>13995</v>
      </c>
    </row>
    <row r="3226" spans="1:10" x14ac:dyDescent="0.25">
      <c r="A3226">
        <v>294282</v>
      </c>
      <c r="B3226" t="s">
        <v>3382</v>
      </c>
      <c r="C3226" t="str">
        <f>"9780750682978"</f>
        <v>9780750682978</v>
      </c>
      <c r="D3226" t="str">
        <f>"9780080479637"</f>
        <v>9780080479637</v>
      </c>
      <c r="E3226" t="s">
        <v>15</v>
      </c>
      <c r="F3226" t="s">
        <v>16</v>
      </c>
      <c r="G3226" s="1">
        <v>40743</v>
      </c>
      <c r="H3226" s="1">
        <v>39226</v>
      </c>
      <c r="I3226" t="s">
        <v>12</v>
      </c>
      <c r="J3226" t="s">
        <v>13996</v>
      </c>
    </row>
    <row r="3227" spans="1:10" x14ac:dyDescent="0.25">
      <c r="A3227">
        <v>294284</v>
      </c>
      <c r="B3227" t="s">
        <v>3383</v>
      </c>
      <c r="C3227" t="str">
        <f>"9780123725400"</f>
        <v>9780123725400</v>
      </c>
      <c r="D3227" t="str">
        <f>"9780080479675"</f>
        <v>9780080479675</v>
      </c>
      <c r="E3227" t="s">
        <v>1119</v>
      </c>
      <c r="F3227" t="s">
        <v>1120</v>
      </c>
      <c r="G3227" s="1">
        <v>39276</v>
      </c>
      <c r="H3227" s="1">
        <v>42341</v>
      </c>
      <c r="I3227" t="s">
        <v>12</v>
      </c>
      <c r="J3227" t="s">
        <v>13997</v>
      </c>
    </row>
    <row r="3228" spans="1:10" x14ac:dyDescent="0.25">
      <c r="A3228">
        <v>294332</v>
      </c>
      <c r="B3228" t="s">
        <v>3384</v>
      </c>
      <c r="C3228" t="str">
        <f>"9780750657242"</f>
        <v>9780750657242</v>
      </c>
      <c r="D3228" t="str">
        <f>"9780080480510"</f>
        <v>9780080480510</v>
      </c>
      <c r="E3228" t="s">
        <v>15</v>
      </c>
      <c r="F3228" t="s">
        <v>16</v>
      </c>
      <c r="G3228" s="1">
        <v>37972</v>
      </c>
      <c r="H3228" s="1">
        <v>39226</v>
      </c>
      <c r="I3228" t="s">
        <v>12</v>
      </c>
      <c r="J3228" t="s">
        <v>13998</v>
      </c>
    </row>
    <row r="3229" spans="1:10" x14ac:dyDescent="0.25">
      <c r="A3229">
        <v>294348</v>
      </c>
      <c r="B3229" t="s">
        <v>3385</v>
      </c>
      <c r="C3229" t="str">
        <f>"9780750679220"</f>
        <v>9780750679220</v>
      </c>
      <c r="D3229" t="str">
        <f>"9780080480725"</f>
        <v>9780080480725</v>
      </c>
      <c r="E3229" t="s">
        <v>1119</v>
      </c>
      <c r="F3229" t="s">
        <v>2125</v>
      </c>
      <c r="G3229" s="1">
        <v>38813</v>
      </c>
      <c r="H3229" s="1">
        <v>42341</v>
      </c>
      <c r="I3229" t="s">
        <v>12</v>
      </c>
      <c r="J3229" t="s">
        <v>13999</v>
      </c>
    </row>
    <row r="3230" spans="1:10" x14ac:dyDescent="0.25">
      <c r="A3230">
        <v>294350</v>
      </c>
      <c r="B3230" t="s">
        <v>3386</v>
      </c>
      <c r="C3230" t="str">
        <f>"9780125588225"</f>
        <v>9780125588225</v>
      </c>
      <c r="D3230" t="str">
        <f>"9780080480756"</f>
        <v>9780080480756</v>
      </c>
      <c r="E3230" t="s">
        <v>1119</v>
      </c>
      <c r="F3230" t="s">
        <v>1120</v>
      </c>
      <c r="G3230" s="1">
        <v>37449</v>
      </c>
      <c r="H3230" s="1">
        <v>39226</v>
      </c>
      <c r="I3230" t="s">
        <v>12</v>
      </c>
      <c r="J3230" t="s">
        <v>14000</v>
      </c>
    </row>
    <row r="3231" spans="1:10" x14ac:dyDescent="0.25">
      <c r="A3231">
        <v>294362</v>
      </c>
      <c r="B3231" t="s">
        <v>3387</v>
      </c>
      <c r="C3231" t="str">
        <f>"9780120884735"</f>
        <v>9780120884735</v>
      </c>
      <c r="D3231" t="str">
        <f>"9780080480893"</f>
        <v>9780080480893</v>
      </c>
      <c r="E3231" t="s">
        <v>1119</v>
      </c>
      <c r="F3231" t="s">
        <v>1120</v>
      </c>
      <c r="G3231" s="1">
        <v>38723</v>
      </c>
      <c r="H3231" s="1">
        <v>39226</v>
      </c>
      <c r="I3231" t="s">
        <v>12</v>
      </c>
      <c r="J3231" t="s">
        <v>14001</v>
      </c>
    </row>
    <row r="3232" spans="1:10" x14ac:dyDescent="0.25">
      <c r="A3232">
        <v>294366</v>
      </c>
      <c r="B3232" t="s">
        <v>3388</v>
      </c>
      <c r="C3232" t="str">
        <f>"9780750675239"</f>
        <v>9780750675239</v>
      </c>
      <c r="D3232" t="str">
        <f>"9780080480947"</f>
        <v>9780080480947</v>
      </c>
      <c r="E3232" t="s">
        <v>15</v>
      </c>
      <c r="F3232" t="s">
        <v>16</v>
      </c>
      <c r="G3232" s="1">
        <v>40777</v>
      </c>
      <c r="H3232" s="1">
        <v>40171</v>
      </c>
      <c r="I3232" t="s">
        <v>12</v>
      </c>
      <c r="J3232" t="s">
        <v>14002</v>
      </c>
    </row>
    <row r="3233" spans="1:10" x14ac:dyDescent="0.25">
      <c r="A3233">
        <v>294385</v>
      </c>
      <c r="B3233" t="s">
        <v>3389</v>
      </c>
      <c r="C3233" t="str">
        <f>"9780240808734"</f>
        <v>9780240808734</v>
      </c>
      <c r="D3233" t="str">
        <f>"9780080481227"</f>
        <v>9780080481227</v>
      </c>
      <c r="E3233" t="s">
        <v>15</v>
      </c>
      <c r="F3233" t="s">
        <v>1122</v>
      </c>
      <c r="G3233" s="1">
        <v>37818</v>
      </c>
      <c r="H3233" s="1">
        <v>39226</v>
      </c>
      <c r="I3233" t="s">
        <v>12</v>
      </c>
      <c r="J3233" t="s">
        <v>14003</v>
      </c>
    </row>
    <row r="3234" spans="1:10" x14ac:dyDescent="0.25">
      <c r="A3234">
        <v>294408</v>
      </c>
      <c r="B3234" t="s">
        <v>3390</v>
      </c>
      <c r="C3234" t="str">
        <f>"9780240809229"</f>
        <v>9780240809229</v>
      </c>
      <c r="D3234" t="str">
        <f>"9780080478517"</f>
        <v>9780080478517</v>
      </c>
      <c r="E3234" t="s">
        <v>15</v>
      </c>
      <c r="F3234" t="s">
        <v>16</v>
      </c>
      <c r="G3234" s="1">
        <v>39195</v>
      </c>
      <c r="H3234" s="1">
        <v>39226</v>
      </c>
      <c r="I3234" t="s">
        <v>12</v>
      </c>
      <c r="J3234" t="s">
        <v>14004</v>
      </c>
    </row>
    <row r="3235" spans="1:10" x14ac:dyDescent="0.25">
      <c r="A3235">
        <v>294546</v>
      </c>
      <c r="B3235" t="s">
        <v>3391</v>
      </c>
      <c r="C3235" t="str">
        <f>"9780750666800"</f>
        <v>9780750666800</v>
      </c>
      <c r="D3235" t="str">
        <f>"9780080492544"</f>
        <v>9780080492544</v>
      </c>
      <c r="E3235" t="s">
        <v>16</v>
      </c>
      <c r="F3235" t="s">
        <v>16</v>
      </c>
      <c r="G3235" s="1">
        <v>38482</v>
      </c>
      <c r="H3235" s="1">
        <v>39357</v>
      </c>
      <c r="I3235" t="s">
        <v>12</v>
      </c>
      <c r="J3235" t="s">
        <v>14005</v>
      </c>
    </row>
    <row r="3236" spans="1:10" x14ac:dyDescent="0.25">
      <c r="A3236">
        <v>294561</v>
      </c>
      <c r="B3236" t="s">
        <v>3392</v>
      </c>
      <c r="C3236" t="str">
        <f>"9780122990533"</f>
        <v>9780122990533</v>
      </c>
      <c r="D3236" t="str">
        <f>"9780080476810"</f>
        <v>9780080476810</v>
      </c>
      <c r="E3236" t="s">
        <v>1119</v>
      </c>
      <c r="F3236" t="s">
        <v>1120</v>
      </c>
      <c r="G3236" s="1">
        <v>39161</v>
      </c>
      <c r="H3236" s="1">
        <v>42341</v>
      </c>
      <c r="I3236" t="s">
        <v>12</v>
      </c>
      <c r="J3236" t="s">
        <v>14006</v>
      </c>
    </row>
    <row r="3237" spans="1:10" x14ac:dyDescent="0.25">
      <c r="A3237">
        <v>294568</v>
      </c>
      <c r="B3237" t="s">
        <v>3393</v>
      </c>
      <c r="C3237" t="str">
        <f>"9780240519289"</f>
        <v>9780240519289</v>
      </c>
      <c r="D3237" t="str">
        <f>"9780080492599"</f>
        <v>9780080492599</v>
      </c>
      <c r="E3237" t="s">
        <v>15</v>
      </c>
      <c r="F3237" t="s">
        <v>1122</v>
      </c>
      <c r="G3237" s="1">
        <v>39149</v>
      </c>
      <c r="H3237" s="1">
        <v>39241</v>
      </c>
      <c r="I3237" t="s">
        <v>12</v>
      </c>
      <c r="J3237" t="s">
        <v>14007</v>
      </c>
    </row>
    <row r="3238" spans="1:10" x14ac:dyDescent="0.25">
      <c r="A3238">
        <v>294584</v>
      </c>
      <c r="B3238" t="s">
        <v>3394</v>
      </c>
      <c r="C3238" t="str">
        <f>"9780750666848"</f>
        <v>9780750666848</v>
      </c>
      <c r="D3238" t="str">
        <f>"9781136410543"</f>
        <v>9781136410543</v>
      </c>
      <c r="E3238" t="s">
        <v>15</v>
      </c>
      <c r="F3238" t="s">
        <v>16</v>
      </c>
      <c r="G3238" s="1">
        <v>39234</v>
      </c>
      <c r="H3238" s="1">
        <v>39241</v>
      </c>
      <c r="I3238" t="s">
        <v>12</v>
      </c>
      <c r="J3238" t="s">
        <v>14008</v>
      </c>
    </row>
    <row r="3239" spans="1:10" x14ac:dyDescent="0.25">
      <c r="A3239">
        <v>294598</v>
      </c>
      <c r="B3239" t="s">
        <v>3395</v>
      </c>
      <c r="C3239" t="str">
        <f>"9780750666879"</f>
        <v>9780750666879</v>
      </c>
      <c r="D3239" t="str">
        <f>"9780080492698"</f>
        <v>9780080492698</v>
      </c>
      <c r="E3239" t="s">
        <v>15</v>
      </c>
      <c r="F3239" t="s">
        <v>16</v>
      </c>
      <c r="G3239" s="1">
        <v>38482</v>
      </c>
      <c r="H3239" s="1">
        <v>39241</v>
      </c>
      <c r="I3239" t="s">
        <v>12</v>
      </c>
      <c r="J3239" t="s">
        <v>14009</v>
      </c>
    </row>
    <row r="3240" spans="1:10" x14ac:dyDescent="0.25">
      <c r="A3240">
        <v>294616</v>
      </c>
      <c r="B3240" t="s">
        <v>3396</v>
      </c>
      <c r="C3240" t="str">
        <f>"9780750666886"</f>
        <v>9780750666886</v>
      </c>
      <c r="D3240" t="str">
        <f>"9780080492735"</f>
        <v>9780080492735</v>
      </c>
      <c r="E3240" t="s">
        <v>16</v>
      </c>
      <c r="F3240" t="s">
        <v>16</v>
      </c>
      <c r="G3240" s="1">
        <v>38482</v>
      </c>
      <c r="H3240" s="1">
        <v>39356</v>
      </c>
      <c r="I3240" t="s">
        <v>12</v>
      </c>
      <c r="J3240" t="s">
        <v>14010</v>
      </c>
    </row>
    <row r="3241" spans="1:10" x14ac:dyDescent="0.25">
      <c r="A3241">
        <v>294627</v>
      </c>
      <c r="B3241" t="s">
        <v>3397</v>
      </c>
      <c r="C3241" t="str">
        <f>"9780750647328"</f>
        <v>9780750647328</v>
      </c>
      <c r="D3241" t="str">
        <f>"9780080491745"</f>
        <v>9780080491745</v>
      </c>
      <c r="E3241" t="s">
        <v>1119</v>
      </c>
      <c r="F3241" t="s">
        <v>2125</v>
      </c>
      <c r="G3241" s="1">
        <v>36647</v>
      </c>
      <c r="H3241" s="1">
        <v>39251</v>
      </c>
      <c r="I3241" t="s">
        <v>12</v>
      </c>
      <c r="J3241" t="s">
        <v>14011</v>
      </c>
    </row>
    <row r="3242" spans="1:10" x14ac:dyDescent="0.25">
      <c r="A3242">
        <v>294642</v>
      </c>
      <c r="B3242" t="s">
        <v>3398</v>
      </c>
      <c r="C3242" t="str">
        <f>"9780750661331"</f>
        <v>9780750661331</v>
      </c>
      <c r="D3242" t="str">
        <f>"9780080492926"</f>
        <v>9780080492926</v>
      </c>
      <c r="E3242" t="s">
        <v>15</v>
      </c>
      <c r="F3242" t="s">
        <v>16</v>
      </c>
      <c r="G3242" s="1">
        <v>38405</v>
      </c>
      <c r="H3242" s="1">
        <v>40171</v>
      </c>
      <c r="I3242" t="s">
        <v>12</v>
      </c>
      <c r="J3242" t="s">
        <v>14012</v>
      </c>
    </row>
    <row r="3243" spans="1:10" x14ac:dyDescent="0.25">
      <c r="A3243">
        <v>294656</v>
      </c>
      <c r="B3243" t="s">
        <v>3399</v>
      </c>
      <c r="C3243" t="str">
        <f>"9780240807973"</f>
        <v>9780240807973</v>
      </c>
      <c r="D3243" t="str">
        <f>"9780080480077"</f>
        <v>9780080480077</v>
      </c>
      <c r="E3243" t="s">
        <v>15</v>
      </c>
      <c r="F3243" t="s">
        <v>1122</v>
      </c>
      <c r="G3243" s="1">
        <v>39143</v>
      </c>
      <c r="H3243" s="1">
        <v>39241</v>
      </c>
      <c r="I3243" t="s">
        <v>12</v>
      </c>
      <c r="J3243" t="s">
        <v>14013</v>
      </c>
    </row>
    <row r="3244" spans="1:10" x14ac:dyDescent="0.25">
      <c r="A3244">
        <v>294663</v>
      </c>
      <c r="B3244" t="s">
        <v>3400</v>
      </c>
      <c r="C3244" t="str">
        <f>"9780240519029"</f>
        <v>9780240519029</v>
      </c>
      <c r="D3244" t="str">
        <f>"9780080492179"</f>
        <v>9780080492179</v>
      </c>
      <c r="E3244" t="s">
        <v>15</v>
      </c>
      <c r="F3244" t="s">
        <v>1122</v>
      </c>
      <c r="G3244" s="1">
        <v>37636</v>
      </c>
      <c r="H3244" s="1">
        <v>39241</v>
      </c>
      <c r="I3244" t="s">
        <v>12</v>
      </c>
      <c r="J3244" t="s">
        <v>14014</v>
      </c>
    </row>
    <row r="3245" spans="1:10" x14ac:dyDescent="0.25">
      <c r="A3245">
        <v>294664</v>
      </c>
      <c r="B3245" t="s">
        <v>3401</v>
      </c>
      <c r="C3245" t="str">
        <f>"9780750666831"</f>
        <v>9780750666831</v>
      </c>
      <c r="D3245" t="str">
        <f>"9781136371349"</f>
        <v>9781136371349</v>
      </c>
      <c r="E3245" t="s">
        <v>15</v>
      </c>
      <c r="F3245" t="s">
        <v>16</v>
      </c>
      <c r="G3245" s="1">
        <v>38482</v>
      </c>
      <c r="H3245" s="1">
        <v>39241</v>
      </c>
      <c r="I3245" t="s">
        <v>12</v>
      </c>
      <c r="J3245" t="s">
        <v>14015</v>
      </c>
    </row>
    <row r="3246" spans="1:10" x14ac:dyDescent="0.25">
      <c r="A3246">
        <v>294670</v>
      </c>
      <c r="B3246" t="s">
        <v>3402</v>
      </c>
      <c r="C3246" t="str">
        <f>"9780750666817"</f>
        <v>9780750666817</v>
      </c>
      <c r="D3246" t="str">
        <f>"9781136368752"</f>
        <v>9781136368752</v>
      </c>
      <c r="E3246" t="s">
        <v>15</v>
      </c>
      <c r="F3246" t="s">
        <v>16</v>
      </c>
      <c r="G3246" s="1">
        <v>39234</v>
      </c>
      <c r="H3246" s="1">
        <v>39241</v>
      </c>
      <c r="I3246" t="s">
        <v>12</v>
      </c>
      <c r="J3246" t="s">
        <v>14016</v>
      </c>
    </row>
    <row r="3247" spans="1:10" x14ac:dyDescent="0.25">
      <c r="A3247">
        <v>294677</v>
      </c>
      <c r="B3247" t="s">
        <v>3403</v>
      </c>
      <c r="C3247" t="str">
        <f>"9780750662185"</f>
        <v>9780750662185</v>
      </c>
      <c r="D3247" t="str">
        <f>"9780080493084"</f>
        <v>9780080493084</v>
      </c>
      <c r="E3247" t="s">
        <v>15</v>
      </c>
      <c r="F3247" t="s">
        <v>16</v>
      </c>
      <c r="G3247" s="1">
        <v>38588</v>
      </c>
      <c r="H3247" s="1">
        <v>40171</v>
      </c>
      <c r="I3247" t="s">
        <v>12</v>
      </c>
      <c r="J3247" t="s">
        <v>14017</v>
      </c>
    </row>
    <row r="3248" spans="1:10" x14ac:dyDescent="0.25">
      <c r="A3248">
        <v>294731</v>
      </c>
      <c r="B3248" t="s">
        <v>3404</v>
      </c>
      <c r="C3248" t="str">
        <f>"9780750675925"</f>
        <v>9780750675925</v>
      </c>
      <c r="D3248" t="str">
        <f>"9780080491561"</f>
        <v>9780080491561</v>
      </c>
      <c r="E3248" t="s">
        <v>15</v>
      </c>
      <c r="F3248" t="s">
        <v>16</v>
      </c>
      <c r="G3248" s="1">
        <v>40772</v>
      </c>
      <c r="H3248" s="1">
        <v>40171</v>
      </c>
      <c r="I3248" t="s">
        <v>12</v>
      </c>
      <c r="J3248" t="s">
        <v>14018</v>
      </c>
    </row>
    <row r="3249" spans="1:10" x14ac:dyDescent="0.25">
      <c r="A3249">
        <v>294732</v>
      </c>
      <c r="B3249" t="s">
        <v>3405</v>
      </c>
      <c r="C3249" t="str">
        <f>"9780240807980"</f>
        <v>9780240807980</v>
      </c>
      <c r="D3249" t="str">
        <f>"9780080479460"</f>
        <v>9780080479460</v>
      </c>
      <c r="E3249" t="s">
        <v>15</v>
      </c>
      <c r="F3249" t="s">
        <v>16</v>
      </c>
      <c r="G3249" s="1">
        <v>39146</v>
      </c>
      <c r="H3249" s="1">
        <v>39366</v>
      </c>
      <c r="I3249" t="s">
        <v>12</v>
      </c>
      <c r="J3249" t="s">
        <v>14019</v>
      </c>
    </row>
    <row r="3250" spans="1:10" x14ac:dyDescent="0.25">
      <c r="A3250">
        <v>294733</v>
      </c>
      <c r="B3250" t="s">
        <v>3406</v>
      </c>
      <c r="C3250" t="str">
        <f>"9780240804873"</f>
        <v>9780240804873</v>
      </c>
      <c r="D3250" t="str">
        <f>"9780080492407"</f>
        <v>9780080492407</v>
      </c>
      <c r="E3250" t="s">
        <v>15</v>
      </c>
      <c r="F3250" t="s">
        <v>16</v>
      </c>
      <c r="G3250" s="1">
        <v>37245</v>
      </c>
      <c r="H3250" s="1">
        <v>39241</v>
      </c>
      <c r="I3250" t="s">
        <v>12</v>
      </c>
      <c r="J3250" t="s">
        <v>14020</v>
      </c>
    </row>
    <row r="3251" spans="1:10" x14ac:dyDescent="0.25">
      <c r="A3251">
        <v>294741</v>
      </c>
      <c r="B3251" t="s">
        <v>3407</v>
      </c>
      <c r="C3251" t="str">
        <f>"9780851995533"</f>
        <v>9780851995533</v>
      </c>
      <c r="D3251" t="str">
        <f>"9780851997568"</f>
        <v>9780851997568</v>
      </c>
      <c r="E3251" t="s">
        <v>2878</v>
      </c>
      <c r="F3251" t="s">
        <v>2879</v>
      </c>
      <c r="G3251" s="1">
        <v>37257</v>
      </c>
      <c r="H3251" s="1">
        <v>39241</v>
      </c>
      <c r="I3251" t="s">
        <v>12</v>
      </c>
      <c r="J3251" t="s">
        <v>14021</v>
      </c>
    </row>
    <row r="3252" spans="1:10" x14ac:dyDescent="0.25">
      <c r="A3252">
        <v>294746</v>
      </c>
      <c r="B3252" t="s">
        <v>3408</v>
      </c>
      <c r="C3252" t="str">
        <f>"9780851995724"</f>
        <v>9780851995724</v>
      </c>
      <c r="D3252" t="str">
        <f>"9780851997643"</f>
        <v>9780851997643</v>
      </c>
      <c r="E3252" t="s">
        <v>2878</v>
      </c>
      <c r="F3252" t="s">
        <v>2879</v>
      </c>
      <c r="G3252" s="1">
        <v>36892</v>
      </c>
      <c r="H3252" s="1">
        <v>39241</v>
      </c>
      <c r="I3252" t="s">
        <v>12</v>
      </c>
      <c r="J3252" t="s">
        <v>14022</v>
      </c>
    </row>
    <row r="3253" spans="1:10" x14ac:dyDescent="0.25">
      <c r="A3253">
        <v>294751</v>
      </c>
      <c r="B3253" t="s">
        <v>3409</v>
      </c>
      <c r="C3253" t="str">
        <f>"9780851995847"</f>
        <v>9780851995847</v>
      </c>
      <c r="D3253" t="str">
        <f>"9780851998824"</f>
        <v>9780851998824</v>
      </c>
      <c r="E3253" t="s">
        <v>2878</v>
      </c>
      <c r="F3253" t="s">
        <v>2879</v>
      </c>
      <c r="G3253" s="1">
        <v>37257</v>
      </c>
      <c r="H3253" s="1">
        <v>39241</v>
      </c>
      <c r="I3253" t="s">
        <v>12</v>
      </c>
      <c r="J3253" t="s">
        <v>14023</v>
      </c>
    </row>
    <row r="3254" spans="1:10" x14ac:dyDescent="0.25">
      <c r="A3254">
        <v>294754</v>
      </c>
      <c r="B3254" t="s">
        <v>3410</v>
      </c>
      <c r="C3254" t="str">
        <f>"9780851995892"</f>
        <v>9780851995892</v>
      </c>
      <c r="D3254" t="str">
        <f>"9780851997599"</f>
        <v>9780851997599</v>
      </c>
      <c r="E3254" t="s">
        <v>2878</v>
      </c>
      <c r="F3254" t="s">
        <v>2879</v>
      </c>
      <c r="G3254" s="1">
        <v>37987</v>
      </c>
      <c r="H3254" s="1">
        <v>39241</v>
      </c>
      <c r="I3254" t="s">
        <v>12</v>
      </c>
      <c r="J3254" t="s">
        <v>14024</v>
      </c>
    </row>
    <row r="3255" spans="1:10" x14ac:dyDescent="0.25">
      <c r="A3255">
        <v>294759</v>
      </c>
      <c r="B3255" t="s">
        <v>3411</v>
      </c>
      <c r="C3255" t="str">
        <f>"9780851995960"</f>
        <v>9780851995960</v>
      </c>
      <c r="D3255" t="str">
        <f>"9780851999531"</f>
        <v>9780851999531</v>
      </c>
      <c r="E3255" t="s">
        <v>2878</v>
      </c>
      <c r="F3255" t="s">
        <v>2879</v>
      </c>
      <c r="G3255" s="1">
        <v>37987</v>
      </c>
      <c r="H3255" s="1">
        <v>39241</v>
      </c>
      <c r="I3255" t="s">
        <v>12</v>
      </c>
      <c r="J3255" t="s">
        <v>14025</v>
      </c>
    </row>
    <row r="3256" spans="1:10" x14ac:dyDescent="0.25">
      <c r="A3256">
        <v>294764</v>
      </c>
      <c r="B3256" t="s">
        <v>3412</v>
      </c>
      <c r="C3256" t="str">
        <f>"9780851996042"</f>
        <v>9780851996042</v>
      </c>
      <c r="D3256" t="str">
        <f>"9780851998565"</f>
        <v>9780851998565</v>
      </c>
      <c r="E3256" t="s">
        <v>2878</v>
      </c>
      <c r="F3256" t="s">
        <v>2879</v>
      </c>
      <c r="G3256" s="1">
        <v>37257</v>
      </c>
      <c r="H3256" s="1">
        <v>39241</v>
      </c>
      <c r="I3256" t="s">
        <v>12</v>
      </c>
      <c r="J3256" t="s">
        <v>14026</v>
      </c>
    </row>
    <row r="3257" spans="1:10" x14ac:dyDescent="0.25">
      <c r="A3257">
        <v>294956</v>
      </c>
      <c r="B3257" t="s">
        <v>3413</v>
      </c>
      <c r="C3257" t="str">
        <f>"9780826145925"</f>
        <v>9780826145925</v>
      </c>
      <c r="D3257" t="str">
        <f>"9780826103185"</f>
        <v>9780826103185</v>
      </c>
      <c r="E3257" t="s">
        <v>3016</v>
      </c>
      <c r="F3257" t="s">
        <v>3016</v>
      </c>
      <c r="G3257" s="1">
        <v>39083</v>
      </c>
      <c r="H3257" s="1">
        <v>39228</v>
      </c>
      <c r="I3257" t="s">
        <v>12</v>
      </c>
      <c r="J3257" t="s">
        <v>14027</v>
      </c>
    </row>
    <row r="3258" spans="1:10" x14ac:dyDescent="0.25">
      <c r="A3258">
        <v>294966</v>
      </c>
      <c r="B3258" t="s">
        <v>3414</v>
      </c>
      <c r="C3258" t="str">
        <f>"9780826115140"</f>
        <v>9780826115140</v>
      </c>
      <c r="D3258" t="str">
        <f>"9780826101136"</f>
        <v>9780826101136</v>
      </c>
      <c r="E3258" t="s">
        <v>3016</v>
      </c>
      <c r="F3258" t="s">
        <v>3016</v>
      </c>
      <c r="G3258" s="1">
        <v>39083</v>
      </c>
      <c r="H3258" s="1">
        <v>39227</v>
      </c>
      <c r="I3258" t="s">
        <v>12</v>
      </c>
      <c r="J3258" t="s">
        <v>14028</v>
      </c>
    </row>
    <row r="3259" spans="1:10" x14ac:dyDescent="0.25">
      <c r="A3259">
        <v>294974</v>
      </c>
      <c r="B3259" t="s">
        <v>3415</v>
      </c>
      <c r="C3259" t="str">
        <f>"9780826124074"</f>
        <v>9780826124074</v>
      </c>
      <c r="D3259" t="str">
        <f>"9780826101099"</f>
        <v>9780826101099</v>
      </c>
      <c r="E3259" t="s">
        <v>3016</v>
      </c>
      <c r="F3259" t="s">
        <v>3016</v>
      </c>
      <c r="G3259" s="1">
        <v>39083</v>
      </c>
      <c r="H3259" s="1">
        <v>39228</v>
      </c>
      <c r="I3259" t="s">
        <v>12</v>
      </c>
      <c r="J3259" t="s">
        <v>14029</v>
      </c>
    </row>
    <row r="3260" spans="1:10" x14ac:dyDescent="0.25">
      <c r="A3260">
        <v>294976</v>
      </c>
      <c r="B3260" t="s">
        <v>3416</v>
      </c>
      <c r="C3260" t="str">
        <f>"9780826102447"</f>
        <v>9780826102447</v>
      </c>
      <c r="D3260" t="str">
        <f>"9780826103093"</f>
        <v>9780826103093</v>
      </c>
      <c r="E3260" t="s">
        <v>3016</v>
      </c>
      <c r="F3260" t="s">
        <v>3016</v>
      </c>
      <c r="G3260" s="1">
        <v>39417</v>
      </c>
      <c r="H3260" s="1">
        <v>39227</v>
      </c>
      <c r="I3260" t="s">
        <v>12</v>
      </c>
      <c r="J3260" t="s">
        <v>14030</v>
      </c>
    </row>
    <row r="3261" spans="1:10" x14ac:dyDescent="0.25">
      <c r="A3261">
        <v>294990</v>
      </c>
      <c r="B3261" t="s">
        <v>3417</v>
      </c>
      <c r="C3261" t="str">
        <f>"9780749448707"</f>
        <v>9780749448707</v>
      </c>
      <c r="D3261" t="str">
        <f>"9780749451240"</f>
        <v>9780749451240</v>
      </c>
      <c r="E3261" t="s">
        <v>1059</v>
      </c>
      <c r="F3261" t="s">
        <v>1059</v>
      </c>
      <c r="G3261" s="1">
        <v>39052</v>
      </c>
      <c r="H3261" s="1">
        <v>39250</v>
      </c>
      <c r="I3261" t="s">
        <v>12</v>
      </c>
      <c r="J3261" t="s">
        <v>14031</v>
      </c>
    </row>
    <row r="3262" spans="1:10" x14ac:dyDescent="0.25">
      <c r="A3262">
        <v>294994</v>
      </c>
      <c r="B3262" t="s">
        <v>3418</v>
      </c>
      <c r="C3262" t="str">
        <f>"9780749447472"</f>
        <v>9780749447472</v>
      </c>
      <c r="D3262" t="str">
        <f>"9780749451288"</f>
        <v>9780749451288</v>
      </c>
      <c r="E3262" t="s">
        <v>1059</v>
      </c>
      <c r="F3262" t="s">
        <v>1059</v>
      </c>
      <c r="G3262" s="1">
        <v>39052</v>
      </c>
      <c r="H3262" s="1">
        <v>39250</v>
      </c>
      <c r="I3262" t="s">
        <v>12</v>
      </c>
      <c r="J3262" t="s">
        <v>14032</v>
      </c>
    </row>
    <row r="3263" spans="1:10" x14ac:dyDescent="0.25">
      <c r="A3263">
        <v>294997</v>
      </c>
      <c r="B3263" t="s">
        <v>3419</v>
      </c>
      <c r="C3263" t="str">
        <f>"9780749446338"</f>
        <v>9780749446338</v>
      </c>
      <c r="D3263" t="str">
        <f>"9780749451295"</f>
        <v>9780749451295</v>
      </c>
      <c r="E3263" t="s">
        <v>1770</v>
      </c>
      <c r="F3263" t="s">
        <v>1770</v>
      </c>
      <c r="G3263" s="1">
        <v>39142</v>
      </c>
      <c r="H3263" s="1">
        <v>39250</v>
      </c>
      <c r="I3263" t="s">
        <v>12</v>
      </c>
      <c r="J3263" t="s">
        <v>14033</v>
      </c>
    </row>
    <row r="3264" spans="1:10" x14ac:dyDescent="0.25">
      <c r="A3264">
        <v>295001</v>
      </c>
      <c r="B3264" t="s">
        <v>3420</v>
      </c>
      <c r="C3264" t="str">
        <f>"9780749447502"</f>
        <v>9780749447502</v>
      </c>
      <c r="D3264" t="str">
        <f>"9780749451332"</f>
        <v>9780749451332</v>
      </c>
      <c r="E3264" t="s">
        <v>1059</v>
      </c>
      <c r="F3264" t="s">
        <v>1059</v>
      </c>
      <c r="G3264" s="1">
        <v>39114</v>
      </c>
      <c r="H3264" s="1">
        <v>39250</v>
      </c>
      <c r="I3264" t="s">
        <v>12</v>
      </c>
      <c r="J3264" t="s">
        <v>14034</v>
      </c>
    </row>
    <row r="3265" spans="1:10" x14ac:dyDescent="0.25">
      <c r="A3265">
        <v>295004</v>
      </c>
      <c r="B3265" t="s">
        <v>3421</v>
      </c>
      <c r="C3265" t="str">
        <f>"9780749448004"</f>
        <v>9780749448004</v>
      </c>
      <c r="D3265" t="str">
        <f>"9780749451363"</f>
        <v>9780749451363</v>
      </c>
      <c r="E3265" t="s">
        <v>1059</v>
      </c>
      <c r="F3265" t="s">
        <v>1059</v>
      </c>
      <c r="G3265" s="1">
        <v>39236</v>
      </c>
      <c r="H3265" s="1">
        <v>39250</v>
      </c>
      <c r="I3265" t="s">
        <v>12</v>
      </c>
      <c r="J3265" t="s">
        <v>14035</v>
      </c>
    </row>
    <row r="3266" spans="1:10" x14ac:dyDescent="0.25">
      <c r="A3266">
        <v>295005</v>
      </c>
      <c r="B3266" t="s">
        <v>3422</v>
      </c>
      <c r="C3266" t="str">
        <f>"9780749449384"</f>
        <v>9780749449384</v>
      </c>
      <c r="D3266" t="str">
        <f>"9780749451370"</f>
        <v>9780749451370</v>
      </c>
      <c r="E3266" t="s">
        <v>1059</v>
      </c>
      <c r="F3266" t="s">
        <v>1059</v>
      </c>
      <c r="G3266" s="1">
        <v>39114</v>
      </c>
      <c r="H3266" s="1">
        <v>39250</v>
      </c>
      <c r="I3266" t="s">
        <v>12</v>
      </c>
      <c r="J3266" t="s">
        <v>14036</v>
      </c>
    </row>
    <row r="3267" spans="1:10" x14ac:dyDescent="0.25">
      <c r="A3267">
        <v>295007</v>
      </c>
      <c r="B3267" t="s">
        <v>3423</v>
      </c>
      <c r="C3267" t="str">
        <f>"9780749449315"</f>
        <v>9780749449315</v>
      </c>
      <c r="D3267" t="str">
        <f>"9780749451394"</f>
        <v>9780749451394</v>
      </c>
      <c r="E3267" t="s">
        <v>1059</v>
      </c>
      <c r="F3267" t="s">
        <v>1059</v>
      </c>
      <c r="G3267" s="1">
        <v>39144</v>
      </c>
      <c r="H3267" s="1">
        <v>39250</v>
      </c>
      <c r="I3267" t="s">
        <v>12</v>
      </c>
      <c r="J3267" t="s">
        <v>14037</v>
      </c>
    </row>
    <row r="3268" spans="1:10" x14ac:dyDescent="0.25">
      <c r="A3268">
        <v>295008</v>
      </c>
      <c r="B3268" t="s">
        <v>3424</v>
      </c>
      <c r="C3268" t="str">
        <f>"9780749444921"</f>
        <v>9780749444921</v>
      </c>
      <c r="D3268" t="str">
        <f>"9780749451400"</f>
        <v>9780749451400</v>
      </c>
      <c r="E3268" t="s">
        <v>1770</v>
      </c>
      <c r="F3268" t="s">
        <v>1770</v>
      </c>
      <c r="G3268" s="1">
        <v>39203</v>
      </c>
      <c r="H3268" s="1">
        <v>39250</v>
      </c>
      <c r="I3268" t="s">
        <v>12</v>
      </c>
      <c r="J3268" t="s">
        <v>14038</v>
      </c>
    </row>
    <row r="3269" spans="1:10" x14ac:dyDescent="0.25">
      <c r="A3269">
        <v>295009</v>
      </c>
      <c r="B3269" t="s">
        <v>3425</v>
      </c>
      <c r="C3269" t="str">
        <f>"9780749449735"</f>
        <v>9780749449735</v>
      </c>
      <c r="D3269" t="str">
        <f>"9780749451417"</f>
        <v>9780749451417</v>
      </c>
      <c r="E3269" t="s">
        <v>1059</v>
      </c>
      <c r="F3269" t="s">
        <v>1059</v>
      </c>
      <c r="G3269" s="1">
        <v>39142</v>
      </c>
      <c r="H3269" s="1">
        <v>39250</v>
      </c>
      <c r="I3269" t="s">
        <v>12</v>
      </c>
      <c r="J3269" t="s">
        <v>14039</v>
      </c>
    </row>
    <row r="3270" spans="1:10" x14ac:dyDescent="0.25">
      <c r="A3270">
        <v>295010</v>
      </c>
      <c r="B3270" t="s">
        <v>3426</v>
      </c>
      <c r="C3270" t="str">
        <f>"9780749449421"</f>
        <v>9780749449421</v>
      </c>
      <c r="D3270" t="str">
        <f>"9780749451424"</f>
        <v>9780749451424</v>
      </c>
      <c r="E3270" t="s">
        <v>1059</v>
      </c>
      <c r="F3270" t="s">
        <v>1059</v>
      </c>
      <c r="G3270" s="1">
        <v>39142</v>
      </c>
      <c r="H3270" s="1">
        <v>39250</v>
      </c>
      <c r="I3270" t="s">
        <v>12</v>
      </c>
      <c r="J3270" t="s">
        <v>14040</v>
      </c>
    </row>
    <row r="3271" spans="1:10" x14ac:dyDescent="0.25">
      <c r="A3271">
        <v>295011</v>
      </c>
      <c r="B3271" t="s">
        <v>3427</v>
      </c>
      <c r="C3271" t="str">
        <f>"9780749449407"</f>
        <v>9780749449407</v>
      </c>
      <c r="D3271" t="str">
        <f>"9780749451431"</f>
        <v>9780749451431</v>
      </c>
      <c r="E3271" t="s">
        <v>1059</v>
      </c>
      <c r="F3271" t="s">
        <v>1059</v>
      </c>
      <c r="G3271" s="1">
        <v>39142</v>
      </c>
      <c r="H3271" s="1">
        <v>39250</v>
      </c>
      <c r="I3271" t="s">
        <v>12</v>
      </c>
      <c r="J3271" t="s">
        <v>14041</v>
      </c>
    </row>
    <row r="3272" spans="1:10" x14ac:dyDescent="0.25">
      <c r="A3272">
        <v>295019</v>
      </c>
      <c r="B3272" t="s">
        <v>3428</v>
      </c>
      <c r="C3272" t="str">
        <f>"9781556525728"</f>
        <v>9781556525728</v>
      </c>
      <c r="D3272" t="str">
        <f>"9781556526800"</f>
        <v>9781556526800</v>
      </c>
      <c r="E3272" t="s">
        <v>3090</v>
      </c>
      <c r="F3272" t="s">
        <v>3090</v>
      </c>
      <c r="G3272" s="1">
        <v>38534</v>
      </c>
      <c r="H3272" s="1">
        <v>39229</v>
      </c>
      <c r="I3272" t="s">
        <v>12</v>
      </c>
      <c r="J3272" t="s">
        <v>14042</v>
      </c>
    </row>
    <row r="3273" spans="1:10" x14ac:dyDescent="0.25">
      <c r="A3273">
        <v>295045</v>
      </c>
      <c r="B3273" t="s">
        <v>3429</v>
      </c>
      <c r="C3273" t="str">
        <f>"9780851996639"</f>
        <v>9780851996639</v>
      </c>
      <c r="D3273" t="str">
        <f>"9780851998466"</f>
        <v>9780851998466</v>
      </c>
      <c r="E3273" t="s">
        <v>2878</v>
      </c>
      <c r="F3273" t="s">
        <v>2879</v>
      </c>
      <c r="G3273" s="1">
        <v>37622</v>
      </c>
      <c r="H3273" s="1">
        <v>39229</v>
      </c>
      <c r="I3273" t="s">
        <v>12</v>
      </c>
      <c r="J3273" t="s">
        <v>14043</v>
      </c>
    </row>
    <row r="3274" spans="1:10" x14ac:dyDescent="0.25">
      <c r="A3274">
        <v>295047</v>
      </c>
      <c r="B3274" t="s">
        <v>3430</v>
      </c>
      <c r="C3274" t="str">
        <f>"9780851996370"</f>
        <v>9780851996370</v>
      </c>
      <c r="D3274" t="str">
        <f>"9780851997735"</f>
        <v>9780851997735</v>
      </c>
      <c r="E3274" t="s">
        <v>2878</v>
      </c>
      <c r="F3274" t="s">
        <v>2879</v>
      </c>
      <c r="G3274" s="1">
        <v>37257</v>
      </c>
      <c r="H3274" s="1">
        <v>39229</v>
      </c>
      <c r="I3274" t="s">
        <v>12</v>
      </c>
      <c r="J3274" t="s">
        <v>14044</v>
      </c>
    </row>
    <row r="3275" spans="1:10" x14ac:dyDescent="0.25">
      <c r="A3275">
        <v>295051</v>
      </c>
      <c r="B3275" t="s">
        <v>3431</v>
      </c>
      <c r="C3275" t="str">
        <f>"9780851996653"</f>
        <v>9780851996653</v>
      </c>
      <c r="D3275" t="str">
        <f>"9780851997698"</f>
        <v>9780851997698</v>
      </c>
      <c r="E3275" t="s">
        <v>2878</v>
      </c>
      <c r="F3275" t="s">
        <v>2879</v>
      </c>
      <c r="G3275" s="1">
        <v>37622</v>
      </c>
      <c r="H3275" s="1">
        <v>39229</v>
      </c>
      <c r="I3275" t="s">
        <v>12</v>
      </c>
      <c r="J3275" t="s">
        <v>14045</v>
      </c>
    </row>
    <row r="3276" spans="1:10" x14ac:dyDescent="0.25">
      <c r="A3276">
        <v>295054</v>
      </c>
      <c r="B3276" t="s">
        <v>3432</v>
      </c>
      <c r="C3276" t="str">
        <f>"9780851996097"</f>
        <v>9780851996097</v>
      </c>
      <c r="D3276" t="str">
        <f>"9780851997629"</f>
        <v>9780851997629</v>
      </c>
      <c r="E3276" t="s">
        <v>2878</v>
      </c>
      <c r="F3276" t="s">
        <v>2879</v>
      </c>
      <c r="G3276" s="1">
        <v>37622</v>
      </c>
      <c r="H3276" s="1">
        <v>39229</v>
      </c>
      <c r="I3276" t="s">
        <v>12</v>
      </c>
      <c r="J3276" t="s">
        <v>14046</v>
      </c>
    </row>
    <row r="3277" spans="1:10" x14ac:dyDescent="0.25">
      <c r="A3277">
        <v>295075</v>
      </c>
      <c r="B3277" t="s">
        <v>3433</v>
      </c>
      <c r="C3277" t="str">
        <f>"9780851996646"</f>
        <v>9780851996646</v>
      </c>
      <c r="D3277" t="str">
        <f>"9780851998473"</f>
        <v>9780851998473</v>
      </c>
      <c r="E3277" t="s">
        <v>2878</v>
      </c>
      <c r="F3277" t="s">
        <v>2879</v>
      </c>
      <c r="G3277" s="1">
        <v>37622</v>
      </c>
      <c r="H3277" s="1">
        <v>39229</v>
      </c>
      <c r="I3277" t="s">
        <v>12</v>
      </c>
      <c r="J3277" t="s">
        <v>14047</v>
      </c>
    </row>
    <row r="3278" spans="1:10" x14ac:dyDescent="0.25">
      <c r="A3278">
        <v>295079</v>
      </c>
      <c r="B3278" t="s">
        <v>3434</v>
      </c>
      <c r="C3278" t="str">
        <f>"9780851996110"</f>
        <v>9780851996110</v>
      </c>
      <c r="D3278" t="str">
        <f>"9780851997605"</f>
        <v>9780851997605</v>
      </c>
      <c r="E3278" t="s">
        <v>2878</v>
      </c>
      <c r="F3278" t="s">
        <v>2879</v>
      </c>
      <c r="G3278" s="1">
        <v>37257</v>
      </c>
      <c r="H3278" s="1">
        <v>39229</v>
      </c>
      <c r="I3278" t="s">
        <v>12</v>
      </c>
      <c r="J3278" t="s">
        <v>14048</v>
      </c>
    </row>
    <row r="3279" spans="1:10" x14ac:dyDescent="0.25">
      <c r="A3279">
        <v>295119</v>
      </c>
      <c r="B3279" t="s">
        <v>3435</v>
      </c>
      <c r="C3279" t="str">
        <f>"9781845932565"</f>
        <v>9781845932565</v>
      </c>
      <c r="D3279" t="str">
        <f>"9781845932572"</f>
        <v>9781845932572</v>
      </c>
      <c r="E3279" t="s">
        <v>2878</v>
      </c>
      <c r="F3279" t="s">
        <v>2879</v>
      </c>
      <c r="G3279" s="1">
        <v>39083</v>
      </c>
      <c r="H3279" s="1">
        <v>39232</v>
      </c>
      <c r="I3279" t="s">
        <v>12</v>
      </c>
      <c r="J3279" t="s">
        <v>14049</v>
      </c>
    </row>
    <row r="3280" spans="1:10" x14ac:dyDescent="0.25">
      <c r="A3280">
        <v>295120</v>
      </c>
      <c r="B3280" t="s">
        <v>3436</v>
      </c>
      <c r="C3280" t="str">
        <f>"9781845932251"</f>
        <v>9781845932251</v>
      </c>
      <c r="D3280" t="str">
        <f>"9781845932268"</f>
        <v>9781845932268</v>
      </c>
      <c r="E3280" t="s">
        <v>2878</v>
      </c>
      <c r="F3280" t="s">
        <v>2879</v>
      </c>
      <c r="G3280" s="1">
        <v>39083</v>
      </c>
      <c r="H3280" s="1">
        <v>39232</v>
      </c>
      <c r="I3280" t="s">
        <v>12</v>
      </c>
      <c r="J3280" t="s">
        <v>14050</v>
      </c>
    </row>
    <row r="3281" spans="1:10" x14ac:dyDescent="0.25">
      <c r="A3281">
        <v>295121</v>
      </c>
      <c r="B3281" t="s">
        <v>3437</v>
      </c>
      <c r="C3281" t="str">
        <f>"9781845932046"</f>
        <v>9781845932046</v>
      </c>
      <c r="D3281" t="str">
        <f>"9781845932053"</f>
        <v>9781845932053</v>
      </c>
      <c r="E3281" t="s">
        <v>2878</v>
      </c>
      <c r="F3281" t="s">
        <v>2879</v>
      </c>
      <c r="G3281" s="1">
        <v>39083</v>
      </c>
      <c r="H3281" s="1">
        <v>39232</v>
      </c>
      <c r="I3281" t="s">
        <v>12</v>
      </c>
      <c r="J3281" t="s">
        <v>14051</v>
      </c>
    </row>
    <row r="3282" spans="1:10" x14ac:dyDescent="0.25">
      <c r="A3282">
        <v>295123</v>
      </c>
      <c r="B3282" t="s">
        <v>3438</v>
      </c>
      <c r="C3282" t="str">
        <f>"9781845931957"</f>
        <v>9781845931957</v>
      </c>
      <c r="D3282" t="str">
        <f>"9781845931964"</f>
        <v>9781845931964</v>
      </c>
      <c r="E3282" t="s">
        <v>2878</v>
      </c>
      <c r="F3282" t="s">
        <v>2879</v>
      </c>
      <c r="G3282" s="1">
        <v>39083</v>
      </c>
      <c r="H3282" s="1">
        <v>39232</v>
      </c>
      <c r="I3282" t="s">
        <v>12</v>
      </c>
      <c r="J3282" t="s">
        <v>14052</v>
      </c>
    </row>
    <row r="3283" spans="1:10" x14ac:dyDescent="0.25">
      <c r="A3283">
        <v>295135</v>
      </c>
      <c r="B3283" t="s">
        <v>3439</v>
      </c>
      <c r="C3283" t="str">
        <f>"9780889369214"</f>
        <v>9780889369214</v>
      </c>
      <c r="D3283" t="str">
        <f>"9781552502716"</f>
        <v>9781552502716</v>
      </c>
      <c r="E3283" t="s">
        <v>1968</v>
      </c>
      <c r="F3283" t="s">
        <v>1969</v>
      </c>
      <c r="G3283" s="1">
        <v>36526</v>
      </c>
      <c r="H3283" s="1">
        <v>39233</v>
      </c>
      <c r="I3283" t="s">
        <v>12</v>
      </c>
      <c r="J3283" t="s">
        <v>14053</v>
      </c>
    </row>
    <row r="3284" spans="1:10" x14ac:dyDescent="0.25">
      <c r="A3284">
        <v>295150</v>
      </c>
      <c r="B3284" t="s">
        <v>3440</v>
      </c>
      <c r="C3284" t="str">
        <f>"9780889368170"</f>
        <v>9780889368170</v>
      </c>
      <c r="D3284" t="str">
        <f>"9781552503430"</f>
        <v>9781552503430</v>
      </c>
      <c r="E3284" t="s">
        <v>1968</v>
      </c>
      <c r="F3284" t="s">
        <v>1969</v>
      </c>
      <c r="G3284" s="1">
        <v>36161</v>
      </c>
      <c r="H3284" s="1">
        <v>39266</v>
      </c>
      <c r="I3284" t="s">
        <v>12</v>
      </c>
      <c r="J3284" t="s">
        <v>14054</v>
      </c>
    </row>
    <row r="3285" spans="1:10" x14ac:dyDescent="0.25">
      <c r="A3285">
        <v>295158</v>
      </c>
      <c r="B3285" t="s">
        <v>3441</v>
      </c>
      <c r="C3285" t="str">
        <f>"9780889369115"</f>
        <v>9780889369115</v>
      </c>
      <c r="D3285" t="str">
        <f>"9781552503157"</f>
        <v>9781552503157</v>
      </c>
      <c r="E3285" t="s">
        <v>1968</v>
      </c>
      <c r="F3285" t="s">
        <v>1969</v>
      </c>
      <c r="G3285" s="1">
        <v>36161</v>
      </c>
      <c r="H3285" s="1">
        <v>39233</v>
      </c>
      <c r="I3285" t="s">
        <v>12</v>
      </c>
      <c r="J3285" t="s">
        <v>14055</v>
      </c>
    </row>
    <row r="3286" spans="1:10" x14ac:dyDescent="0.25">
      <c r="A3286">
        <v>295198</v>
      </c>
      <c r="B3286" t="s">
        <v>3442</v>
      </c>
      <c r="C3286" t="str">
        <f>"9781599043616"</f>
        <v>9781599043616</v>
      </c>
      <c r="D3286" t="str">
        <f>"9781599043630"</f>
        <v>9781599043630</v>
      </c>
      <c r="E3286" t="s">
        <v>623</v>
      </c>
      <c r="F3286" t="s">
        <v>624</v>
      </c>
      <c r="G3286" s="1">
        <v>39385</v>
      </c>
      <c r="H3286" s="1">
        <v>39234</v>
      </c>
      <c r="I3286" t="s">
        <v>12</v>
      </c>
      <c r="J3286" t="s">
        <v>14056</v>
      </c>
    </row>
    <row r="3287" spans="1:10" x14ac:dyDescent="0.25">
      <c r="A3287">
        <v>295206</v>
      </c>
      <c r="B3287" t="s">
        <v>3443</v>
      </c>
      <c r="C3287" t="str">
        <f>"9780889368958"</f>
        <v>9780889368958</v>
      </c>
      <c r="D3287" t="str">
        <f>"9781552502976"</f>
        <v>9781552502976</v>
      </c>
      <c r="E3287" t="s">
        <v>1968</v>
      </c>
      <c r="F3287" t="s">
        <v>1969</v>
      </c>
      <c r="G3287" s="1">
        <v>36831</v>
      </c>
      <c r="H3287" s="1">
        <v>39267</v>
      </c>
      <c r="I3287" t="s">
        <v>12</v>
      </c>
      <c r="J3287" t="s">
        <v>14057</v>
      </c>
    </row>
    <row r="3288" spans="1:10" x14ac:dyDescent="0.25">
      <c r="A3288">
        <v>295370</v>
      </c>
      <c r="B3288" t="s">
        <v>3444</v>
      </c>
      <c r="C3288" t="str">
        <f>"9781741147872"</f>
        <v>9781741147872</v>
      </c>
      <c r="D3288" t="str">
        <f>"9781741158656"</f>
        <v>9781741158656</v>
      </c>
      <c r="E3288" t="s">
        <v>979</v>
      </c>
      <c r="F3288" t="s">
        <v>979</v>
      </c>
      <c r="G3288" s="1">
        <v>39234</v>
      </c>
      <c r="H3288" s="1">
        <v>39242</v>
      </c>
      <c r="I3288" t="s">
        <v>12</v>
      </c>
      <c r="J3288" t="s">
        <v>14058</v>
      </c>
    </row>
    <row r="3289" spans="1:10" x14ac:dyDescent="0.25">
      <c r="A3289">
        <v>295425</v>
      </c>
      <c r="B3289" t="s">
        <v>3445</v>
      </c>
      <c r="C3289" t="str">
        <f>"9780335210879"</f>
        <v>9780335210879</v>
      </c>
      <c r="D3289" t="str">
        <f>"9780335227334"</f>
        <v>9780335227334</v>
      </c>
      <c r="E3289" t="s">
        <v>2795</v>
      </c>
      <c r="F3289" t="s">
        <v>2795</v>
      </c>
      <c r="G3289" s="1">
        <v>37956</v>
      </c>
      <c r="H3289" s="1">
        <v>39273</v>
      </c>
      <c r="I3289" t="s">
        <v>12</v>
      </c>
      <c r="J3289" t="s">
        <v>14059</v>
      </c>
    </row>
    <row r="3290" spans="1:10" x14ac:dyDescent="0.25">
      <c r="A3290">
        <v>295429</v>
      </c>
      <c r="B3290" t="s">
        <v>3446</v>
      </c>
      <c r="C3290" t="str">
        <f>"9780335211814"</f>
        <v>9780335211814</v>
      </c>
      <c r="D3290" t="str">
        <f>"9780335227372"</f>
        <v>9780335227372</v>
      </c>
      <c r="E3290" t="s">
        <v>2795</v>
      </c>
      <c r="F3290" t="s">
        <v>2796</v>
      </c>
      <c r="G3290" s="1">
        <v>38353</v>
      </c>
      <c r="H3290" s="1">
        <v>39245</v>
      </c>
      <c r="I3290" t="s">
        <v>12</v>
      </c>
      <c r="J3290" t="s">
        <v>14060</v>
      </c>
    </row>
    <row r="3291" spans="1:10" x14ac:dyDescent="0.25">
      <c r="A3291">
        <v>295433</v>
      </c>
      <c r="B3291" t="s">
        <v>3447</v>
      </c>
      <c r="C3291" t="str">
        <f>"9780335215119"</f>
        <v>9780335215119</v>
      </c>
      <c r="D3291" t="str">
        <f>"9780335227419"</f>
        <v>9780335227419</v>
      </c>
      <c r="E3291" t="s">
        <v>2795</v>
      </c>
      <c r="F3291" t="s">
        <v>2796</v>
      </c>
      <c r="G3291" s="1">
        <v>38353</v>
      </c>
      <c r="H3291" s="1">
        <v>39245</v>
      </c>
      <c r="I3291" t="s">
        <v>12</v>
      </c>
      <c r="J3291" t="s">
        <v>14061</v>
      </c>
    </row>
    <row r="3292" spans="1:10" x14ac:dyDescent="0.25">
      <c r="A3292">
        <v>295434</v>
      </c>
      <c r="B3292" t="s">
        <v>3448</v>
      </c>
      <c r="C3292" t="str">
        <f>"9780335214426"</f>
        <v>9780335214426</v>
      </c>
      <c r="D3292" t="str">
        <f>"9780335227426"</f>
        <v>9780335227426</v>
      </c>
      <c r="E3292" t="s">
        <v>2795</v>
      </c>
      <c r="F3292" t="s">
        <v>2796</v>
      </c>
      <c r="G3292" s="1">
        <v>37987</v>
      </c>
      <c r="H3292" s="1">
        <v>39245</v>
      </c>
      <c r="I3292" t="s">
        <v>12</v>
      </c>
      <c r="J3292" t="s">
        <v>14062</v>
      </c>
    </row>
    <row r="3293" spans="1:10" x14ac:dyDescent="0.25">
      <c r="A3293">
        <v>295438</v>
      </c>
      <c r="B3293" t="s">
        <v>3449</v>
      </c>
      <c r="C3293" t="str">
        <f>"9780335206001"</f>
        <v>9780335206001</v>
      </c>
      <c r="D3293" t="str">
        <f>"9780335227464"</f>
        <v>9780335227464</v>
      </c>
      <c r="E3293" t="s">
        <v>2795</v>
      </c>
      <c r="F3293" t="s">
        <v>2796</v>
      </c>
      <c r="G3293" s="1">
        <v>37622</v>
      </c>
      <c r="H3293" s="1">
        <v>39245</v>
      </c>
      <c r="I3293" t="s">
        <v>12</v>
      </c>
      <c r="J3293" t="s">
        <v>14063</v>
      </c>
    </row>
    <row r="3294" spans="1:10" x14ac:dyDescent="0.25">
      <c r="A3294">
        <v>295442</v>
      </c>
      <c r="B3294" t="s">
        <v>3450</v>
      </c>
      <c r="C3294" t="str">
        <f>"9780335217786"</f>
        <v>9780335217786</v>
      </c>
      <c r="D3294" t="str">
        <f>"9780335227501"</f>
        <v>9780335227501</v>
      </c>
      <c r="E3294" t="s">
        <v>2795</v>
      </c>
      <c r="F3294" t="s">
        <v>2796</v>
      </c>
      <c r="G3294" s="1">
        <v>38718</v>
      </c>
      <c r="H3294" s="1">
        <v>40794</v>
      </c>
      <c r="I3294" t="s">
        <v>12</v>
      </c>
      <c r="J3294" t="s">
        <v>14064</v>
      </c>
    </row>
    <row r="3295" spans="1:10" x14ac:dyDescent="0.25">
      <c r="A3295">
        <v>295444</v>
      </c>
      <c r="B3295" t="s">
        <v>3451</v>
      </c>
      <c r="C3295" t="str">
        <f>"9780335210329"</f>
        <v>9780335210329</v>
      </c>
      <c r="D3295" t="str">
        <f>"9780335227525"</f>
        <v>9780335227525</v>
      </c>
      <c r="E3295" t="s">
        <v>2795</v>
      </c>
      <c r="F3295" t="s">
        <v>2796</v>
      </c>
      <c r="G3295" s="1">
        <v>37987</v>
      </c>
      <c r="H3295" s="1">
        <v>39245</v>
      </c>
      <c r="I3295" t="s">
        <v>12</v>
      </c>
      <c r="J3295" t="s">
        <v>14065</v>
      </c>
    </row>
    <row r="3296" spans="1:10" x14ac:dyDescent="0.25">
      <c r="A3296">
        <v>295445</v>
      </c>
      <c r="B3296" t="s">
        <v>3452</v>
      </c>
      <c r="C3296" t="str">
        <f>"9780335217731"</f>
        <v>9780335217731</v>
      </c>
      <c r="D3296" t="str">
        <f>"9780335227532"</f>
        <v>9780335227532</v>
      </c>
      <c r="E3296" t="s">
        <v>2795</v>
      </c>
      <c r="F3296" t="s">
        <v>2796</v>
      </c>
      <c r="G3296" s="1">
        <v>38718</v>
      </c>
      <c r="H3296" s="1">
        <v>39251</v>
      </c>
      <c r="I3296" t="s">
        <v>12</v>
      </c>
      <c r="J3296" t="s">
        <v>14066</v>
      </c>
    </row>
    <row r="3297" spans="1:10" x14ac:dyDescent="0.25">
      <c r="A3297">
        <v>295448</v>
      </c>
      <c r="B3297" t="s">
        <v>3453</v>
      </c>
      <c r="C3297" t="str">
        <f>"9780335212347"</f>
        <v>9780335212347</v>
      </c>
      <c r="D3297" t="str">
        <f>"9780335227563"</f>
        <v>9780335227563</v>
      </c>
      <c r="E3297" t="s">
        <v>2795</v>
      </c>
      <c r="F3297" t="s">
        <v>2796</v>
      </c>
      <c r="G3297" s="1">
        <v>37622</v>
      </c>
      <c r="H3297" s="1">
        <v>39245</v>
      </c>
      <c r="I3297" t="s">
        <v>12</v>
      </c>
      <c r="J3297" t="s">
        <v>14067</v>
      </c>
    </row>
    <row r="3298" spans="1:10" x14ac:dyDescent="0.25">
      <c r="A3298">
        <v>295449</v>
      </c>
      <c r="B3298" t="s">
        <v>3454</v>
      </c>
      <c r="C3298" t="str">
        <f>"9780335217939"</f>
        <v>9780335217939</v>
      </c>
      <c r="D3298" t="str">
        <f>"9780335227570"</f>
        <v>9780335227570</v>
      </c>
      <c r="E3298" t="s">
        <v>2795</v>
      </c>
      <c r="F3298" t="s">
        <v>2796</v>
      </c>
      <c r="G3298" s="1">
        <v>38718</v>
      </c>
      <c r="H3298" s="1">
        <v>39245</v>
      </c>
      <c r="I3298" t="s">
        <v>12</v>
      </c>
      <c r="J3298" t="s">
        <v>14068</v>
      </c>
    </row>
    <row r="3299" spans="1:10" x14ac:dyDescent="0.25">
      <c r="A3299">
        <v>295450</v>
      </c>
      <c r="B3299" t="s">
        <v>3455</v>
      </c>
      <c r="C3299" t="str">
        <f>"9780335216826"</f>
        <v>9780335216826</v>
      </c>
      <c r="D3299" t="str">
        <f>"9780335227587"</f>
        <v>9780335227587</v>
      </c>
      <c r="E3299" t="s">
        <v>2795</v>
      </c>
      <c r="F3299" t="s">
        <v>2796</v>
      </c>
      <c r="G3299" s="1">
        <v>38353</v>
      </c>
      <c r="H3299" s="1">
        <v>39245</v>
      </c>
      <c r="I3299" t="s">
        <v>12</v>
      </c>
      <c r="J3299" t="s">
        <v>14069</v>
      </c>
    </row>
    <row r="3300" spans="1:10" x14ac:dyDescent="0.25">
      <c r="A3300">
        <v>295451</v>
      </c>
      <c r="B3300" t="s">
        <v>3456</v>
      </c>
      <c r="C3300" t="str">
        <f>"9780335214563"</f>
        <v>9780335214563</v>
      </c>
      <c r="D3300" t="str">
        <f>"9780335227594"</f>
        <v>9780335227594</v>
      </c>
      <c r="E3300" t="s">
        <v>2795</v>
      </c>
      <c r="F3300" t="s">
        <v>2796</v>
      </c>
      <c r="G3300" s="1">
        <v>38353</v>
      </c>
      <c r="H3300" s="1">
        <v>39245</v>
      </c>
      <c r="I3300" t="s">
        <v>12</v>
      </c>
      <c r="J3300" t="s">
        <v>14070</v>
      </c>
    </row>
    <row r="3301" spans="1:10" x14ac:dyDescent="0.25">
      <c r="A3301">
        <v>295455</v>
      </c>
      <c r="B3301" t="s">
        <v>3457</v>
      </c>
      <c r="C3301" t="str">
        <f>"9780335206919"</f>
        <v>9780335206919</v>
      </c>
      <c r="D3301" t="str">
        <f>"9780335227631"</f>
        <v>9780335227631</v>
      </c>
      <c r="E3301" t="s">
        <v>2795</v>
      </c>
      <c r="F3301" t="s">
        <v>2796</v>
      </c>
      <c r="G3301" s="1">
        <v>37622</v>
      </c>
      <c r="H3301" s="1">
        <v>39245</v>
      </c>
      <c r="I3301" t="s">
        <v>12</v>
      </c>
      <c r="J3301" t="s">
        <v>14071</v>
      </c>
    </row>
    <row r="3302" spans="1:10" x14ac:dyDescent="0.25">
      <c r="A3302">
        <v>295456</v>
      </c>
      <c r="B3302" t="s">
        <v>3458</v>
      </c>
      <c r="C3302" t="str">
        <f>"9780335210756"</f>
        <v>9780335210756</v>
      </c>
      <c r="D3302" t="str">
        <f>"9780335227648"</f>
        <v>9780335227648</v>
      </c>
      <c r="E3302" t="s">
        <v>2795</v>
      </c>
      <c r="F3302" t="s">
        <v>2796</v>
      </c>
      <c r="G3302" s="1">
        <v>37622</v>
      </c>
      <c r="H3302" s="1">
        <v>39251</v>
      </c>
      <c r="I3302" t="s">
        <v>12</v>
      </c>
      <c r="J3302" t="s">
        <v>14072</v>
      </c>
    </row>
    <row r="3303" spans="1:10" x14ac:dyDescent="0.25">
      <c r="A3303">
        <v>295458</v>
      </c>
      <c r="B3303" t="s">
        <v>3459</v>
      </c>
      <c r="C3303" t="str">
        <f>"9780335213443"</f>
        <v>9780335213443</v>
      </c>
      <c r="D3303" t="str">
        <f>"9780335227662"</f>
        <v>9780335227662</v>
      </c>
      <c r="E3303" t="s">
        <v>2795</v>
      </c>
      <c r="F3303" t="s">
        <v>2795</v>
      </c>
      <c r="G3303" s="1">
        <v>38322</v>
      </c>
      <c r="H3303" s="1">
        <v>39273</v>
      </c>
      <c r="I3303" t="s">
        <v>12</v>
      </c>
      <c r="J3303" t="s">
        <v>14073</v>
      </c>
    </row>
    <row r="3304" spans="1:10" x14ac:dyDescent="0.25">
      <c r="A3304">
        <v>295460</v>
      </c>
      <c r="B3304" t="s">
        <v>3460</v>
      </c>
      <c r="C3304" t="str">
        <f>"9780335212767"</f>
        <v>9780335212767</v>
      </c>
      <c r="D3304" t="str">
        <f>"9780335227686"</f>
        <v>9780335227686</v>
      </c>
      <c r="E3304" t="s">
        <v>2795</v>
      </c>
      <c r="F3304" t="s">
        <v>2796</v>
      </c>
      <c r="G3304" s="1">
        <v>38353</v>
      </c>
      <c r="H3304" s="1">
        <v>39245</v>
      </c>
      <c r="I3304" t="s">
        <v>12</v>
      </c>
      <c r="J3304" t="s">
        <v>14074</v>
      </c>
    </row>
    <row r="3305" spans="1:10" x14ac:dyDescent="0.25">
      <c r="A3305">
        <v>295461</v>
      </c>
      <c r="B3305" t="s">
        <v>3461</v>
      </c>
      <c r="C3305" t="str">
        <f>"9780335214280"</f>
        <v>9780335214280</v>
      </c>
      <c r="D3305" t="str">
        <f>"9780335227693"</f>
        <v>9780335227693</v>
      </c>
      <c r="E3305" t="s">
        <v>2795</v>
      </c>
      <c r="F3305" t="s">
        <v>2795</v>
      </c>
      <c r="G3305" s="1">
        <v>38322</v>
      </c>
      <c r="H3305" s="1">
        <v>39273</v>
      </c>
      <c r="I3305" t="s">
        <v>12</v>
      </c>
      <c r="J3305" t="s">
        <v>14075</v>
      </c>
    </row>
    <row r="3306" spans="1:10" x14ac:dyDescent="0.25">
      <c r="A3306">
        <v>295463</v>
      </c>
      <c r="B3306" t="s">
        <v>3462</v>
      </c>
      <c r="C3306" t="str">
        <f>"9780335213634"</f>
        <v>9780335213634</v>
      </c>
      <c r="D3306" t="str">
        <f>"9780335227716"</f>
        <v>9780335227716</v>
      </c>
      <c r="E3306" t="s">
        <v>2795</v>
      </c>
      <c r="F3306" t="s">
        <v>2796</v>
      </c>
      <c r="G3306" s="1">
        <v>37987</v>
      </c>
      <c r="H3306" s="1">
        <v>39245</v>
      </c>
      <c r="I3306" t="s">
        <v>12</v>
      </c>
      <c r="J3306" t="s">
        <v>14076</v>
      </c>
    </row>
    <row r="3307" spans="1:10" x14ac:dyDescent="0.25">
      <c r="A3307">
        <v>295469</v>
      </c>
      <c r="B3307" t="s">
        <v>3463</v>
      </c>
      <c r="C3307" t="str">
        <f>"9780335215447"</f>
        <v>9780335215447</v>
      </c>
      <c r="D3307" t="str">
        <f>"9780335227778"</f>
        <v>9780335227778</v>
      </c>
      <c r="E3307" t="s">
        <v>2795</v>
      </c>
      <c r="F3307" t="s">
        <v>2796</v>
      </c>
      <c r="G3307" s="1">
        <v>37987</v>
      </c>
      <c r="H3307" s="1">
        <v>39262</v>
      </c>
      <c r="I3307" t="s">
        <v>12</v>
      </c>
      <c r="J3307" t="s">
        <v>14077</v>
      </c>
    </row>
    <row r="3308" spans="1:10" x14ac:dyDescent="0.25">
      <c r="A3308">
        <v>295470</v>
      </c>
      <c r="B3308" t="s">
        <v>3464</v>
      </c>
      <c r="C3308" t="str">
        <f>"9780335210701"</f>
        <v>9780335210701</v>
      </c>
      <c r="D3308" t="str">
        <f>"9780335227785"</f>
        <v>9780335227785</v>
      </c>
      <c r="E3308" t="s">
        <v>2795</v>
      </c>
      <c r="F3308" t="s">
        <v>2796</v>
      </c>
      <c r="G3308" s="1">
        <v>38353</v>
      </c>
      <c r="H3308" s="1">
        <v>39275</v>
      </c>
      <c r="I3308" t="s">
        <v>12</v>
      </c>
      <c r="J3308" t="s">
        <v>14078</v>
      </c>
    </row>
    <row r="3309" spans="1:10" x14ac:dyDescent="0.25">
      <c r="A3309">
        <v>295471</v>
      </c>
      <c r="B3309" t="s">
        <v>3465</v>
      </c>
      <c r="C3309" t="str">
        <f>"9780335212408"</f>
        <v>9780335212408</v>
      </c>
      <c r="D3309" t="str">
        <f>"9780335227792"</f>
        <v>9780335227792</v>
      </c>
      <c r="E3309" t="s">
        <v>2795</v>
      </c>
      <c r="F3309" t="s">
        <v>2796</v>
      </c>
      <c r="G3309" s="1">
        <v>38353</v>
      </c>
      <c r="H3309" s="1">
        <v>39275</v>
      </c>
      <c r="I3309" t="s">
        <v>12</v>
      </c>
      <c r="J3309" t="s">
        <v>14079</v>
      </c>
    </row>
    <row r="3310" spans="1:10" x14ac:dyDescent="0.25">
      <c r="A3310">
        <v>295472</v>
      </c>
      <c r="B3310" t="s">
        <v>3466</v>
      </c>
      <c r="C3310" t="str">
        <f>"9780335213320"</f>
        <v>9780335213320</v>
      </c>
      <c r="D3310" t="str">
        <f>"9780335227808"</f>
        <v>9780335227808</v>
      </c>
      <c r="E3310" t="s">
        <v>2795</v>
      </c>
      <c r="F3310" t="s">
        <v>2796</v>
      </c>
      <c r="G3310" s="1">
        <v>37987</v>
      </c>
      <c r="H3310" s="1">
        <v>39262</v>
      </c>
      <c r="I3310" t="s">
        <v>12</v>
      </c>
      <c r="J3310" t="s">
        <v>14080</v>
      </c>
    </row>
    <row r="3311" spans="1:10" x14ac:dyDescent="0.25">
      <c r="A3311">
        <v>295473</v>
      </c>
      <c r="B3311" t="s">
        <v>3467</v>
      </c>
      <c r="C3311" t="str">
        <f>"9780335207114"</f>
        <v>9780335207114</v>
      </c>
      <c r="D3311" t="str">
        <f>"9780335227815"</f>
        <v>9780335227815</v>
      </c>
      <c r="E3311" t="s">
        <v>2795</v>
      </c>
      <c r="F3311" t="s">
        <v>2796</v>
      </c>
      <c r="G3311" s="1">
        <v>37987</v>
      </c>
      <c r="H3311" s="1">
        <v>39262</v>
      </c>
      <c r="I3311" t="s">
        <v>12</v>
      </c>
      <c r="J3311" t="s">
        <v>14081</v>
      </c>
    </row>
    <row r="3312" spans="1:10" x14ac:dyDescent="0.25">
      <c r="A3312">
        <v>295475</v>
      </c>
      <c r="B3312" t="s">
        <v>3468</v>
      </c>
      <c r="C3312" t="str">
        <f>"9780335209613"</f>
        <v>9780335209613</v>
      </c>
      <c r="D3312" t="str">
        <f>"9780335227839"</f>
        <v>9780335227839</v>
      </c>
      <c r="E3312" t="s">
        <v>2795</v>
      </c>
      <c r="F3312" t="s">
        <v>2795</v>
      </c>
      <c r="G3312" s="1">
        <v>37956</v>
      </c>
      <c r="H3312" s="1">
        <v>39273</v>
      </c>
      <c r="I3312" t="s">
        <v>12</v>
      </c>
      <c r="J3312" t="s">
        <v>14082</v>
      </c>
    </row>
    <row r="3313" spans="1:10" x14ac:dyDescent="0.25">
      <c r="A3313">
        <v>295478</v>
      </c>
      <c r="B3313" t="s">
        <v>3469</v>
      </c>
      <c r="C3313" t="str">
        <f>"9780335210466"</f>
        <v>9780335210466</v>
      </c>
      <c r="D3313" t="str">
        <f>"9780335227860"</f>
        <v>9780335227860</v>
      </c>
      <c r="E3313" t="s">
        <v>2795</v>
      </c>
      <c r="F3313" t="s">
        <v>2796</v>
      </c>
      <c r="G3313" s="1">
        <v>37622</v>
      </c>
      <c r="H3313" s="1">
        <v>39262</v>
      </c>
      <c r="I3313" t="s">
        <v>12</v>
      </c>
      <c r="J3313" t="s">
        <v>14083</v>
      </c>
    </row>
    <row r="3314" spans="1:10" x14ac:dyDescent="0.25">
      <c r="A3314">
        <v>295479</v>
      </c>
      <c r="B3314" t="s">
        <v>3470</v>
      </c>
      <c r="C3314" t="str">
        <f>"9780335206353"</f>
        <v>9780335206353</v>
      </c>
      <c r="D3314" t="str">
        <f>"9780335227877"</f>
        <v>9780335227877</v>
      </c>
      <c r="E3314" t="s">
        <v>2795</v>
      </c>
      <c r="F3314" t="s">
        <v>2796</v>
      </c>
      <c r="G3314" s="1">
        <v>37622</v>
      </c>
      <c r="H3314" s="1">
        <v>39275</v>
      </c>
      <c r="I3314" t="s">
        <v>12</v>
      </c>
      <c r="J3314" t="s">
        <v>14084</v>
      </c>
    </row>
    <row r="3315" spans="1:10" x14ac:dyDescent="0.25">
      <c r="A3315">
        <v>295482</v>
      </c>
      <c r="B3315" t="s">
        <v>3471</v>
      </c>
      <c r="C3315" t="str">
        <f>"9780335211548"</f>
        <v>9780335211548</v>
      </c>
      <c r="D3315" t="str">
        <f>"9780335227907"</f>
        <v>9780335227907</v>
      </c>
      <c r="E3315" t="s">
        <v>2795</v>
      </c>
      <c r="F3315" t="s">
        <v>2796</v>
      </c>
      <c r="G3315" s="1">
        <v>37622</v>
      </c>
      <c r="H3315" s="1">
        <v>39262</v>
      </c>
      <c r="I3315" t="s">
        <v>12</v>
      </c>
      <c r="J3315" t="s">
        <v>14085</v>
      </c>
    </row>
    <row r="3316" spans="1:10" x14ac:dyDescent="0.25">
      <c r="A3316">
        <v>295484</v>
      </c>
      <c r="B3316" t="s">
        <v>3472</v>
      </c>
      <c r="C3316" t="str">
        <f>"9780335213771"</f>
        <v>9780335213771</v>
      </c>
      <c r="D3316" t="str">
        <f>"9780335227921"</f>
        <v>9780335227921</v>
      </c>
      <c r="E3316" t="s">
        <v>2795</v>
      </c>
      <c r="F3316" t="s">
        <v>2796</v>
      </c>
      <c r="G3316" s="1">
        <v>37622</v>
      </c>
      <c r="H3316" s="1">
        <v>39276</v>
      </c>
      <c r="I3316" t="s">
        <v>12</v>
      </c>
      <c r="J3316" t="s">
        <v>14086</v>
      </c>
    </row>
    <row r="3317" spans="1:10" x14ac:dyDescent="0.25">
      <c r="A3317">
        <v>295487</v>
      </c>
      <c r="B3317" t="s">
        <v>3473</v>
      </c>
      <c r="C3317" t="str">
        <f>"9780335216581"</f>
        <v>9780335216581</v>
      </c>
      <c r="D3317" t="str">
        <f>"9780335227952"</f>
        <v>9780335227952</v>
      </c>
      <c r="E3317" t="s">
        <v>2795</v>
      </c>
      <c r="F3317" t="s">
        <v>2796</v>
      </c>
      <c r="G3317" s="1">
        <v>38353</v>
      </c>
      <c r="H3317" s="1">
        <v>39262</v>
      </c>
      <c r="I3317" t="s">
        <v>12</v>
      </c>
      <c r="J3317" t="s">
        <v>14087</v>
      </c>
    </row>
    <row r="3318" spans="1:10" x14ac:dyDescent="0.25">
      <c r="A3318">
        <v>295489</v>
      </c>
      <c r="B3318" t="s">
        <v>3474</v>
      </c>
      <c r="C3318" t="str">
        <f>"9780335208449"</f>
        <v>9780335208449</v>
      </c>
      <c r="D3318" t="str">
        <f>"9780335227983"</f>
        <v>9780335227983</v>
      </c>
      <c r="E3318" t="s">
        <v>2795</v>
      </c>
      <c r="F3318" t="s">
        <v>2796</v>
      </c>
      <c r="G3318" s="1">
        <v>37622</v>
      </c>
      <c r="H3318" s="1">
        <v>39262</v>
      </c>
      <c r="I3318" t="s">
        <v>12</v>
      </c>
      <c r="J3318" t="s">
        <v>14088</v>
      </c>
    </row>
    <row r="3319" spans="1:10" x14ac:dyDescent="0.25">
      <c r="A3319">
        <v>295490</v>
      </c>
      <c r="B3319" t="s">
        <v>3475</v>
      </c>
      <c r="C3319" t="str">
        <f>"9780335208784"</f>
        <v>9780335208784</v>
      </c>
      <c r="D3319" t="str">
        <f>"9780335227990"</f>
        <v>9780335227990</v>
      </c>
      <c r="E3319" t="s">
        <v>2795</v>
      </c>
      <c r="F3319" t="s">
        <v>2796</v>
      </c>
      <c r="G3319" s="1">
        <v>37622</v>
      </c>
      <c r="H3319" s="1">
        <v>39275</v>
      </c>
      <c r="I3319" t="s">
        <v>12</v>
      </c>
      <c r="J3319" t="s">
        <v>14089</v>
      </c>
    </row>
    <row r="3320" spans="1:10" x14ac:dyDescent="0.25">
      <c r="A3320">
        <v>295494</v>
      </c>
      <c r="B3320" t="s">
        <v>3476</v>
      </c>
      <c r="C3320" t="str">
        <f>"9780335219377"</f>
        <v>9780335219377</v>
      </c>
      <c r="D3320" t="str">
        <f>"9780335228034"</f>
        <v>9780335228034</v>
      </c>
      <c r="E3320" t="s">
        <v>2795</v>
      </c>
      <c r="F3320" t="s">
        <v>2796</v>
      </c>
      <c r="G3320" s="1">
        <v>38718</v>
      </c>
      <c r="H3320" s="1">
        <v>39275</v>
      </c>
      <c r="I3320" t="s">
        <v>12</v>
      </c>
      <c r="J3320" t="s">
        <v>14090</v>
      </c>
    </row>
    <row r="3321" spans="1:10" x14ac:dyDescent="0.25">
      <c r="A3321">
        <v>295497</v>
      </c>
      <c r="B3321" t="s">
        <v>3477</v>
      </c>
      <c r="C3321" t="str">
        <f>"9780335213757"</f>
        <v>9780335213757</v>
      </c>
      <c r="D3321" t="str">
        <f>"9780335228065"</f>
        <v>9780335228065</v>
      </c>
      <c r="E3321" t="s">
        <v>2795</v>
      </c>
      <c r="F3321" t="s">
        <v>2796</v>
      </c>
      <c r="G3321" s="1">
        <v>37622</v>
      </c>
      <c r="H3321" s="1">
        <v>39275</v>
      </c>
      <c r="I3321" t="s">
        <v>12</v>
      </c>
      <c r="J3321" t="s">
        <v>14091</v>
      </c>
    </row>
    <row r="3322" spans="1:10" x14ac:dyDescent="0.25">
      <c r="A3322">
        <v>295498</v>
      </c>
      <c r="B3322" t="s">
        <v>3478</v>
      </c>
      <c r="C3322" t="str">
        <f>"9780335210282"</f>
        <v>9780335210282</v>
      </c>
      <c r="D3322" t="str">
        <f>"9780335228072"</f>
        <v>9780335228072</v>
      </c>
      <c r="E3322" t="s">
        <v>2795</v>
      </c>
      <c r="F3322" t="s">
        <v>2796</v>
      </c>
      <c r="G3322" s="1">
        <v>37622</v>
      </c>
      <c r="H3322" s="1">
        <v>39262</v>
      </c>
      <c r="I3322" t="s">
        <v>12</v>
      </c>
      <c r="J3322" t="s">
        <v>14092</v>
      </c>
    </row>
    <row r="3323" spans="1:10" x14ac:dyDescent="0.25">
      <c r="A3323">
        <v>295499</v>
      </c>
      <c r="B3323" t="s">
        <v>3479</v>
      </c>
      <c r="C3323" t="str">
        <f>"9780335211173"</f>
        <v>9780335211173</v>
      </c>
      <c r="D3323" t="str">
        <f>"9780335228089"</f>
        <v>9780335228089</v>
      </c>
      <c r="E3323" t="s">
        <v>2795</v>
      </c>
      <c r="F3323" t="s">
        <v>2795</v>
      </c>
      <c r="G3323" s="1">
        <v>37956</v>
      </c>
      <c r="H3323" s="1">
        <v>39273</v>
      </c>
      <c r="I3323" t="s">
        <v>12</v>
      </c>
      <c r="J3323" t="s">
        <v>14093</v>
      </c>
    </row>
    <row r="3324" spans="1:10" x14ac:dyDescent="0.25">
      <c r="A3324">
        <v>295501</v>
      </c>
      <c r="B3324" t="s">
        <v>3480</v>
      </c>
      <c r="C3324" t="str">
        <f>"9780335217533"</f>
        <v>9780335217533</v>
      </c>
      <c r="D3324" t="str">
        <f>"9780335228102"</f>
        <v>9780335228102</v>
      </c>
      <c r="E3324" t="s">
        <v>2795</v>
      </c>
      <c r="F3324" t="s">
        <v>2796</v>
      </c>
      <c r="G3324" s="1">
        <v>38353</v>
      </c>
      <c r="H3324" s="1">
        <v>39262</v>
      </c>
      <c r="I3324" t="s">
        <v>12</v>
      </c>
      <c r="J3324" t="s">
        <v>14094</v>
      </c>
    </row>
    <row r="3325" spans="1:10" x14ac:dyDescent="0.25">
      <c r="A3325">
        <v>295505</v>
      </c>
      <c r="B3325" t="s">
        <v>3481</v>
      </c>
      <c r="C3325" t="str">
        <f>"9780335214990"</f>
        <v>9780335214990</v>
      </c>
      <c r="D3325" t="str">
        <f>"9780335228140"</f>
        <v>9780335228140</v>
      </c>
      <c r="E3325" t="s">
        <v>2795</v>
      </c>
      <c r="F3325" t="s">
        <v>2796</v>
      </c>
      <c r="G3325" s="1">
        <v>38504</v>
      </c>
      <c r="H3325" s="1">
        <v>39262</v>
      </c>
      <c r="I3325" t="s">
        <v>12</v>
      </c>
      <c r="J3325" t="s">
        <v>14095</v>
      </c>
    </row>
    <row r="3326" spans="1:10" x14ac:dyDescent="0.25">
      <c r="A3326">
        <v>295506</v>
      </c>
      <c r="B3326" t="s">
        <v>3482</v>
      </c>
      <c r="C3326" t="str">
        <f>"9780335216369"</f>
        <v>9780335216369</v>
      </c>
      <c r="D3326" t="str">
        <f>"9780335228157"</f>
        <v>9780335228157</v>
      </c>
      <c r="E3326" t="s">
        <v>2795</v>
      </c>
      <c r="F3326" t="s">
        <v>2796</v>
      </c>
      <c r="G3326" s="1">
        <v>38353</v>
      </c>
      <c r="H3326" s="1">
        <v>39276</v>
      </c>
      <c r="I3326" t="s">
        <v>12</v>
      </c>
      <c r="J3326" t="s">
        <v>14096</v>
      </c>
    </row>
    <row r="3327" spans="1:10" x14ac:dyDescent="0.25">
      <c r="A3327">
        <v>295507</v>
      </c>
      <c r="B3327" t="s">
        <v>3483</v>
      </c>
      <c r="C3327" t="str">
        <f>"9780335216321"</f>
        <v>9780335216321</v>
      </c>
      <c r="D3327" t="str">
        <f>"9780335228171"</f>
        <v>9780335228171</v>
      </c>
      <c r="E3327" t="s">
        <v>2795</v>
      </c>
      <c r="F3327" t="s">
        <v>2796</v>
      </c>
      <c r="G3327" s="1">
        <v>38353</v>
      </c>
      <c r="H3327" s="1">
        <v>39262</v>
      </c>
      <c r="I3327" t="s">
        <v>12</v>
      </c>
      <c r="J3327" t="s">
        <v>14097</v>
      </c>
    </row>
    <row r="3328" spans="1:10" x14ac:dyDescent="0.25">
      <c r="A3328">
        <v>295508</v>
      </c>
      <c r="B3328" t="s">
        <v>3484</v>
      </c>
      <c r="C3328" t="str">
        <f>"9780335216956"</f>
        <v>9780335216956</v>
      </c>
      <c r="D3328" t="str">
        <f>"9780335228188"</f>
        <v>9780335228188</v>
      </c>
      <c r="E3328" t="s">
        <v>2795</v>
      </c>
      <c r="F3328" t="s">
        <v>2796</v>
      </c>
      <c r="G3328" s="1">
        <v>38353</v>
      </c>
      <c r="H3328" s="1">
        <v>39275</v>
      </c>
      <c r="I3328" t="s">
        <v>12</v>
      </c>
      <c r="J3328" t="s">
        <v>14098</v>
      </c>
    </row>
    <row r="3329" spans="1:10" x14ac:dyDescent="0.25">
      <c r="A3329">
        <v>295514</v>
      </c>
      <c r="B3329" t="s">
        <v>3485</v>
      </c>
      <c r="C3329" t="str">
        <f>"9780335215232"</f>
        <v>9780335215232</v>
      </c>
      <c r="D3329" t="str">
        <f>"9780335228249"</f>
        <v>9780335228249</v>
      </c>
      <c r="E3329" t="s">
        <v>2795</v>
      </c>
      <c r="F3329" t="s">
        <v>2796</v>
      </c>
      <c r="G3329" s="1">
        <v>38353</v>
      </c>
      <c r="H3329" s="1">
        <v>39262</v>
      </c>
      <c r="I3329" t="s">
        <v>12</v>
      </c>
      <c r="J3329" t="s">
        <v>14099</v>
      </c>
    </row>
    <row r="3330" spans="1:10" x14ac:dyDescent="0.25">
      <c r="A3330">
        <v>295528</v>
      </c>
      <c r="B3330" t="s">
        <v>3486</v>
      </c>
      <c r="C3330" t="str">
        <f>"9780335216383"</f>
        <v>9780335216383</v>
      </c>
      <c r="D3330" t="str">
        <f>"9780335228386"</f>
        <v>9780335228386</v>
      </c>
      <c r="E3330" t="s">
        <v>2795</v>
      </c>
      <c r="F3330" t="s">
        <v>2796</v>
      </c>
      <c r="G3330" s="1">
        <v>38353</v>
      </c>
      <c r="H3330" s="1">
        <v>39262</v>
      </c>
      <c r="I3330" t="s">
        <v>12</v>
      </c>
      <c r="J3330" t="s">
        <v>14100</v>
      </c>
    </row>
    <row r="3331" spans="1:10" x14ac:dyDescent="0.25">
      <c r="A3331">
        <v>295532</v>
      </c>
      <c r="B3331" t="s">
        <v>3487</v>
      </c>
      <c r="C3331" t="str">
        <f>"9780335200160"</f>
        <v>9780335200160</v>
      </c>
      <c r="D3331" t="str">
        <f>"9780335228423"</f>
        <v>9780335228423</v>
      </c>
      <c r="E3331" t="s">
        <v>2795</v>
      </c>
      <c r="F3331" t="s">
        <v>2796</v>
      </c>
      <c r="G3331" s="1">
        <v>37622</v>
      </c>
      <c r="H3331" s="1">
        <v>39262</v>
      </c>
      <c r="I3331" t="s">
        <v>12</v>
      </c>
      <c r="J3331" t="s">
        <v>14101</v>
      </c>
    </row>
    <row r="3332" spans="1:10" x14ac:dyDescent="0.25">
      <c r="A3332">
        <v>295534</v>
      </c>
      <c r="B3332" t="s">
        <v>3488</v>
      </c>
      <c r="C3332" t="str">
        <f>"9780335219179"</f>
        <v>9780335219179</v>
      </c>
      <c r="D3332" t="str">
        <f>"9780335228447"</f>
        <v>9780335228447</v>
      </c>
      <c r="E3332" t="s">
        <v>2795</v>
      </c>
      <c r="F3332" t="s">
        <v>2796</v>
      </c>
      <c r="G3332" s="1">
        <v>38718</v>
      </c>
      <c r="H3332" s="1">
        <v>39275</v>
      </c>
      <c r="I3332" t="s">
        <v>12</v>
      </c>
      <c r="J3332" t="s">
        <v>14102</v>
      </c>
    </row>
    <row r="3333" spans="1:10" x14ac:dyDescent="0.25">
      <c r="A3333">
        <v>295538</v>
      </c>
      <c r="B3333" t="s">
        <v>3489</v>
      </c>
      <c r="C3333" t="str">
        <f>"9780335215966"</f>
        <v>9780335215966</v>
      </c>
      <c r="D3333" t="str">
        <f>"9780335228485"</f>
        <v>9780335228485</v>
      </c>
      <c r="E3333" t="s">
        <v>2795</v>
      </c>
      <c r="F3333" t="s">
        <v>2796</v>
      </c>
      <c r="G3333" s="1">
        <v>38353</v>
      </c>
      <c r="H3333" s="1">
        <v>39275</v>
      </c>
      <c r="I3333" t="s">
        <v>12</v>
      </c>
      <c r="J3333" t="s">
        <v>14103</v>
      </c>
    </row>
    <row r="3334" spans="1:10" x14ac:dyDescent="0.25">
      <c r="A3334">
        <v>295691</v>
      </c>
      <c r="B3334" t="s">
        <v>3490</v>
      </c>
      <c r="C3334" t="str">
        <f>"9780521551335"</f>
        <v>9780521551335</v>
      </c>
      <c r="D3334" t="str">
        <f>"9780511283949"</f>
        <v>9780511283949</v>
      </c>
      <c r="E3334" t="s">
        <v>18</v>
      </c>
      <c r="F3334" t="s">
        <v>18</v>
      </c>
      <c r="G3334" s="1">
        <v>39223</v>
      </c>
      <c r="H3334" s="1">
        <v>39266</v>
      </c>
      <c r="I3334" t="s">
        <v>12</v>
      </c>
      <c r="J3334" t="s">
        <v>14104</v>
      </c>
    </row>
    <row r="3335" spans="1:10" x14ac:dyDescent="0.25">
      <c r="A3335">
        <v>295694</v>
      </c>
      <c r="B3335" t="s">
        <v>3491</v>
      </c>
      <c r="C3335" t="str">
        <f>"9780521685658"</f>
        <v>9780521685658</v>
      </c>
      <c r="D3335" t="str">
        <f>"9780511283956"</f>
        <v>9780511283956</v>
      </c>
      <c r="E3335" t="s">
        <v>18</v>
      </c>
      <c r="F3335" t="s">
        <v>18</v>
      </c>
      <c r="G3335" s="1">
        <v>39184</v>
      </c>
      <c r="H3335" s="1">
        <v>39266</v>
      </c>
      <c r="I3335" t="s">
        <v>12</v>
      </c>
      <c r="J3335" t="s">
        <v>14105</v>
      </c>
    </row>
    <row r="3336" spans="1:10" x14ac:dyDescent="0.25">
      <c r="A3336">
        <v>295697</v>
      </c>
      <c r="B3336" t="s">
        <v>3492</v>
      </c>
      <c r="C3336" t="str">
        <f>"9780521793537"</f>
        <v>9780521793537</v>
      </c>
      <c r="D3336" t="str">
        <f>"9780511284106"</f>
        <v>9780511284106</v>
      </c>
      <c r="E3336" t="s">
        <v>18</v>
      </c>
      <c r="F3336" t="s">
        <v>18</v>
      </c>
      <c r="G3336" s="1">
        <v>39173</v>
      </c>
      <c r="H3336" s="1">
        <v>39266</v>
      </c>
      <c r="I3336" t="s">
        <v>12</v>
      </c>
      <c r="J3336" t="s">
        <v>14106</v>
      </c>
    </row>
    <row r="3337" spans="1:10" x14ac:dyDescent="0.25">
      <c r="A3337">
        <v>295712</v>
      </c>
      <c r="B3337" t="s">
        <v>3493</v>
      </c>
      <c r="C3337" t="str">
        <f>"9780521838801"</f>
        <v>9780521838801</v>
      </c>
      <c r="D3337" t="str">
        <f>"9780511285196"</f>
        <v>9780511285196</v>
      </c>
      <c r="E3337" t="s">
        <v>18</v>
      </c>
      <c r="F3337" t="s">
        <v>18</v>
      </c>
      <c r="G3337" s="1">
        <v>39212</v>
      </c>
      <c r="H3337" s="1">
        <v>39262</v>
      </c>
      <c r="I3337" t="s">
        <v>12</v>
      </c>
      <c r="J3337" t="s">
        <v>14107</v>
      </c>
    </row>
    <row r="3338" spans="1:10" x14ac:dyDescent="0.25">
      <c r="A3338">
        <v>295719</v>
      </c>
      <c r="B3338" t="s">
        <v>3494</v>
      </c>
      <c r="C3338" t="str">
        <f>"9780521851466"</f>
        <v>9780521851466</v>
      </c>
      <c r="D3338" t="str">
        <f>"9780511284069"</f>
        <v>9780511284069</v>
      </c>
      <c r="E3338" t="s">
        <v>18</v>
      </c>
      <c r="F3338" t="s">
        <v>18</v>
      </c>
      <c r="G3338" s="1">
        <v>39205</v>
      </c>
      <c r="H3338" s="1">
        <v>39266</v>
      </c>
      <c r="I3338" t="s">
        <v>12</v>
      </c>
      <c r="J3338" t="s">
        <v>14108</v>
      </c>
    </row>
    <row r="3339" spans="1:10" x14ac:dyDescent="0.25">
      <c r="A3339">
        <v>295725</v>
      </c>
      <c r="B3339" t="s">
        <v>3495</v>
      </c>
      <c r="C3339" t="str">
        <f>"9780521858755"</f>
        <v>9780521858755</v>
      </c>
      <c r="D3339" t="str">
        <f>"9780511284175"</f>
        <v>9780511284175</v>
      </c>
      <c r="E3339" t="s">
        <v>18</v>
      </c>
      <c r="F3339" t="s">
        <v>18</v>
      </c>
      <c r="G3339" s="1">
        <v>39230</v>
      </c>
      <c r="H3339" s="1">
        <v>39260</v>
      </c>
      <c r="I3339" t="s">
        <v>12</v>
      </c>
      <c r="J3339" t="s">
        <v>14109</v>
      </c>
    </row>
    <row r="3340" spans="1:10" x14ac:dyDescent="0.25">
      <c r="A3340">
        <v>295726</v>
      </c>
      <c r="B3340" t="s">
        <v>3496</v>
      </c>
      <c r="C3340" t="str">
        <f>"9780521859103"</f>
        <v>9780521859103</v>
      </c>
      <c r="D3340" t="str">
        <f>"9780511284441"</f>
        <v>9780511284441</v>
      </c>
      <c r="E3340" t="s">
        <v>18</v>
      </c>
      <c r="F3340" t="s">
        <v>18</v>
      </c>
      <c r="G3340" s="1">
        <v>39233</v>
      </c>
      <c r="H3340" s="1">
        <v>39260</v>
      </c>
      <c r="I3340" t="s">
        <v>12</v>
      </c>
      <c r="J3340" t="s">
        <v>14110</v>
      </c>
    </row>
    <row r="3341" spans="1:10" x14ac:dyDescent="0.25">
      <c r="A3341">
        <v>295727</v>
      </c>
      <c r="B3341" t="s">
        <v>3497</v>
      </c>
      <c r="C3341" t="str">
        <f>"9780521859189"</f>
        <v>9780521859189</v>
      </c>
      <c r="D3341" t="str">
        <f>"9780511284496"</f>
        <v>9780511284496</v>
      </c>
      <c r="E3341" t="s">
        <v>18</v>
      </c>
      <c r="F3341" t="s">
        <v>18</v>
      </c>
      <c r="G3341" s="1">
        <v>39203</v>
      </c>
      <c r="H3341" s="1">
        <v>39260</v>
      </c>
      <c r="I3341" t="s">
        <v>12</v>
      </c>
      <c r="J3341" t="s">
        <v>14111</v>
      </c>
    </row>
    <row r="3342" spans="1:10" x14ac:dyDescent="0.25">
      <c r="A3342">
        <v>295728</v>
      </c>
      <c r="B3342" t="s">
        <v>3498</v>
      </c>
      <c r="C3342" t="str">
        <f>"9780521860819"</f>
        <v>9780521860819</v>
      </c>
      <c r="D3342" t="str">
        <f>"9780511284007"</f>
        <v>9780511284007</v>
      </c>
      <c r="E3342" t="s">
        <v>18</v>
      </c>
      <c r="F3342" t="s">
        <v>18</v>
      </c>
      <c r="G3342" s="1">
        <v>39052</v>
      </c>
      <c r="H3342" s="1">
        <v>39253</v>
      </c>
      <c r="I3342" t="s">
        <v>12</v>
      </c>
      <c r="J3342" t="s">
        <v>14112</v>
      </c>
    </row>
    <row r="3343" spans="1:10" x14ac:dyDescent="0.25">
      <c r="A3343">
        <v>295735</v>
      </c>
      <c r="B3343" t="s">
        <v>3499</v>
      </c>
      <c r="C3343" t="str">
        <f>"9780521865494"</f>
        <v>9780521865494</v>
      </c>
      <c r="D3343" t="str">
        <f>"9780511284502"</f>
        <v>9780511284502</v>
      </c>
      <c r="E3343" t="s">
        <v>18</v>
      </c>
      <c r="F3343" t="s">
        <v>18</v>
      </c>
      <c r="G3343" s="1">
        <v>39203</v>
      </c>
      <c r="H3343" s="1">
        <v>39260</v>
      </c>
      <c r="I3343" t="s">
        <v>12</v>
      </c>
      <c r="J3343" t="s">
        <v>14113</v>
      </c>
    </row>
    <row r="3344" spans="1:10" x14ac:dyDescent="0.25">
      <c r="A3344">
        <v>295737</v>
      </c>
      <c r="B3344" t="s">
        <v>3500</v>
      </c>
      <c r="C3344" t="str">
        <f>"9780521866521"</f>
        <v>9780521866521</v>
      </c>
      <c r="D3344" t="str">
        <f>"9780511284458"</f>
        <v>9780511284458</v>
      </c>
      <c r="E3344" t="s">
        <v>18</v>
      </c>
      <c r="F3344" t="s">
        <v>18</v>
      </c>
      <c r="G3344" s="1">
        <v>39142</v>
      </c>
      <c r="H3344" s="1">
        <v>39262</v>
      </c>
      <c r="I3344" t="s">
        <v>12</v>
      </c>
      <c r="J3344" t="s">
        <v>14114</v>
      </c>
    </row>
    <row r="3345" spans="1:10" x14ac:dyDescent="0.25">
      <c r="A3345">
        <v>295745</v>
      </c>
      <c r="B3345" t="s">
        <v>3501</v>
      </c>
      <c r="C3345" t="str">
        <f>"9780521870894"</f>
        <v>9780521870894</v>
      </c>
      <c r="D3345" t="str">
        <f>"9780511284236"</f>
        <v>9780511284236</v>
      </c>
      <c r="E3345" t="s">
        <v>18</v>
      </c>
      <c r="F3345" t="s">
        <v>18</v>
      </c>
      <c r="G3345" s="1">
        <v>39173</v>
      </c>
      <c r="H3345" s="1">
        <v>39262</v>
      </c>
      <c r="I3345" t="s">
        <v>12</v>
      </c>
      <c r="J3345" t="s">
        <v>14115</v>
      </c>
    </row>
    <row r="3346" spans="1:10" x14ac:dyDescent="0.25">
      <c r="A3346">
        <v>295752</v>
      </c>
      <c r="B3346" t="s">
        <v>3502</v>
      </c>
      <c r="C3346" t="str">
        <f>"9780521872454"</f>
        <v>9780521872454</v>
      </c>
      <c r="D3346" t="str">
        <f>"9780511283895"</f>
        <v>9780511283895</v>
      </c>
      <c r="E3346" t="s">
        <v>18</v>
      </c>
      <c r="F3346" t="s">
        <v>18</v>
      </c>
      <c r="G3346" s="1">
        <v>39198</v>
      </c>
      <c r="H3346" s="1">
        <v>39246</v>
      </c>
      <c r="I3346" t="s">
        <v>12</v>
      </c>
      <c r="J3346" t="s">
        <v>14116</v>
      </c>
    </row>
    <row r="3347" spans="1:10" x14ac:dyDescent="0.25">
      <c r="A3347">
        <v>295753</v>
      </c>
      <c r="B3347" t="s">
        <v>3503</v>
      </c>
      <c r="C3347" t="str">
        <f>"9780521872799"</f>
        <v>9780521872799</v>
      </c>
      <c r="D3347" t="str">
        <f>"9780511284540"</f>
        <v>9780511284540</v>
      </c>
      <c r="E3347" t="s">
        <v>18</v>
      </c>
      <c r="F3347" t="s">
        <v>18</v>
      </c>
      <c r="G3347" s="1">
        <v>39203</v>
      </c>
      <c r="H3347" s="1">
        <v>39260</v>
      </c>
      <c r="I3347" t="s">
        <v>12</v>
      </c>
      <c r="J3347" t="s">
        <v>14117</v>
      </c>
    </row>
    <row r="3348" spans="1:10" x14ac:dyDescent="0.25">
      <c r="A3348">
        <v>295762</v>
      </c>
      <c r="B3348" t="s">
        <v>3504</v>
      </c>
      <c r="C3348" t="str">
        <f>"9780521875745"</f>
        <v>9780521875745</v>
      </c>
      <c r="D3348" t="str">
        <f>"9780511283925"</f>
        <v>9780511283925</v>
      </c>
      <c r="E3348" t="s">
        <v>18</v>
      </c>
      <c r="F3348" t="s">
        <v>18</v>
      </c>
      <c r="G3348" s="1">
        <v>39417</v>
      </c>
      <c r="H3348" s="1">
        <v>39266</v>
      </c>
      <c r="I3348" t="s">
        <v>12</v>
      </c>
      <c r="J3348" t="s">
        <v>14118</v>
      </c>
    </row>
    <row r="3349" spans="1:10" x14ac:dyDescent="0.25">
      <c r="A3349">
        <v>295767</v>
      </c>
      <c r="B3349" t="s">
        <v>3505</v>
      </c>
      <c r="C3349" t="str">
        <f>"9780521878869"</f>
        <v>9780521878869</v>
      </c>
      <c r="D3349" t="str">
        <f>"9780511284304"</f>
        <v>9780511284304</v>
      </c>
      <c r="E3349" t="s">
        <v>18</v>
      </c>
      <c r="F3349" t="s">
        <v>18</v>
      </c>
      <c r="G3349" s="1">
        <v>39191</v>
      </c>
      <c r="H3349" s="1">
        <v>39260</v>
      </c>
      <c r="I3349" t="s">
        <v>12</v>
      </c>
      <c r="J3349" t="s">
        <v>14119</v>
      </c>
    </row>
    <row r="3350" spans="1:10" x14ac:dyDescent="0.25">
      <c r="A3350">
        <v>296019</v>
      </c>
      <c r="B3350" t="s">
        <v>3506</v>
      </c>
      <c r="C3350" t="str">
        <f>"9781843108412"</f>
        <v>9781843108412</v>
      </c>
      <c r="D3350" t="str">
        <f>"9781846425684"</f>
        <v>9781846425684</v>
      </c>
      <c r="E3350" t="s">
        <v>2950</v>
      </c>
      <c r="F3350" t="s">
        <v>2950</v>
      </c>
      <c r="G3350" s="1">
        <v>39016</v>
      </c>
      <c r="H3350" s="1">
        <v>39319</v>
      </c>
      <c r="I3350" t="s">
        <v>12</v>
      </c>
      <c r="J3350" t="s">
        <v>14120</v>
      </c>
    </row>
    <row r="3351" spans="1:10" x14ac:dyDescent="0.25">
      <c r="A3351">
        <v>296034</v>
      </c>
      <c r="B3351" t="s">
        <v>3507</v>
      </c>
      <c r="C3351" t="str">
        <f>"9781843104308"</f>
        <v>9781843104308</v>
      </c>
      <c r="D3351" t="str">
        <f>"9781846425714"</f>
        <v>9781846425714</v>
      </c>
      <c r="E3351" t="s">
        <v>2950</v>
      </c>
      <c r="F3351" t="s">
        <v>2950</v>
      </c>
      <c r="G3351" s="1">
        <v>39036</v>
      </c>
      <c r="H3351" s="1">
        <v>39319</v>
      </c>
      <c r="I3351" t="s">
        <v>12</v>
      </c>
      <c r="J3351" t="s">
        <v>14121</v>
      </c>
    </row>
    <row r="3352" spans="1:10" x14ac:dyDescent="0.25">
      <c r="A3352">
        <v>296040</v>
      </c>
      <c r="B3352" t="s">
        <v>3508</v>
      </c>
      <c r="C3352" t="str">
        <f>"9781843103905"</f>
        <v>9781843103905</v>
      </c>
      <c r="D3352" t="str">
        <f>"9781846425776"</f>
        <v>9781846425776</v>
      </c>
      <c r="E3352" t="s">
        <v>2950</v>
      </c>
      <c r="F3352" t="s">
        <v>2950</v>
      </c>
      <c r="G3352" s="1">
        <v>39036</v>
      </c>
      <c r="H3352" s="1">
        <v>39319</v>
      </c>
      <c r="I3352" t="s">
        <v>12</v>
      </c>
      <c r="J3352" t="s">
        <v>14122</v>
      </c>
    </row>
    <row r="3353" spans="1:10" x14ac:dyDescent="0.25">
      <c r="A3353">
        <v>296045</v>
      </c>
      <c r="B3353" t="s">
        <v>3509</v>
      </c>
      <c r="C3353" t="str">
        <f>"9781843104209"</f>
        <v>9781843104209</v>
      </c>
      <c r="D3353" t="str">
        <f>"9781846425615"</f>
        <v>9781846425615</v>
      </c>
      <c r="E3353" t="s">
        <v>2950</v>
      </c>
      <c r="F3353" t="s">
        <v>2950</v>
      </c>
      <c r="G3353" s="1">
        <v>39010</v>
      </c>
      <c r="H3353" s="1">
        <v>39319</v>
      </c>
      <c r="I3353" t="s">
        <v>12</v>
      </c>
      <c r="J3353" t="s">
        <v>14123</v>
      </c>
    </row>
    <row r="3354" spans="1:10" x14ac:dyDescent="0.25">
      <c r="A3354">
        <v>296049</v>
      </c>
      <c r="B3354" t="s">
        <v>3510</v>
      </c>
      <c r="C3354" t="str">
        <f>"9789812563354"</f>
        <v>9789812563354</v>
      </c>
      <c r="D3354" t="str">
        <f>"9789812703408"</f>
        <v>9789812703408</v>
      </c>
      <c r="E3354" t="s">
        <v>1056</v>
      </c>
      <c r="F3354" t="s">
        <v>1056</v>
      </c>
      <c r="G3354" s="1">
        <v>38565</v>
      </c>
      <c r="H3354" s="1">
        <v>39266</v>
      </c>
      <c r="I3354" t="s">
        <v>12</v>
      </c>
      <c r="J3354" t="s">
        <v>14124</v>
      </c>
    </row>
    <row r="3355" spans="1:10" x14ac:dyDescent="0.25">
      <c r="A3355">
        <v>296050</v>
      </c>
      <c r="B3355" t="s">
        <v>3511</v>
      </c>
      <c r="C3355" t="str">
        <f>"9789812563941"</f>
        <v>9789812563941</v>
      </c>
      <c r="D3355" t="str">
        <f>"9789812700988"</f>
        <v>9789812700988</v>
      </c>
      <c r="E3355" t="s">
        <v>1042</v>
      </c>
      <c r="F3355" t="s">
        <v>1043</v>
      </c>
      <c r="G3355" s="1">
        <v>38678</v>
      </c>
      <c r="H3355" s="1">
        <v>39259</v>
      </c>
      <c r="I3355" t="s">
        <v>12</v>
      </c>
      <c r="J3355" t="s">
        <v>14125</v>
      </c>
    </row>
    <row r="3356" spans="1:10" x14ac:dyDescent="0.25">
      <c r="A3356">
        <v>296058</v>
      </c>
      <c r="B3356" t="s">
        <v>3512</v>
      </c>
      <c r="C3356" t="str">
        <f>"9789812383549"</f>
        <v>9789812383549</v>
      </c>
      <c r="D3356" t="str">
        <f>"9789812704955"</f>
        <v>9789812704955</v>
      </c>
      <c r="E3356" t="s">
        <v>1042</v>
      </c>
      <c r="F3356" t="s">
        <v>1043</v>
      </c>
      <c r="G3356" s="1">
        <v>37714</v>
      </c>
      <c r="H3356" s="1">
        <v>39250</v>
      </c>
      <c r="I3356" t="s">
        <v>12</v>
      </c>
      <c r="J3356" t="s">
        <v>14126</v>
      </c>
    </row>
    <row r="3357" spans="1:10" x14ac:dyDescent="0.25">
      <c r="A3357">
        <v>296063</v>
      </c>
      <c r="B3357" t="s">
        <v>3513</v>
      </c>
      <c r="C3357" t="str">
        <f>"9789812565181"</f>
        <v>9789812565181</v>
      </c>
      <c r="D3357" t="str">
        <f>"9789812703200"</f>
        <v>9789812703200</v>
      </c>
      <c r="E3357" t="s">
        <v>1056</v>
      </c>
      <c r="F3357" t="s">
        <v>1056</v>
      </c>
      <c r="G3357" s="1">
        <v>38626</v>
      </c>
      <c r="H3357" s="1">
        <v>39259</v>
      </c>
      <c r="I3357" t="s">
        <v>12</v>
      </c>
      <c r="J3357" t="s">
        <v>14127</v>
      </c>
    </row>
    <row r="3358" spans="1:10" x14ac:dyDescent="0.25">
      <c r="A3358">
        <v>296064</v>
      </c>
      <c r="B3358" t="s">
        <v>3514</v>
      </c>
      <c r="C3358" t="str">
        <f>"9789812388735"</f>
        <v>9789812388735</v>
      </c>
      <c r="D3358" t="str">
        <f>"9789812702661"</f>
        <v>9789812702661</v>
      </c>
      <c r="E3358" t="s">
        <v>1056</v>
      </c>
      <c r="F3358" t="s">
        <v>1056</v>
      </c>
      <c r="G3358" s="1">
        <v>38322</v>
      </c>
      <c r="H3358" s="1">
        <v>39259</v>
      </c>
      <c r="I3358" t="s">
        <v>12</v>
      </c>
      <c r="J3358" t="s">
        <v>14128</v>
      </c>
    </row>
    <row r="3359" spans="1:10" x14ac:dyDescent="0.25">
      <c r="A3359">
        <v>296086</v>
      </c>
      <c r="B3359" t="s">
        <v>3515</v>
      </c>
      <c r="C3359" t="str">
        <f>"9789812564658"</f>
        <v>9789812564658</v>
      </c>
      <c r="D3359" t="str">
        <f>"9789812703262"</f>
        <v>9789812703262</v>
      </c>
      <c r="E3359" t="s">
        <v>1056</v>
      </c>
      <c r="F3359" t="s">
        <v>1056</v>
      </c>
      <c r="G3359" s="1">
        <v>38716</v>
      </c>
      <c r="H3359" s="1">
        <v>39259</v>
      </c>
      <c r="I3359" t="s">
        <v>12</v>
      </c>
      <c r="J3359" t="s">
        <v>14129</v>
      </c>
    </row>
    <row r="3360" spans="1:10" x14ac:dyDescent="0.25">
      <c r="A3360">
        <v>296087</v>
      </c>
      <c r="B3360" t="s">
        <v>3516</v>
      </c>
      <c r="C3360" t="str">
        <f>"9789812565044"</f>
        <v>9789812565044</v>
      </c>
      <c r="D3360" t="str">
        <f>"9789812700872"</f>
        <v>9789812700872</v>
      </c>
      <c r="E3360" t="s">
        <v>1056</v>
      </c>
      <c r="F3360" t="s">
        <v>1056</v>
      </c>
      <c r="G3360" s="1">
        <v>39072</v>
      </c>
      <c r="H3360" s="1">
        <v>39259</v>
      </c>
      <c r="I3360" t="s">
        <v>12</v>
      </c>
      <c r="J3360" t="s">
        <v>14130</v>
      </c>
    </row>
    <row r="3361" spans="1:10" x14ac:dyDescent="0.25">
      <c r="A3361">
        <v>296123</v>
      </c>
      <c r="B3361" t="s">
        <v>3517</v>
      </c>
      <c r="C3361" t="str">
        <f>"9789812564078"</f>
        <v>9789812564078</v>
      </c>
      <c r="D3361" t="str">
        <f>"9789812700971"</f>
        <v>9789812700971</v>
      </c>
      <c r="E3361" t="s">
        <v>1042</v>
      </c>
      <c r="F3361" t="s">
        <v>1043</v>
      </c>
      <c r="G3361" s="1">
        <v>38644</v>
      </c>
      <c r="H3361" s="1">
        <v>39250</v>
      </c>
      <c r="I3361" t="s">
        <v>12</v>
      </c>
      <c r="J3361" t="s">
        <v>14131</v>
      </c>
    </row>
    <row r="3362" spans="1:10" x14ac:dyDescent="0.25">
      <c r="A3362">
        <v>296139</v>
      </c>
      <c r="B3362" t="s">
        <v>3518</v>
      </c>
      <c r="C3362" t="str">
        <f>"9789810249137"</f>
        <v>9789810249137</v>
      </c>
      <c r="D3362" t="str">
        <f>"9789812703538"</f>
        <v>9789812703538</v>
      </c>
      <c r="E3362" t="s">
        <v>1042</v>
      </c>
      <c r="F3362" t="s">
        <v>1043</v>
      </c>
      <c r="G3362" s="1">
        <v>38596</v>
      </c>
      <c r="H3362" s="1">
        <v>39266</v>
      </c>
      <c r="I3362" t="s">
        <v>12</v>
      </c>
      <c r="J3362" t="s">
        <v>14132</v>
      </c>
    </row>
    <row r="3363" spans="1:10" x14ac:dyDescent="0.25">
      <c r="A3363">
        <v>296152</v>
      </c>
      <c r="B3363" t="s">
        <v>3519</v>
      </c>
      <c r="C3363" t="str">
        <f>"9789812561404"</f>
        <v>9789812561404</v>
      </c>
      <c r="D3363" t="str">
        <f>"9789812701251"</f>
        <v>9789812701251</v>
      </c>
      <c r="E3363" t="s">
        <v>1042</v>
      </c>
      <c r="F3363" t="s">
        <v>1043</v>
      </c>
      <c r="G3363" s="1">
        <v>38412</v>
      </c>
      <c r="H3363" s="1">
        <v>39259</v>
      </c>
      <c r="I3363" t="s">
        <v>12</v>
      </c>
      <c r="J3363" t="s">
        <v>14133</v>
      </c>
    </row>
    <row r="3364" spans="1:10" x14ac:dyDescent="0.25">
      <c r="A3364">
        <v>296157</v>
      </c>
      <c r="B3364" t="s">
        <v>3520</v>
      </c>
      <c r="C3364" t="str">
        <f>"9789812564139"</f>
        <v>9789812564139</v>
      </c>
      <c r="D3364" t="str">
        <f>"9789812700940"</f>
        <v>9789812700940</v>
      </c>
      <c r="E3364" t="s">
        <v>1042</v>
      </c>
      <c r="F3364" t="s">
        <v>1043</v>
      </c>
      <c r="G3364" s="1">
        <v>38678</v>
      </c>
      <c r="H3364" s="1">
        <v>39250</v>
      </c>
      <c r="I3364" t="s">
        <v>12</v>
      </c>
      <c r="J3364" t="s">
        <v>14134</v>
      </c>
    </row>
    <row r="3365" spans="1:10" x14ac:dyDescent="0.25">
      <c r="A3365">
        <v>296183</v>
      </c>
      <c r="B3365" t="s">
        <v>3521</v>
      </c>
      <c r="C3365" t="str">
        <f>"9789812564986"</f>
        <v>9789812564986</v>
      </c>
      <c r="D3365" t="str">
        <f>"9789812703248"</f>
        <v>9789812703248</v>
      </c>
      <c r="E3365" t="s">
        <v>1056</v>
      </c>
      <c r="F3365" t="s">
        <v>1056</v>
      </c>
      <c r="G3365" s="1">
        <v>38687</v>
      </c>
      <c r="H3365" s="1">
        <v>39259</v>
      </c>
      <c r="I3365" t="s">
        <v>12</v>
      </c>
      <c r="J3365" t="s">
        <v>14135</v>
      </c>
    </row>
    <row r="3366" spans="1:10" x14ac:dyDescent="0.25">
      <c r="A3366">
        <v>296213</v>
      </c>
      <c r="B3366" t="s">
        <v>3522</v>
      </c>
      <c r="C3366" t="str">
        <f>"9789812566188"</f>
        <v>9789812566188</v>
      </c>
      <c r="D3366" t="str">
        <f>"9789812700902"</f>
        <v>9789812700902</v>
      </c>
      <c r="E3366" t="s">
        <v>1042</v>
      </c>
      <c r="F3366" t="s">
        <v>1043</v>
      </c>
      <c r="G3366" s="1">
        <v>38663</v>
      </c>
      <c r="H3366" s="1">
        <v>39259</v>
      </c>
      <c r="I3366" t="s">
        <v>12</v>
      </c>
      <c r="J3366" t="s">
        <v>14136</v>
      </c>
    </row>
    <row r="3367" spans="1:10" x14ac:dyDescent="0.25">
      <c r="A3367">
        <v>296265</v>
      </c>
      <c r="B3367" t="s">
        <v>3523</v>
      </c>
      <c r="C3367" t="str">
        <f>"9789812563743"</f>
        <v>9789812563743</v>
      </c>
      <c r="D3367" t="str">
        <f>"9789812701022"</f>
        <v>9789812701022</v>
      </c>
      <c r="E3367" t="s">
        <v>1056</v>
      </c>
      <c r="F3367" t="s">
        <v>1056</v>
      </c>
      <c r="G3367" s="1">
        <v>38687</v>
      </c>
      <c r="H3367" s="1">
        <v>39259</v>
      </c>
      <c r="I3367" t="s">
        <v>12</v>
      </c>
      <c r="J3367" t="s">
        <v>14137</v>
      </c>
    </row>
    <row r="3368" spans="1:10" x14ac:dyDescent="0.25">
      <c r="A3368">
        <v>296273</v>
      </c>
      <c r="B3368" t="s">
        <v>3524</v>
      </c>
      <c r="C3368" t="str">
        <f>"9789812563545"</f>
        <v>9789812563545</v>
      </c>
      <c r="D3368" t="str">
        <f>"9789812701831"</f>
        <v>9789812701831</v>
      </c>
      <c r="E3368" t="s">
        <v>1056</v>
      </c>
      <c r="F3368" t="s">
        <v>1056</v>
      </c>
      <c r="G3368" s="1">
        <v>38687</v>
      </c>
      <c r="H3368" s="1">
        <v>39259</v>
      </c>
      <c r="I3368" t="s">
        <v>12</v>
      </c>
      <c r="J3368" t="s">
        <v>14138</v>
      </c>
    </row>
    <row r="3369" spans="1:10" x14ac:dyDescent="0.25">
      <c r="A3369">
        <v>296277</v>
      </c>
      <c r="B3369" t="s">
        <v>3525</v>
      </c>
      <c r="C3369" t="str">
        <f>"9789812564306"</f>
        <v>9789812564306</v>
      </c>
      <c r="D3369" t="str">
        <f>"9789812701664"</f>
        <v>9789812701664</v>
      </c>
      <c r="E3369" t="s">
        <v>1056</v>
      </c>
      <c r="F3369" t="s">
        <v>1056</v>
      </c>
      <c r="G3369" s="1">
        <v>38687</v>
      </c>
      <c r="H3369" s="1">
        <v>39259</v>
      </c>
      <c r="I3369" t="s">
        <v>12</v>
      </c>
      <c r="J3369" t="s">
        <v>14139</v>
      </c>
    </row>
    <row r="3370" spans="1:10" x14ac:dyDescent="0.25">
      <c r="A3370">
        <v>296280</v>
      </c>
      <c r="B3370" t="s">
        <v>3526</v>
      </c>
      <c r="C3370" t="str">
        <f>"9789812565174"</f>
        <v>9789812565174</v>
      </c>
      <c r="D3370" t="str">
        <f>"9789812700865"</f>
        <v>9789812700865</v>
      </c>
      <c r="E3370" t="s">
        <v>1042</v>
      </c>
      <c r="F3370" t="s">
        <v>1043</v>
      </c>
      <c r="G3370" s="1">
        <v>38702</v>
      </c>
      <c r="H3370" s="1">
        <v>39259</v>
      </c>
      <c r="I3370" t="s">
        <v>12</v>
      </c>
      <c r="J3370" t="s">
        <v>14140</v>
      </c>
    </row>
    <row r="3371" spans="1:10" x14ac:dyDescent="0.25">
      <c r="A3371">
        <v>296357</v>
      </c>
      <c r="B3371" t="s">
        <v>3527</v>
      </c>
      <c r="C3371" t="str">
        <f>"9780333751510"</f>
        <v>9780333751510</v>
      </c>
      <c r="D3371" t="str">
        <f>"9780230802377"</f>
        <v>9780230802377</v>
      </c>
      <c r="E3371" t="s">
        <v>3285</v>
      </c>
      <c r="F3371" t="s">
        <v>3286</v>
      </c>
      <c r="G3371" s="1">
        <v>37865</v>
      </c>
      <c r="H3371" s="1">
        <v>39282</v>
      </c>
      <c r="I3371" t="s">
        <v>12</v>
      </c>
      <c r="J3371" t="s">
        <v>14141</v>
      </c>
    </row>
    <row r="3372" spans="1:10" x14ac:dyDescent="0.25">
      <c r="A3372">
        <v>296358</v>
      </c>
      <c r="B3372" t="s">
        <v>3528</v>
      </c>
      <c r="C3372" t="str">
        <f>"9780333981207"</f>
        <v>9780333981207</v>
      </c>
      <c r="D3372" t="str">
        <f>"9781403938480"</f>
        <v>9781403938480</v>
      </c>
      <c r="E3372" t="s">
        <v>3285</v>
      </c>
      <c r="F3372" t="s">
        <v>3286</v>
      </c>
      <c r="G3372" s="1">
        <v>37926</v>
      </c>
      <c r="H3372" s="1">
        <v>39282</v>
      </c>
      <c r="I3372" t="s">
        <v>12</v>
      </c>
      <c r="J3372" t="s">
        <v>14142</v>
      </c>
    </row>
    <row r="3373" spans="1:10" x14ac:dyDescent="0.25">
      <c r="A3373">
        <v>296362</v>
      </c>
      <c r="B3373" t="s">
        <v>3529</v>
      </c>
      <c r="C3373" t="str">
        <f>"9780333949870"</f>
        <v>9780333949870</v>
      </c>
      <c r="D3373" t="str">
        <f>"9780230801776"</f>
        <v>9780230801776</v>
      </c>
      <c r="E3373" t="s">
        <v>3285</v>
      </c>
      <c r="F3373" t="s">
        <v>3286</v>
      </c>
      <c r="G3373" s="1">
        <v>37025</v>
      </c>
      <c r="H3373" s="1">
        <v>39282</v>
      </c>
      <c r="I3373" t="s">
        <v>12</v>
      </c>
      <c r="J3373" t="s">
        <v>14143</v>
      </c>
    </row>
    <row r="3374" spans="1:10" x14ac:dyDescent="0.25">
      <c r="A3374">
        <v>296364</v>
      </c>
      <c r="B3374" t="s">
        <v>3530</v>
      </c>
      <c r="C3374" t="str">
        <f>"9780333947159"</f>
        <v>9780333947159</v>
      </c>
      <c r="D3374" t="str">
        <f>"9780230629738"</f>
        <v>9780230629738</v>
      </c>
      <c r="E3374" t="s">
        <v>3285</v>
      </c>
      <c r="F3374" t="s">
        <v>3286</v>
      </c>
      <c r="G3374" s="1">
        <v>37125</v>
      </c>
      <c r="H3374" s="1">
        <v>39249</v>
      </c>
      <c r="I3374" t="s">
        <v>12</v>
      </c>
      <c r="J3374" t="s">
        <v>14144</v>
      </c>
    </row>
    <row r="3375" spans="1:10" x14ac:dyDescent="0.25">
      <c r="A3375">
        <v>296370</v>
      </c>
      <c r="B3375" t="s">
        <v>3531</v>
      </c>
      <c r="C3375" t="str">
        <f>"9780333677728"</f>
        <v>9780333677728</v>
      </c>
      <c r="D3375" t="str">
        <f>"9780230802476"</f>
        <v>9780230802476</v>
      </c>
      <c r="E3375" t="s">
        <v>3285</v>
      </c>
      <c r="F3375" t="s">
        <v>3286</v>
      </c>
      <c r="G3375" s="1">
        <v>37195</v>
      </c>
      <c r="H3375" s="1">
        <v>39413</v>
      </c>
      <c r="I3375" t="s">
        <v>12</v>
      </c>
      <c r="J3375" t="s">
        <v>14145</v>
      </c>
    </row>
    <row r="3376" spans="1:10" x14ac:dyDescent="0.25">
      <c r="A3376">
        <v>296394</v>
      </c>
      <c r="B3376" t="s">
        <v>3532</v>
      </c>
      <c r="C3376" t="str">
        <f>"9781403901064"</f>
        <v>9781403901064</v>
      </c>
      <c r="D3376" t="str">
        <f>"9780230802131"</f>
        <v>9780230802131</v>
      </c>
      <c r="E3376" t="s">
        <v>3285</v>
      </c>
      <c r="F3376" t="s">
        <v>3286</v>
      </c>
      <c r="G3376" s="1">
        <v>37681</v>
      </c>
      <c r="H3376" s="1">
        <v>39249</v>
      </c>
      <c r="I3376" t="s">
        <v>12</v>
      </c>
      <c r="J3376" t="s">
        <v>14146</v>
      </c>
    </row>
    <row r="3377" spans="1:10" x14ac:dyDescent="0.25">
      <c r="A3377">
        <v>296399</v>
      </c>
      <c r="B3377" t="s">
        <v>3533</v>
      </c>
      <c r="C3377" t="str">
        <f>"9781403912237"</f>
        <v>9781403912237</v>
      </c>
      <c r="D3377" t="str">
        <f>"9780230802438"</f>
        <v>9780230802438</v>
      </c>
      <c r="E3377" t="s">
        <v>3285</v>
      </c>
      <c r="F3377" t="s">
        <v>3286</v>
      </c>
      <c r="G3377" s="1">
        <v>38078</v>
      </c>
      <c r="H3377" s="1">
        <v>39249</v>
      </c>
      <c r="I3377" t="s">
        <v>12</v>
      </c>
      <c r="J3377" t="s">
        <v>14147</v>
      </c>
    </row>
    <row r="3378" spans="1:10" x14ac:dyDescent="0.25">
      <c r="A3378">
        <v>296424</v>
      </c>
      <c r="B3378" t="s">
        <v>3534</v>
      </c>
      <c r="C3378" t="str">
        <f>"9780333987704"</f>
        <v>9780333987704</v>
      </c>
      <c r="D3378" t="str">
        <f>"9780230802308"</f>
        <v>9780230802308</v>
      </c>
      <c r="E3378" t="s">
        <v>3285</v>
      </c>
      <c r="F3378" t="s">
        <v>3286</v>
      </c>
      <c r="G3378" s="1">
        <v>37433</v>
      </c>
      <c r="H3378" s="1">
        <v>39250</v>
      </c>
      <c r="I3378" t="s">
        <v>12</v>
      </c>
      <c r="J3378" t="s">
        <v>14148</v>
      </c>
    </row>
    <row r="3379" spans="1:10" x14ac:dyDescent="0.25">
      <c r="A3379">
        <v>296437</v>
      </c>
      <c r="B3379" t="s">
        <v>3535</v>
      </c>
      <c r="C3379" t="str">
        <f>"9781403913463"</f>
        <v>9781403913463</v>
      </c>
      <c r="D3379" t="str">
        <f>"9780230801943"</f>
        <v>9780230801943</v>
      </c>
      <c r="E3379" t="s">
        <v>3285</v>
      </c>
      <c r="F3379" t="s">
        <v>3286</v>
      </c>
      <c r="G3379" s="1">
        <v>37757</v>
      </c>
      <c r="H3379" s="1">
        <v>39249</v>
      </c>
      <c r="I3379" t="s">
        <v>12</v>
      </c>
      <c r="J3379" t="s">
        <v>14149</v>
      </c>
    </row>
    <row r="3380" spans="1:10" x14ac:dyDescent="0.25">
      <c r="A3380">
        <v>296438</v>
      </c>
      <c r="B3380" t="s">
        <v>3536</v>
      </c>
      <c r="C3380" t="str">
        <f>"9781403916563"</f>
        <v>9781403916563</v>
      </c>
      <c r="D3380" t="str">
        <f>"9780230801929"</f>
        <v>9780230801929</v>
      </c>
      <c r="E3380" t="s">
        <v>3285</v>
      </c>
      <c r="F3380" t="s">
        <v>3286</v>
      </c>
      <c r="G3380" s="1">
        <v>38108</v>
      </c>
      <c r="H3380" s="1">
        <v>39249</v>
      </c>
      <c r="I3380" t="s">
        <v>12</v>
      </c>
      <c r="J3380" t="s">
        <v>14150</v>
      </c>
    </row>
    <row r="3381" spans="1:10" x14ac:dyDescent="0.25">
      <c r="A3381">
        <v>296450</v>
      </c>
      <c r="B3381" t="s">
        <v>3537</v>
      </c>
      <c r="C3381" t="str">
        <f>"9780333781937"</f>
        <v>9780333781937</v>
      </c>
      <c r="D3381" t="str">
        <f>"9780230801950"</f>
        <v>9780230801950</v>
      </c>
      <c r="E3381" t="s">
        <v>3285</v>
      </c>
      <c r="F3381" t="s">
        <v>3286</v>
      </c>
      <c r="G3381" s="1">
        <v>36839</v>
      </c>
      <c r="H3381" s="1">
        <v>39282</v>
      </c>
      <c r="I3381" t="s">
        <v>12</v>
      </c>
      <c r="J3381" t="s">
        <v>14151</v>
      </c>
    </row>
    <row r="3382" spans="1:10" x14ac:dyDescent="0.25">
      <c r="A3382">
        <v>296460</v>
      </c>
      <c r="B3382" t="s">
        <v>3538</v>
      </c>
      <c r="C3382" t="str">
        <f>"9780333650561"</f>
        <v>9780333650561</v>
      </c>
      <c r="D3382" t="str">
        <f>"9780230801844"</f>
        <v>9780230801844</v>
      </c>
      <c r="E3382" t="s">
        <v>3285</v>
      </c>
      <c r="F3382" t="s">
        <v>3286</v>
      </c>
      <c r="G3382" s="1">
        <v>37838</v>
      </c>
      <c r="H3382" s="1">
        <v>39414</v>
      </c>
      <c r="I3382" t="s">
        <v>12</v>
      </c>
      <c r="J3382" t="s">
        <v>14152</v>
      </c>
    </row>
    <row r="3383" spans="1:10" x14ac:dyDescent="0.25">
      <c r="A3383">
        <v>296461</v>
      </c>
      <c r="B3383" t="s">
        <v>3539</v>
      </c>
      <c r="C3383" t="str">
        <f>"9780333968710"</f>
        <v>9780333968710</v>
      </c>
      <c r="D3383" t="str">
        <f>"9780230802605"</f>
        <v>9780230802605</v>
      </c>
      <c r="E3383" t="s">
        <v>3285</v>
      </c>
      <c r="F3383" t="s">
        <v>3286</v>
      </c>
      <c r="G3383" s="1">
        <v>37194</v>
      </c>
      <c r="H3383" s="1">
        <v>39249</v>
      </c>
      <c r="I3383" t="s">
        <v>12</v>
      </c>
      <c r="J3383" t="s">
        <v>14153</v>
      </c>
    </row>
    <row r="3384" spans="1:10" x14ac:dyDescent="0.25">
      <c r="A3384">
        <v>296463</v>
      </c>
      <c r="B3384" t="s">
        <v>3540</v>
      </c>
      <c r="C3384" t="str">
        <f>"9780333948255"</f>
        <v>9780333948255</v>
      </c>
      <c r="D3384" t="str">
        <f>"9780230629486"</f>
        <v>9780230629486</v>
      </c>
      <c r="E3384" t="s">
        <v>3285</v>
      </c>
      <c r="F3384" t="s">
        <v>3286</v>
      </c>
      <c r="G3384" s="1">
        <v>37865</v>
      </c>
      <c r="H3384" s="1">
        <v>39282</v>
      </c>
      <c r="I3384" t="s">
        <v>12</v>
      </c>
      <c r="J3384" t="s">
        <v>14154</v>
      </c>
    </row>
    <row r="3385" spans="1:10" x14ac:dyDescent="0.25">
      <c r="A3385">
        <v>296483</v>
      </c>
      <c r="B3385" t="s">
        <v>3541</v>
      </c>
      <c r="C3385" t="str">
        <f>"9781403998194"</f>
        <v>9781403998194</v>
      </c>
      <c r="D3385" t="str">
        <f>"9780230801523"</f>
        <v>9780230801523</v>
      </c>
      <c r="E3385" t="s">
        <v>875</v>
      </c>
      <c r="F3385" t="s">
        <v>875</v>
      </c>
      <c r="G3385" s="1">
        <v>39184</v>
      </c>
      <c r="H3385" s="1">
        <v>39249</v>
      </c>
      <c r="I3385" t="s">
        <v>12</v>
      </c>
      <c r="J3385" t="s">
        <v>14155</v>
      </c>
    </row>
    <row r="3386" spans="1:10" x14ac:dyDescent="0.25">
      <c r="A3386">
        <v>296513</v>
      </c>
      <c r="B3386" t="s">
        <v>3542</v>
      </c>
      <c r="C3386" t="str">
        <f>"9780230500471"</f>
        <v>9780230500471</v>
      </c>
      <c r="D3386" t="str">
        <f>"9780230801295"</f>
        <v>9780230801295</v>
      </c>
      <c r="E3386" t="s">
        <v>875</v>
      </c>
      <c r="F3386" t="s">
        <v>875</v>
      </c>
      <c r="G3386" s="1">
        <v>39092</v>
      </c>
      <c r="H3386" s="1">
        <v>39249</v>
      </c>
      <c r="I3386" t="s">
        <v>12</v>
      </c>
      <c r="J3386" t="s">
        <v>14156</v>
      </c>
    </row>
    <row r="3387" spans="1:10" x14ac:dyDescent="0.25">
      <c r="A3387">
        <v>296520</v>
      </c>
      <c r="B3387" t="s">
        <v>3543</v>
      </c>
      <c r="C3387" t="str">
        <f>"9781403918703"</f>
        <v>9781403918703</v>
      </c>
      <c r="D3387" t="str">
        <f>"9780230801868"</f>
        <v>9780230801868</v>
      </c>
      <c r="E3387" t="s">
        <v>3285</v>
      </c>
      <c r="F3387" t="s">
        <v>3286</v>
      </c>
      <c r="G3387" s="1">
        <v>37576</v>
      </c>
      <c r="H3387" s="1">
        <v>39282</v>
      </c>
      <c r="I3387" t="s">
        <v>12</v>
      </c>
      <c r="J3387" t="s">
        <v>14157</v>
      </c>
    </row>
    <row r="3388" spans="1:10" x14ac:dyDescent="0.25">
      <c r="A3388">
        <v>296522</v>
      </c>
      <c r="B3388" t="s">
        <v>3544</v>
      </c>
      <c r="C3388" t="str">
        <f>"9780333990254"</f>
        <v>9780333990254</v>
      </c>
      <c r="D3388" t="str">
        <f>"9780230802421"</f>
        <v>9780230802421</v>
      </c>
      <c r="E3388" t="s">
        <v>3285</v>
      </c>
      <c r="F3388" t="s">
        <v>3286</v>
      </c>
      <c r="G3388" s="1">
        <v>37683</v>
      </c>
      <c r="H3388" s="1">
        <v>39249</v>
      </c>
      <c r="I3388" t="s">
        <v>12</v>
      </c>
      <c r="J3388" t="s">
        <v>14158</v>
      </c>
    </row>
    <row r="3389" spans="1:10" x14ac:dyDescent="0.25">
      <c r="A3389">
        <v>296540</v>
      </c>
      <c r="B3389" t="s">
        <v>3545</v>
      </c>
      <c r="C3389" t="str">
        <f>"9781403986429"</f>
        <v>9781403986429</v>
      </c>
      <c r="D3389" t="str">
        <f>"9780230801394"</f>
        <v>9780230801394</v>
      </c>
      <c r="E3389" t="s">
        <v>875</v>
      </c>
      <c r="F3389" t="s">
        <v>875</v>
      </c>
      <c r="G3389" s="1">
        <v>39091</v>
      </c>
      <c r="H3389" s="1">
        <v>39249</v>
      </c>
      <c r="I3389" t="s">
        <v>12</v>
      </c>
      <c r="J3389" t="s">
        <v>14159</v>
      </c>
    </row>
    <row r="3390" spans="1:10" x14ac:dyDescent="0.25">
      <c r="A3390">
        <v>296543</v>
      </c>
      <c r="B3390" t="s">
        <v>3546</v>
      </c>
      <c r="C3390" t="str">
        <f>"9780230019027"</f>
        <v>9780230019027</v>
      </c>
      <c r="D3390" t="str">
        <f>"9780230801462"</f>
        <v>9780230801462</v>
      </c>
      <c r="E3390" t="s">
        <v>875</v>
      </c>
      <c r="F3390" t="s">
        <v>875</v>
      </c>
      <c r="G3390" s="1">
        <v>39087</v>
      </c>
      <c r="H3390" s="1">
        <v>39249</v>
      </c>
      <c r="I3390" t="s">
        <v>12</v>
      </c>
      <c r="J3390" t="s">
        <v>14160</v>
      </c>
    </row>
    <row r="3391" spans="1:10" x14ac:dyDescent="0.25">
      <c r="A3391">
        <v>296545</v>
      </c>
      <c r="B3391" t="s">
        <v>3547</v>
      </c>
      <c r="C3391" t="str">
        <f>"9781403999351"</f>
        <v>9781403999351</v>
      </c>
      <c r="D3391" t="str">
        <f>"9780230801516"</f>
        <v>9780230801516</v>
      </c>
      <c r="E3391" t="s">
        <v>875</v>
      </c>
      <c r="F3391" t="s">
        <v>875</v>
      </c>
      <c r="G3391" s="1">
        <v>39162</v>
      </c>
      <c r="H3391" s="1">
        <v>39249</v>
      </c>
      <c r="I3391" t="s">
        <v>12</v>
      </c>
      <c r="J3391" t="s">
        <v>14161</v>
      </c>
    </row>
    <row r="3392" spans="1:10" x14ac:dyDescent="0.25">
      <c r="A3392">
        <v>296557</v>
      </c>
      <c r="B3392" t="s">
        <v>3548</v>
      </c>
      <c r="C3392" t="str">
        <f>"9780815701323"</f>
        <v>9780815701323</v>
      </c>
      <c r="D3392" t="str">
        <f>"9780815701330"</f>
        <v>9780815701330</v>
      </c>
      <c r="E3392" t="s">
        <v>2013</v>
      </c>
      <c r="F3392" t="s">
        <v>2013</v>
      </c>
      <c r="G3392" s="1">
        <v>39324</v>
      </c>
      <c r="H3392" s="1">
        <v>39249</v>
      </c>
      <c r="I3392" t="s">
        <v>12</v>
      </c>
      <c r="J3392" t="s">
        <v>14162</v>
      </c>
    </row>
    <row r="3393" spans="1:10" x14ac:dyDescent="0.25">
      <c r="A3393">
        <v>296558</v>
      </c>
      <c r="B3393" t="s">
        <v>3549</v>
      </c>
      <c r="C3393" t="str">
        <f>"9780815729839"</f>
        <v>9780815729839</v>
      </c>
      <c r="D3393" t="str">
        <f>"9780815729846"</f>
        <v>9780815729846</v>
      </c>
      <c r="E3393" t="s">
        <v>2013</v>
      </c>
      <c r="F3393" t="s">
        <v>3550</v>
      </c>
      <c r="G3393" s="1">
        <v>39387</v>
      </c>
      <c r="H3393" s="1">
        <v>39249</v>
      </c>
      <c r="I3393" t="s">
        <v>12</v>
      </c>
      <c r="J3393" t="s">
        <v>14163</v>
      </c>
    </row>
    <row r="3394" spans="1:10" x14ac:dyDescent="0.25">
      <c r="A3394">
        <v>296559</v>
      </c>
      <c r="B3394" t="s">
        <v>3551</v>
      </c>
      <c r="C3394" t="str">
        <f>"9780815758570"</f>
        <v>9780815758570</v>
      </c>
      <c r="D3394" t="str">
        <f>"9780815758587"</f>
        <v>9780815758587</v>
      </c>
      <c r="E3394" t="s">
        <v>2013</v>
      </c>
      <c r="F3394" t="s">
        <v>2013</v>
      </c>
      <c r="G3394" s="1">
        <v>39192</v>
      </c>
      <c r="H3394" s="1">
        <v>39249</v>
      </c>
      <c r="I3394" t="s">
        <v>12</v>
      </c>
      <c r="J3394" t="s">
        <v>14164</v>
      </c>
    </row>
    <row r="3395" spans="1:10" x14ac:dyDescent="0.25">
      <c r="A3395">
        <v>296562</v>
      </c>
      <c r="B3395" t="s">
        <v>3552</v>
      </c>
      <c r="C3395" t="str">
        <f>"9780815713753"</f>
        <v>9780815713753</v>
      </c>
      <c r="D3395" t="str">
        <f>"9780815713760"</f>
        <v>9780815713760</v>
      </c>
      <c r="E3395" t="s">
        <v>2013</v>
      </c>
      <c r="F3395" t="s">
        <v>2013</v>
      </c>
      <c r="G3395" s="1">
        <v>39447</v>
      </c>
      <c r="H3395" s="1">
        <v>39249</v>
      </c>
      <c r="I3395" t="s">
        <v>12</v>
      </c>
      <c r="J3395" t="s">
        <v>14165</v>
      </c>
    </row>
    <row r="3396" spans="1:10" x14ac:dyDescent="0.25">
      <c r="A3396">
        <v>296688</v>
      </c>
      <c r="B3396" t="s">
        <v>3553</v>
      </c>
      <c r="C3396" t="str">
        <f>"9780240516059"</f>
        <v>9780240516059</v>
      </c>
      <c r="D3396" t="str">
        <f>"9780080504575"</f>
        <v>9780080504575</v>
      </c>
      <c r="E3396" t="s">
        <v>15</v>
      </c>
      <c r="F3396" t="s">
        <v>16</v>
      </c>
      <c r="G3396" s="1">
        <v>36696</v>
      </c>
      <c r="H3396" s="1">
        <v>39250</v>
      </c>
      <c r="I3396" t="s">
        <v>12</v>
      </c>
      <c r="J3396" t="s">
        <v>14166</v>
      </c>
    </row>
    <row r="3397" spans="1:10" x14ac:dyDescent="0.25">
      <c r="A3397">
        <v>296690</v>
      </c>
      <c r="B3397" t="s">
        <v>3554</v>
      </c>
      <c r="C3397" t="str">
        <f>"9780750650359"</f>
        <v>9780750650359</v>
      </c>
      <c r="D3397" t="str">
        <f>"9780080515229"</f>
        <v>9780080515229</v>
      </c>
      <c r="E3397" t="s">
        <v>15</v>
      </c>
      <c r="F3397" t="s">
        <v>16</v>
      </c>
      <c r="G3397" s="1">
        <v>37124</v>
      </c>
      <c r="H3397" s="1">
        <v>39249</v>
      </c>
      <c r="I3397" t="s">
        <v>12</v>
      </c>
      <c r="J3397" t="s">
        <v>14167</v>
      </c>
    </row>
    <row r="3398" spans="1:10" x14ac:dyDescent="0.25">
      <c r="A3398">
        <v>296694</v>
      </c>
      <c r="B3398" t="s">
        <v>3555</v>
      </c>
      <c r="C3398" t="str">
        <f>"9780750656962"</f>
        <v>9780750656962</v>
      </c>
      <c r="D3398" t="str">
        <f>"9780080516226"</f>
        <v>9780080516226</v>
      </c>
      <c r="E3398" t="s">
        <v>15</v>
      </c>
      <c r="F3398" t="s">
        <v>16</v>
      </c>
      <c r="G3398" s="1">
        <v>37939</v>
      </c>
      <c r="H3398" s="1">
        <v>40171</v>
      </c>
      <c r="I3398" t="s">
        <v>12</v>
      </c>
      <c r="J3398" t="s">
        <v>14168</v>
      </c>
    </row>
    <row r="3399" spans="1:10" x14ac:dyDescent="0.25">
      <c r="A3399">
        <v>296803</v>
      </c>
      <c r="B3399" t="s">
        <v>3556</v>
      </c>
      <c r="C3399" t="str">
        <f>"9780750658676"</f>
        <v>9780750658676</v>
      </c>
      <c r="D3399" t="str">
        <f>"9780080498089"</f>
        <v>9780080498089</v>
      </c>
      <c r="E3399" t="s">
        <v>15</v>
      </c>
      <c r="F3399" t="s">
        <v>16</v>
      </c>
      <c r="G3399" s="1">
        <v>37943</v>
      </c>
      <c r="H3399" s="1">
        <v>39255</v>
      </c>
      <c r="I3399" t="s">
        <v>12</v>
      </c>
      <c r="J3399" t="s">
        <v>14169</v>
      </c>
    </row>
    <row r="3400" spans="1:10" x14ac:dyDescent="0.25">
      <c r="A3400">
        <v>296811</v>
      </c>
      <c r="B3400" t="s">
        <v>3557</v>
      </c>
      <c r="C3400" t="str">
        <f>"9780750673655"</f>
        <v>9780750673655</v>
      </c>
      <c r="D3400" t="str">
        <f>"9780080495996"</f>
        <v>9780080495996</v>
      </c>
      <c r="E3400" t="s">
        <v>15</v>
      </c>
      <c r="F3400" t="s">
        <v>16</v>
      </c>
      <c r="G3400" s="1">
        <v>37235</v>
      </c>
      <c r="H3400" s="1">
        <v>40171</v>
      </c>
      <c r="I3400" t="s">
        <v>12</v>
      </c>
      <c r="J3400" t="s">
        <v>14170</v>
      </c>
    </row>
    <row r="3401" spans="1:10" x14ac:dyDescent="0.25">
      <c r="A3401">
        <v>296814</v>
      </c>
      <c r="B3401" t="s">
        <v>3558</v>
      </c>
      <c r="C3401" t="str">
        <f>"9780750676557"</f>
        <v>9780750676557</v>
      </c>
      <c r="D3401" t="str">
        <f>"9780080495972"</f>
        <v>9780080495972</v>
      </c>
      <c r="E3401" t="s">
        <v>15</v>
      </c>
      <c r="F3401" t="s">
        <v>16</v>
      </c>
      <c r="G3401" s="1">
        <v>40770</v>
      </c>
      <c r="H3401" s="1">
        <v>40171</v>
      </c>
      <c r="I3401" t="s">
        <v>12</v>
      </c>
      <c r="J3401" t="s">
        <v>14171</v>
      </c>
    </row>
    <row r="3402" spans="1:10" x14ac:dyDescent="0.25">
      <c r="A3402">
        <v>297114</v>
      </c>
      <c r="B3402" t="s">
        <v>3559</v>
      </c>
      <c r="C3402" t="str">
        <f>"9780750654586"</f>
        <v>9780750654586</v>
      </c>
      <c r="D3402" t="str">
        <f>"9780080494050"</f>
        <v>9780080494050</v>
      </c>
      <c r="E3402" t="s">
        <v>15</v>
      </c>
      <c r="F3402" t="s">
        <v>16</v>
      </c>
      <c r="G3402" s="1">
        <v>37477</v>
      </c>
      <c r="H3402" s="1">
        <v>39255</v>
      </c>
      <c r="I3402" t="s">
        <v>12</v>
      </c>
      <c r="J3402" t="s">
        <v>14172</v>
      </c>
    </row>
    <row r="3403" spans="1:10" x14ac:dyDescent="0.25">
      <c r="A3403">
        <v>297179</v>
      </c>
      <c r="B3403" t="s">
        <v>3560</v>
      </c>
      <c r="C3403" t="str">
        <f>"9780240519647"</f>
        <v>9780240519647</v>
      </c>
      <c r="D3403" t="str">
        <f>"9780080497662"</f>
        <v>9780080497662</v>
      </c>
      <c r="E3403" t="s">
        <v>15</v>
      </c>
      <c r="F3403" t="s">
        <v>1122</v>
      </c>
      <c r="G3403" s="1">
        <v>38322</v>
      </c>
      <c r="H3403" s="1">
        <v>39260</v>
      </c>
      <c r="I3403" t="s">
        <v>12</v>
      </c>
      <c r="J3403" t="s">
        <v>14173</v>
      </c>
    </row>
    <row r="3404" spans="1:10" x14ac:dyDescent="0.25">
      <c r="A3404">
        <v>297446</v>
      </c>
      <c r="B3404" t="s">
        <v>3561</v>
      </c>
      <c r="C3404" t="str">
        <f>"9780977129461"</f>
        <v>9780977129461</v>
      </c>
      <c r="D3404" t="str">
        <f>"9780979226878"</f>
        <v>9780979226878</v>
      </c>
      <c r="E3404" t="s">
        <v>3562</v>
      </c>
      <c r="F3404" t="s">
        <v>3562</v>
      </c>
      <c r="G3404" s="1">
        <v>39234</v>
      </c>
      <c r="H3404" s="1">
        <v>39314</v>
      </c>
      <c r="I3404" t="s">
        <v>12</v>
      </c>
      <c r="J3404" t="s">
        <v>14174</v>
      </c>
    </row>
    <row r="3405" spans="1:10" x14ac:dyDescent="0.25">
      <c r="A3405">
        <v>297525</v>
      </c>
      <c r="B3405" t="s">
        <v>3563</v>
      </c>
      <c r="C3405" t="str">
        <f>"9780851997223"</f>
        <v>9780851997223</v>
      </c>
      <c r="D3405" t="str">
        <f>"9780851999722"</f>
        <v>9780851999722</v>
      </c>
      <c r="E3405" t="s">
        <v>2878</v>
      </c>
      <c r="F3405" t="s">
        <v>2879</v>
      </c>
      <c r="G3405" s="1">
        <v>37987</v>
      </c>
      <c r="H3405" s="1">
        <v>39255</v>
      </c>
      <c r="I3405" t="s">
        <v>12</v>
      </c>
      <c r="J3405" t="s">
        <v>14175</v>
      </c>
    </row>
    <row r="3406" spans="1:10" x14ac:dyDescent="0.25">
      <c r="A3406">
        <v>297527</v>
      </c>
      <c r="B3406" t="s">
        <v>3564</v>
      </c>
      <c r="C3406" t="str">
        <f>"9780851997322"</f>
        <v>9780851997322</v>
      </c>
      <c r="D3406" t="str">
        <f>"9780851999746"</f>
        <v>9780851999746</v>
      </c>
      <c r="E3406" t="s">
        <v>2878</v>
      </c>
      <c r="F3406" t="s">
        <v>2879</v>
      </c>
      <c r="G3406" s="1">
        <v>37622</v>
      </c>
      <c r="H3406" s="1">
        <v>39255</v>
      </c>
      <c r="I3406" t="s">
        <v>12</v>
      </c>
      <c r="J3406" t="s">
        <v>14176</v>
      </c>
    </row>
    <row r="3407" spans="1:10" x14ac:dyDescent="0.25">
      <c r="A3407">
        <v>297534</v>
      </c>
      <c r="B3407" t="s">
        <v>3565</v>
      </c>
      <c r="C3407" t="str">
        <f>"9780851997445"</f>
        <v>9780851997445</v>
      </c>
      <c r="D3407" t="str">
        <f>"9780851990408"</f>
        <v>9780851990408</v>
      </c>
      <c r="E3407" t="s">
        <v>2878</v>
      </c>
      <c r="F3407" t="s">
        <v>2879</v>
      </c>
      <c r="G3407" s="1">
        <v>37987</v>
      </c>
      <c r="H3407" s="1">
        <v>39256</v>
      </c>
      <c r="I3407" t="s">
        <v>12</v>
      </c>
      <c r="J3407" t="s">
        <v>14177</v>
      </c>
    </row>
    <row r="3408" spans="1:10" x14ac:dyDescent="0.25">
      <c r="A3408">
        <v>297537</v>
      </c>
      <c r="B3408" t="s">
        <v>3566</v>
      </c>
      <c r="C3408" t="str">
        <f>"9780851997483"</f>
        <v>9780851997483</v>
      </c>
      <c r="D3408" t="str">
        <f>"9780851999562"</f>
        <v>9780851999562</v>
      </c>
      <c r="E3408" t="s">
        <v>2878</v>
      </c>
      <c r="F3408" t="s">
        <v>2879</v>
      </c>
      <c r="G3408" s="1">
        <v>37987</v>
      </c>
      <c r="H3408" s="1">
        <v>39255</v>
      </c>
      <c r="I3408" t="s">
        <v>12</v>
      </c>
      <c r="J3408" t="s">
        <v>14178</v>
      </c>
    </row>
    <row r="3409" spans="1:10" x14ac:dyDescent="0.25">
      <c r="A3409">
        <v>297538</v>
      </c>
      <c r="B3409" t="s">
        <v>3567</v>
      </c>
      <c r="C3409" t="str">
        <f>"9780851997490"</f>
        <v>9780851997490</v>
      </c>
      <c r="D3409" t="str">
        <f>"9780851998657"</f>
        <v>9780851998657</v>
      </c>
      <c r="E3409" t="s">
        <v>2878</v>
      </c>
      <c r="F3409" t="s">
        <v>2879</v>
      </c>
      <c r="G3409" s="1">
        <v>37987</v>
      </c>
      <c r="H3409" s="1">
        <v>39255</v>
      </c>
      <c r="I3409" t="s">
        <v>12</v>
      </c>
      <c r="J3409" t="s">
        <v>14179</v>
      </c>
    </row>
    <row r="3410" spans="1:10" x14ac:dyDescent="0.25">
      <c r="A3410">
        <v>297539</v>
      </c>
      <c r="B3410" t="s">
        <v>3568</v>
      </c>
      <c r="C3410" t="str">
        <f>"9780851997506"</f>
        <v>9780851997506</v>
      </c>
      <c r="D3410" t="str">
        <f>"9780851999210"</f>
        <v>9780851999210</v>
      </c>
      <c r="E3410" t="s">
        <v>2878</v>
      </c>
      <c r="F3410" t="s">
        <v>2879</v>
      </c>
      <c r="G3410" s="1">
        <v>37987</v>
      </c>
      <c r="H3410" s="1">
        <v>39255</v>
      </c>
      <c r="I3410" t="s">
        <v>12</v>
      </c>
      <c r="J3410" t="s">
        <v>14180</v>
      </c>
    </row>
    <row r="3411" spans="1:10" x14ac:dyDescent="0.25">
      <c r="A3411">
        <v>297541</v>
      </c>
      <c r="B3411" t="s">
        <v>3569</v>
      </c>
      <c r="C3411" t="str">
        <f>"9780851998022"</f>
        <v>9780851998022</v>
      </c>
      <c r="D3411" t="str">
        <f>"9780851999234"</f>
        <v>9780851999234</v>
      </c>
      <c r="E3411" t="s">
        <v>2878</v>
      </c>
      <c r="F3411" t="s">
        <v>2879</v>
      </c>
      <c r="G3411" s="1">
        <v>37987</v>
      </c>
      <c r="H3411" s="1">
        <v>39255</v>
      </c>
      <c r="I3411" t="s">
        <v>12</v>
      </c>
      <c r="J3411" t="s">
        <v>14181</v>
      </c>
    </row>
    <row r="3412" spans="1:10" x14ac:dyDescent="0.25">
      <c r="A3412">
        <v>297544</v>
      </c>
      <c r="B3412" t="s">
        <v>3570</v>
      </c>
      <c r="C3412" t="str">
        <f>"9780851998084"</f>
        <v>9780851998084</v>
      </c>
      <c r="D3412" t="str">
        <f>"9780851999227"</f>
        <v>9780851999227</v>
      </c>
      <c r="E3412" t="s">
        <v>2878</v>
      </c>
      <c r="F3412" t="s">
        <v>2879</v>
      </c>
      <c r="G3412" s="1">
        <v>37987</v>
      </c>
      <c r="H3412" s="1">
        <v>39255</v>
      </c>
      <c r="I3412" t="s">
        <v>12</v>
      </c>
      <c r="J3412" t="s">
        <v>14182</v>
      </c>
    </row>
    <row r="3413" spans="1:10" x14ac:dyDescent="0.25">
      <c r="A3413">
        <v>297741</v>
      </c>
      <c r="B3413" t="s">
        <v>3571</v>
      </c>
      <c r="C3413" t="str">
        <f>"9780749445478"</f>
        <v>9780749445478</v>
      </c>
      <c r="D3413" t="str">
        <f>"9780749451790"</f>
        <v>9780749451790</v>
      </c>
      <c r="E3413" t="s">
        <v>1059</v>
      </c>
      <c r="F3413" t="s">
        <v>1059</v>
      </c>
      <c r="G3413" s="1">
        <v>39024</v>
      </c>
      <c r="H3413" s="1">
        <v>39256</v>
      </c>
      <c r="I3413" t="s">
        <v>12</v>
      </c>
      <c r="J3413" t="s">
        <v>14183</v>
      </c>
    </row>
    <row r="3414" spans="1:10" x14ac:dyDescent="0.25">
      <c r="A3414">
        <v>297745</v>
      </c>
      <c r="B3414" t="s">
        <v>3572</v>
      </c>
      <c r="C3414" t="str">
        <f>"9780749445546"</f>
        <v>9780749445546</v>
      </c>
      <c r="D3414" t="str">
        <f>"9780749451837"</f>
        <v>9780749451837</v>
      </c>
      <c r="E3414" t="s">
        <v>1059</v>
      </c>
      <c r="F3414" t="s">
        <v>1059</v>
      </c>
      <c r="G3414" s="1">
        <v>38718</v>
      </c>
      <c r="H3414" s="1">
        <v>39256</v>
      </c>
      <c r="I3414" t="s">
        <v>12</v>
      </c>
      <c r="J3414" t="s">
        <v>14184</v>
      </c>
    </row>
    <row r="3415" spans="1:10" x14ac:dyDescent="0.25">
      <c r="A3415">
        <v>297749</v>
      </c>
      <c r="B3415" t="s">
        <v>3573</v>
      </c>
      <c r="C3415" t="str">
        <f>"9780749445522"</f>
        <v>9780749445522</v>
      </c>
      <c r="D3415" t="str">
        <f>"9780749451875"</f>
        <v>9780749451875</v>
      </c>
      <c r="E3415" t="s">
        <v>1059</v>
      </c>
      <c r="F3415" t="s">
        <v>1059</v>
      </c>
      <c r="G3415" s="1">
        <v>38718</v>
      </c>
      <c r="H3415" s="1">
        <v>39256</v>
      </c>
      <c r="I3415" t="s">
        <v>12</v>
      </c>
      <c r="J3415" t="s">
        <v>14185</v>
      </c>
    </row>
    <row r="3416" spans="1:10" x14ac:dyDescent="0.25">
      <c r="A3416">
        <v>297754</v>
      </c>
      <c r="B3416" t="s">
        <v>3574</v>
      </c>
      <c r="C3416" t="str">
        <f>"9780749449186"</f>
        <v>9780749449186</v>
      </c>
      <c r="D3416" t="str">
        <f>"9780749451929"</f>
        <v>9780749451929</v>
      </c>
      <c r="E3416" t="s">
        <v>1059</v>
      </c>
      <c r="F3416" t="s">
        <v>1059</v>
      </c>
      <c r="G3416" s="1">
        <v>39083</v>
      </c>
      <c r="H3416" s="1">
        <v>39256</v>
      </c>
      <c r="I3416" t="s">
        <v>12</v>
      </c>
      <c r="J3416" t="s">
        <v>14186</v>
      </c>
    </row>
    <row r="3417" spans="1:10" x14ac:dyDescent="0.25">
      <c r="A3417">
        <v>297998</v>
      </c>
      <c r="B3417" t="s">
        <v>3575</v>
      </c>
      <c r="C3417" t="str">
        <f>"9780750646758"</f>
        <v>9780750646758</v>
      </c>
      <c r="D3417" t="str">
        <f>"9780080515489"</f>
        <v>9780080515489</v>
      </c>
      <c r="E3417" t="s">
        <v>15</v>
      </c>
      <c r="F3417" t="s">
        <v>16</v>
      </c>
      <c r="G3417" s="1">
        <v>36879</v>
      </c>
      <c r="H3417" s="1">
        <v>40171</v>
      </c>
      <c r="I3417" t="s">
        <v>12</v>
      </c>
      <c r="J3417" t="s">
        <v>14187</v>
      </c>
    </row>
    <row r="3418" spans="1:10" x14ac:dyDescent="0.25">
      <c r="A3418">
        <v>298001</v>
      </c>
      <c r="B3418" t="s">
        <v>3576</v>
      </c>
      <c r="C3418" t="str">
        <f>"9780750648387"</f>
        <v>9780750648387</v>
      </c>
      <c r="D3418" t="str">
        <f>"9780080509037"</f>
        <v>9780080509037</v>
      </c>
      <c r="E3418" t="s">
        <v>15</v>
      </c>
      <c r="F3418" t="s">
        <v>16</v>
      </c>
      <c r="G3418" s="1">
        <v>37340</v>
      </c>
      <c r="H3418" s="1">
        <v>40305</v>
      </c>
      <c r="I3418" t="s">
        <v>12</v>
      </c>
      <c r="J3418" t="s">
        <v>14188</v>
      </c>
    </row>
    <row r="3419" spans="1:10" x14ac:dyDescent="0.25">
      <c r="A3419">
        <v>298005</v>
      </c>
      <c r="B3419" t="s">
        <v>3577</v>
      </c>
      <c r="C3419" t="str">
        <f>"9780750649438"</f>
        <v>9780750649438</v>
      </c>
      <c r="D3419" t="str">
        <f>"9780080504889"</f>
        <v>9780080504889</v>
      </c>
      <c r="E3419" t="s">
        <v>15</v>
      </c>
      <c r="F3419" t="s">
        <v>16</v>
      </c>
      <c r="G3419" s="1">
        <v>37222</v>
      </c>
      <c r="H3419" s="1">
        <v>39260</v>
      </c>
      <c r="I3419" t="s">
        <v>12</v>
      </c>
      <c r="J3419" t="s">
        <v>14189</v>
      </c>
    </row>
    <row r="3420" spans="1:10" x14ac:dyDescent="0.25">
      <c r="A3420">
        <v>298046</v>
      </c>
      <c r="B3420" t="s">
        <v>3578</v>
      </c>
      <c r="C3420" t="str">
        <f>"9780750656597"</f>
        <v>9780750656597</v>
      </c>
      <c r="D3420" t="str">
        <f>"9780080506456"</f>
        <v>9780080506456</v>
      </c>
      <c r="E3420" t="s">
        <v>16</v>
      </c>
      <c r="F3420" t="s">
        <v>16</v>
      </c>
      <c r="G3420" s="1">
        <v>37454</v>
      </c>
      <c r="H3420" s="1">
        <v>39293</v>
      </c>
      <c r="I3420" t="s">
        <v>12</v>
      </c>
      <c r="J3420" t="s">
        <v>14190</v>
      </c>
    </row>
    <row r="3421" spans="1:10" x14ac:dyDescent="0.25">
      <c r="A3421">
        <v>298310</v>
      </c>
      <c r="B3421" t="s">
        <v>3579</v>
      </c>
      <c r="C3421" t="str">
        <f>"9780240516790"</f>
        <v>9780240516790</v>
      </c>
      <c r="D3421" t="str">
        <f>"9780080522111"</f>
        <v>9780080522111</v>
      </c>
      <c r="E3421" t="s">
        <v>15</v>
      </c>
      <c r="F3421" t="s">
        <v>16</v>
      </c>
      <c r="G3421" s="1">
        <v>37685</v>
      </c>
      <c r="H3421" s="1">
        <v>39261</v>
      </c>
      <c r="I3421" t="s">
        <v>12</v>
      </c>
      <c r="J3421" t="s">
        <v>14191</v>
      </c>
    </row>
    <row r="3422" spans="1:10" x14ac:dyDescent="0.25">
      <c r="A3422">
        <v>298345</v>
      </c>
      <c r="B3422" t="s">
        <v>3580</v>
      </c>
      <c r="C3422" t="str">
        <f>"9780750647106"</f>
        <v>9780750647106</v>
      </c>
      <c r="D3422" t="str">
        <f>"9780080523132"</f>
        <v>9780080523132</v>
      </c>
      <c r="E3422" t="s">
        <v>15</v>
      </c>
      <c r="F3422" t="s">
        <v>16</v>
      </c>
      <c r="G3422" s="1">
        <v>37229</v>
      </c>
      <c r="H3422" s="1">
        <v>40171</v>
      </c>
      <c r="I3422" t="s">
        <v>12</v>
      </c>
      <c r="J3422" t="s">
        <v>14192</v>
      </c>
    </row>
    <row r="3423" spans="1:10" x14ac:dyDescent="0.25">
      <c r="A3423">
        <v>298365</v>
      </c>
      <c r="B3423" t="s">
        <v>3581</v>
      </c>
      <c r="C3423" t="str">
        <f>"9780750661713"</f>
        <v>9780750661713</v>
      </c>
      <c r="D3423" t="str">
        <f>"9780080522104"</f>
        <v>9780080522104</v>
      </c>
      <c r="E3423" t="s">
        <v>1119</v>
      </c>
      <c r="F3423" t="s">
        <v>1147</v>
      </c>
      <c r="G3423" s="1">
        <v>37943</v>
      </c>
      <c r="H3423" s="1">
        <v>39261</v>
      </c>
      <c r="I3423" t="s">
        <v>12</v>
      </c>
      <c r="J3423" t="s">
        <v>14193</v>
      </c>
    </row>
    <row r="3424" spans="1:10" x14ac:dyDescent="0.25">
      <c r="A3424">
        <v>298388</v>
      </c>
      <c r="B3424" t="s">
        <v>3582</v>
      </c>
      <c r="C3424" t="str">
        <f>"9781578202089"</f>
        <v>9781578202089</v>
      </c>
      <c r="D3424" t="str">
        <f>"9780080522173"</f>
        <v>9780080522173</v>
      </c>
      <c r="E3424" t="s">
        <v>15</v>
      </c>
      <c r="F3424" t="s">
        <v>153</v>
      </c>
      <c r="G3424" s="1">
        <v>37267</v>
      </c>
      <c r="H3424" s="1">
        <v>39261</v>
      </c>
      <c r="I3424" t="s">
        <v>12</v>
      </c>
      <c r="J3424" t="s">
        <v>14194</v>
      </c>
    </row>
    <row r="3425" spans="1:10" x14ac:dyDescent="0.25">
      <c r="A3425">
        <v>298392</v>
      </c>
      <c r="B3425" t="s">
        <v>3583</v>
      </c>
      <c r="C3425" t="str">
        <f>"9781578202515"</f>
        <v>9781578202515</v>
      </c>
      <c r="D3425" t="str">
        <f>"9780080522128"</f>
        <v>9780080522128</v>
      </c>
      <c r="E3425" t="s">
        <v>15</v>
      </c>
      <c r="F3425" t="s">
        <v>16</v>
      </c>
      <c r="G3425" s="1">
        <v>37995</v>
      </c>
      <c r="H3425" s="1">
        <v>39261</v>
      </c>
      <c r="I3425" t="s">
        <v>12</v>
      </c>
      <c r="J3425" t="s">
        <v>14195</v>
      </c>
    </row>
    <row r="3426" spans="1:10" x14ac:dyDescent="0.25">
      <c r="A3426">
        <v>298453</v>
      </c>
      <c r="B3426" t="s">
        <v>3584</v>
      </c>
      <c r="C3426" t="str">
        <f>"9780127817217"</f>
        <v>9780127817217</v>
      </c>
      <c r="D3426" t="str">
        <f>"9780080506555"</f>
        <v>9780080506555</v>
      </c>
      <c r="E3426" t="s">
        <v>1119</v>
      </c>
      <c r="F3426" t="s">
        <v>1120</v>
      </c>
      <c r="G3426" s="1">
        <v>37780</v>
      </c>
      <c r="H3426" s="1">
        <v>39268</v>
      </c>
      <c r="I3426" t="s">
        <v>12</v>
      </c>
      <c r="J3426" t="s">
        <v>14196</v>
      </c>
    </row>
    <row r="3427" spans="1:10" x14ac:dyDescent="0.25">
      <c r="A3427">
        <v>298454</v>
      </c>
      <c r="B3427" t="s">
        <v>3585</v>
      </c>
      <c r="C3427" t="str">
        <f>"9780240515090"</f>
        <v>9780240515090</v>
      </c>
      <c r="D3427" t="str">
        <f>"9780080503127"</f>
        <v>9780080503127</v>
      </c>
      <c r="E3427" t="s">
        <v>15</v>
      </c>
      <c r="F3427" t="s">
        <v>16</v>
      </c>
      <c r="G3427" s="1">
        <v>36991</v>
      </c>
      <c r="H3427" s="1">
        <v>39268</v>
      </c>
      <c r="I3427" t="s">
        <v>12</v>
      </c>
      <c r="J3427" t="s">
        <v>14197</v>
      </c>
    </row>
    <row r="3428" spans="1:10" x14ac:dyDescent="0.25">
      <c r="A3428">
        <v>298455</v>
      </c>
      <c r="B3428" t="s">
        <v>3586</v>
      </c>
      <c r="C3428" t="str">
        <f>"9780240515687"</f>
        <v>9780240515687</v>
      </c>
      <c r="D3428" t="str">
        <f>"9780080519821"</f>
        <v>9780080519821</v>
      </c>
      <c r="E3428" t="s">
        <v>15</v>
      </c>
      <c r="F3428" t="s">
        <v>16</v>
      </c>
      <c r="G3428" s="1">
        <v>36567</v>
      </c>
      <c r="H3428" s="1">
        <v>39363</v>
      </c>
      <c r="I3428" t="s">
        <v>12</v>
      </c>
      <c r="J3428" t="s">
        <v>14198</v>
      </c>
    </row>
    <row r="3429" spans="1:10" x14ac:dyDescent="0.25">
      <c r="A3429">
        <v>298459</v>
      </c>
      <c r="B3429" t="s">
        <v>3587</v>
      </c>
      <c r="C3429" t="str">
        <f>"9780240516493"</f>
        <v>9780240516493</v>
      </c>
      <c r="D3429" t="str">
        <f>"9780080518084"</f>
        <v>9780080518084</v>
      </c>
      <c r="E3429" t="s">
        <v>15</v>
      </c>
      <c r="F3429" t="s">
        <v>16</v>
      </c>
      <c r="G3429" s="1">
        <v>37112</v>
      </c>
      <c r="H3429" s="1">
        <v>39273</v>
      </c>
      <c r="I3429" t="s">
        <v>12</v>
      </c>
      <c r="J3429" t="s">
        <v>14199</v>
      </c>
    </row>
    <row r="3430" spans="1:10" x14ac:dyDescent="0.25">
      <c r="A3430">
        <v>298464</v>
      </c>
      <c r="B3430" t="s">
        <v>3588</v>
      </c>
      <c r="C3430" t="str">
        <f>"9780750644785"</f>
        <v>9780750644785</v>
      </c>
      <c r="D3430" t="str">
        <f>"9780080507507"</f>
        <v>9780080507507</v>
      </c>
      <c r="E3430" t="s">
        <v>15</v>
      </c>
      <c r="F3430" t="s">
        <v>16</v>
      </c>
      <c r="G3430" s="1">
        <v>36984</v>
      </c>
      <c r="H3430" s="1">
        <v>40305</v>
      </c>
      <c r="I3430" t="s">
        <v>12</v>
      </c>
      <c r="J3430" t="s">
        <v>14200</v>
      </c>
    </row>
    <row r="3431" spans="1:10" x14ac:dyDescent="0.25">
      <c r="A3431">
        <v>298466</v>
      </c>
      <c r="B3431" t="s">
        <v>3589</v>
      </c>
      <c r="C3431" t="str">
        <f>"9780750647724"</f>
        <v>9780750647724</v>
      </c>
      <c r="D3431" t="str">
        <f>"9780080506968"</f>
        <v>9780080506968</v>
      </c>
      <c r="E3431" t="s">
        <v>15</v>
      </c>
      <c r="F3431" t="s">
        <v>16</v>
      </c>
      <c r="G3431" s="1">
        <v>36682</v>
      </c>
      <c r="H3431" s="1">
        <v>40171</v>
      </c>
      <c r="I3431" t="s">
        <v>12</v>
      </c>
      <c r="J3431" t="s">
        <v>14201</v>
      </c>
    </row>
    <row r="3432" spans="1:10" x14ac:dyDescent="0.25">
      <c r="A3432">
        <v>298472</v>
      </c>
      <c r="B3432" t="s">
        <v>3590</v>
      </c>
      <c r="C3432" t="str">
        <f>"9780750650342"</f>
        <v>9780750650342</v>
      </c>
      <c r="D3432" t="str">
        <f>"9780080510682"</f>
        <v>9780080510682</v>
      </c>
      <c r="E3432" t="s">
        <v>15</v>
      </c>
      <c r="F3432" t="s">
        <v>16</v>
      </c>
      <c r="G3432" s="1">
        <v>37264</v>
      </c>
      <c r="H3432" s="1">
        <v>39268</v>
      </c>
      <c r="I3432" t="s">
        <v>12</v>
      </c>
      <c r="J3432" t="s">
        <v>14202</v>
      </c>
    </row>
    <row r="3433" spans="1:10" x14ac:dyDescent="0.25">
      <c r="A3433">
        <v>298478</v>
      </c>
      <c r="B3433" t="s">
        <v>3591</v>
      </c>
      <c r="C3433" t="str">
        <f>"9780750652933"</f>
        <v>9780750652933</v>
      </c>
      <c r="D3433" t="str">
        <f>"9780080504872"</f>
        <v>9780080504872</v>
      </c>
      <c r="E3433" t="s">
        <v>15</v>
      </c>
      <c r="F3433" t="s">
        <v>16</v>
      </c>
      <c r="G3433" s="1">
        <v>37208</v>
      </c>
      <c r="H3433" s="1">
        <v>39268</v>
      </c>
      <c r="I3433" t="s">
        <v>12</v>
      </c>
      <c r="J3433" t="s">
        <v>14203</v>
      </c>
    </row>
    <row r="3434" spans="1:10" x14ac:dyDescent="0.25">
      <c r="A3434">
        <v>298803</v>
      </c>
      <c r="B3434" t="s">
        <v>3592</v>
      </c>
      <c r="C3434" t="str">
        <f>"9780805840858"</f>
        <v>9780805840858</v>
      </c>
      <c r="D3434" t="str">
        <f>"9781410616715"</f>
        <v>9781410616715</v>
      </c>
      <c r="E3434" t="s">
        <v>3593</v>
      </c>
      <c r="F3434" t="s">
        <v>3594</v>
      </c>
      <c r="G3434" s="1">
        <v>39232</v>
      </c>
      <c r="H3434" s="1">
        <v>39263</v>
      </c>
      <c r="I3434" t="s">
        <v>12</v>
      </c>
      <c r="J3434" t="s">
        <v>14204</v>
      </c>
    </row>
    <row r="3435" spans="1:10" x14ac:dyDescent="0.25">
      <c r="A3435">
        <v>298806</v>
      </c>
      <c r="B3435" t="s">
        <v>3595</v>
      </c>
      <c r="C3435" t="str">
        <f>"9780805859676"</f>
        <v>9780805859676</v>
      </c>
      <c r="D3435" t="str">
        <f>"9781410616661"</f>
        <v>9781410616661</v>
      </c>
      <c r="E3435" t="s">
        <v>55</v>
      </c>
      <c r="F3435" t="s">
        <v>55</v>
      </c>
      <c r="G3435" s="1">
        <v>39224</v>
      </c>
      <c r="H3435" s="1">
        <v>39263</v>
      </c>
      <c r="I3435" t="s">
        <v>12</v>
      </c>
      <c r="J3435" t="s">
        <v>14205</v>
      </c>
    </row>
    <row r="3436" spans="1:10" x14ac:dyDescent="0.25">
      <c r="A3436">
        <v>298836</v>
      </c>
      <c r="B3436" t="s">
        <v>3596</v>
      </c>
      <c r="C3436" t="str">
        <f>"9781932792973"</f>
        <v>9781932792973</v>
      </c>
      <c r="D3436" t="str">
        <f>"9781602580800"</f>
        <v>9781602580800</v>
      </c>
      <c r="E3436" t="s">
        <v>2757</v>
      </c>
      <c r="F3436" t="s">
        <v>2757</v>
      </c>
      <c r="G3436" s="1">
        <v>39329</v>
      </c>
      <c r="H3436" s="1">
        <v>39471</v>
      </c>
      <c r="I3436" t="s">
        <v>12</v>
      </c>
      <c r="J3436" t="s">
        <v>14206</v>
      </c>
    </row>
    <row r="3437" spans="1:10" x14ac:dyDescent="0.25">
      <c r="A3437">
        <v>298837</v>
      </c>
      <c r="B3437" t="s">
        <v>3597</v>
      </c>
      <c r="C3437" t="str">
        <f>"9781602580145"</f>
        <v>9781602580145</v>
      </c>
      <c r="D3437" t="str">
        <f>"9781602580817"</f>
        <v>9781602580817</v>
      </c>
      <c r="E3437" t="s">
        <v>2757</v>
      </c>
      <c r="F3437" t="s">
        <v>2757</v>
      </c>
      <c r="G3437" s="1">
        <v>39387</v>
      </c>
      <c r="H3437" s="1">
        <v>39546</v>
      </c>
      <c r="I3437" t="s">
        <v>12</v>
      </c>
      <c r="J3437" t="s">
        <v>14207</v>
      </c>
    </row>
    <row r="3438" spans="1:10" x14ac:dyDescent="0.25">
      <c r="A3438">
        <v>298838</v>
      </c>
      <c r="B3438" t="s">
        <v>3598</v>
      </c>
      <c r="C3438" t="str">
        <f>"9781602580152"</f>
        <v>9781602580152</v>
      </c>
      <c r="D3438" t="str">
        <f>"9781602580824"</f>
        <v>9781602580824</v>
      </c>
      <c r="E3438" t="s">
        <v>2757</v>
      </c>
      <c r="F3438" t="s">
        <v>2757</v>
      </c>
      <c r="G3438" s="1">
        <v>39401</v>
      </c>
      <c r="H3438" s="1">
        <v>39471</v>
      </c>
      <c r="I3438" t="s">
        <v>12</v>
      </c>
      <c r="J3438" t="s">
        <v>14208</v>
      </c>
    </row>
    <row r="3439" spans="1:10" x14ac:dyDescent="0.25">
      <c r="A3439">
        <v>298840</v>
      </c>
      <c r="B3439" t="s">
        <v>3599</v>
      </c>
      <c r="C3439" t="str">
        <f>"9781932792881"</f>
        <v>9781932792881</v>
      </c>
      <c r="D3439" t="str">
        <f>"9781602580848"</f>
        <v>9781602580848</v>
      </c>
      <c r="E3439" t="s">
        <v>2757</v>
      </c>
      <c r="F3439" t="s">
        <v>2757</v>
      </c>
      <c r="G3439" s="1">
        <v>39349</v>
      </c>
      <c r="H3439" s="1">
        <v>39369</v>
      </c>
      <c r="I3439" t="s">
        <v>12</v>
      </c>
      <c r="J3439" t="s">
        <v>14209</v>
      </c>
    </row>
    <row r="3440" spans="1:10" x14ac:dyDescent="0.25">
      <c r="A3440">
        <v>298841</v>
      </c>
      <c r="B3440" t="s">
        <v>3600</v>
      </c>
      <c r="C3440" t="str">
        <f>"9781932792492"</f>
        <v>9781932792492</v>
      </c>
      <c r="D3440" t="str">
        <f>"9781602580855"</f>
        <v>9781602580855</v>
      </c>
      <c r="E3440" t="s">
        <v>2757</v>
      </c>
      <c r="F3440" t="s">
        <v>2757</v>
      </c>
      <c r="G3440" s="1">
        <v>39316</v>
      </c>
      <c r="H3440" s="1">
        <v>39317</v>
      </c>
      <c r="I3440" t="s">
        <v>12</v>
      </c>
      <c r="J3440" t="s">
        <v>14210</v>
      </c>
    </row>
    <row r="3441" spans="1:10" x14ac:dyDescent="0.25">
      <c r="A3441">
        <v>298844</v>
      </c>
      <c r="B3441" t="s">
        <v>3601</v>
      </c>
      <c r="C3441" t="str">
        <f>"9781932792980"</f>
        <v>9781932792980</v>
      </c>
      <c r="D3441" t="str">
        <f>"9781602580886"</f>
        <v>9781602580886</v>
      </c>
      <c r="E3441" t="s">
        <v>2757</v>
      </c>
      <c r="F3441" t="s">
        <v>2757</v>
      </c>
      <c r="G3441" s="1">
        <v>39309</v>
      </c>
      <c r="H3441" s="1">
        <v>39471</v>
      </c>
      <c r="I3441" t="s">
        <v>12</v>
      </c>
      <c r="J3441" t="s">
        <v>14211</v>
      </c>
    </row>
    <row r="3442" spans="1:10" x14ac:dyDescent="0.25">
      <c r="A3442">
        <v>298848</v>
      </c>
      <c r="B3442" t="s">
        <v>3602</v>
      </c>
      <c r="C3442" t="str">
        <f>"9781932792942"</f>
        <v>9781932792942</v>
      </c>
      <c r="D3442" t="str">
        <f>"9781602580923"</f>
        <v>9781602580923</v>
      </c>
      <c r="E3442" t="s">
        <v>2757</v>
      </c>
      <c r="F3442" t="s">
        <v>2757</v>
      </c>
      <c r="G3442" s="1">
        <v>39314</v>
      </c>
      <c r="H3442" s="1">
        <v>39317</v>
      </c>
      <c r="I3442" t="s">
        <v>12</v>
      </c>
      <c r="J3442" t="s">
        <v>14212</v>
      </c>
    </row>
    <row r="3443" spans="1:10" x14ac:dyDescent="0.25">
      <c r="A3443">
        <v>298849</v>
      </c>
      <c r="B3443" t="s">
        <v>3603</v>
      </c>
      <c r="C3443" t="str">
        <f>"9781592135097"</f>
        <v>9781592135097</v>
      </c>
      <c r="D3443" t="str">
        <f>"9781592135110"</f>
        <v>9781592135110</v>
      </c>
      <c r="E3443" t="s">
        <v>3604</v>
      </c>
      <c r="F3443" t="s">
        <v>3604</v>
      </c>
      <c r="G3443" s="1">
        <v>39083</v>
      </c>
      <c r="H3443" s="1">
        <v>39273</v>
      </c>
      <c r="I3443" t="s">
        <v>12</v>
      </c>
      <c r="J3443" t="s">
        <v>14213</v>
      </c>
    </row>
    <row r="3444" spans="1:10" x14ac:dyDescent="0.25">
      <c r="A3444">
        <v>298853</v>
      </c>
      <c r="B3444" t="s">
        <v>3605</v>
      </c>
      <c r="C3444" t="str">
        <f>"9781592134250"</f>
        <v>9781592134250</v>
      </c>
      <c r="D3444" t="str">
        <f>"9781592134274"</f>
        <v>9781592134274</v>
      </c>
      <c r="E3444" t="s">
        <v>3604</v>
      </c>
      <c r="F3444" t="s">
        <v>3604</v>
      </c>
      <c r="G3444" s="1">
        <v>38776</v>
      </c>
      <c r="H3444" s="1">
        <v>39273</v>
      </c>
      <c r="I3444" t="s">
        <v>12</v>
      </c>
      <c r="J3444" t="s">
        <v>14214</v>
      </c>
    </row>
    <row r="3445" spans="1:10" x14ac:dyDescent="0.25">
      <c r="A3445">
        <v>298854</v>
      </c>
      <c r="B3445" t="s">
        <v>3606</v>
      </c>
      <c r="C3445" t="str">
        <f>"9781592133291"</f>
        <v>9781592133291</v>
      </c>
      <c r="D3445" t="str">
        <f>"9781592133314"</f>
        <v>9781592133314</v>
      </c>
      <c r="E3445" t="s">
        <v>3604</v>
      </c>
      <c r="F3445" t="s">
        <v>3604</v>
      </c>
      <c r="G3445" s="1">
        <v>38896</v>
      </c>
      <c r="H3445" s="1">
        <v>39264</v>
      </c>
      <c r="I3445" t="s">
        <v>12</v>
      </c>
      <c r="J3445" t="s">
        <v>14215</v>
      </c>
    </row>
    <row r="3446" spans="1:10" x14ac:dyDescent="0.25">
      <c r="A3446">
        <v>298855</v>
      </c>
      <c r="B3446" t="s">
        <v>3607</v>
      </c>
      <c r="C3446" t="str">
        <f>"9781592134342"</f>
        <v>9781592134342</v>
      </c>
      <c r="D3446" t="str">
        <f>"9781592134489"</f>
        <v>9781592134489</v>
      </c>
      <c r="E3446" t="s">
        <v>3604</v>
      </c>
      <c r="F3446" t="s">
        <v>3604</v>
      </c>
      <c r="G3446" s="1">
        <v>38714</v>
      </c>
      <c r="H3446" s="1">
        <v>39264</v>
      </c>
      <c r="I3446" t="s">
        <v>12</v>
      </c>
      <c r="J3446" t="s">
        <v>14216</v>
      </c>
    </row>
    <row r="3447" spans="1:10" x14ac:dyDescent="0.25">
      <c r="A3447">
        <v>298856</v>
      </c>
      <c r="B3447" t="s">
        <v>3608</v>
      </c>
      <c r="C3447" t="str">
        <f>"9781592135691"</f>
        <v>9781592135691</v>
      </c>
      <c r="D3447" t="str">
        <f>"9781592135714"</f>
        <v>9781592135714</v>
      </c>
      <c r="E3447" t="s">
        <v>3604</v>
      </c>
      <c r="F3447" t="s">
        <v>3604</v>
      </c>
      <c r="G3447" s="1">
        <v>39073</v>
      </c>
      <c r="H3447" s="1">
        <v>39264</v>
      </c>
      <c r="I3447" t="s">
        <v>12</v>
      </c>
      <c r="J3447" t="s">
        <v>14217</v>
      </c>
    </row>
    <row r="3448" spans="1:10" x14ac:dyDescent="0.25">
      <c r="A3448">
        <v>298859</v>
      </c>
      <c r="B3448" t="s">
        <v>3609</v>
      </c>
      <c r="C3448" t="str">
        <f>"9781592134908"</f>
        <v>9781592134908</v>
      </c>
      <c r="D3448" t="str">
        <f>"9781592134922"</f>
        <v>9781592134922</v>
      </c>
      <c r="E3448" t="s">
        <v>3604</v>
      </c>
      <c r="F3448" t="s">
        <v>3604</v>
      </c>
      <c r="G3448" s="1">
        <v>39094</v>
      </c>
      <c r="H3448" s="1">
        <v>39264</v>
      </c>
      <c r="I3448" t="s">
        <v>12</v>
      </c>
      <c r="J3448" t="s">
        <v>14218</v>
      </c>
    </row>
    <row r="3449" spans="1:10" x14ac:dyDescent="0.25">
      <c r="A3449">
        <v>298862</v>
      </c>
      <c r="B3449" t="s">
        <v>3610</v>
      </c>
      <c r="C3449" t="str">
        <f>"9781592135608"</f>
        <v>9781592135608</v>
      </c>
      <c r="D3449" t="str">
        <f>"9781592135622"</f>
        <v>9781592135622</v>
      </c>
      <c r="E3449" t="s">
        <v>3604</v>
      </c>
      <c r="F3449" t="s">
        <v>3604</v>
      </c>
      <c r="G3449" s="1">
        <v>39049</v>
      </c>
      <c r="H3449" s="1">
        <v>39264</v>
      </c>
      <c r="I3449" t="s">
        <v>12</v>
      </c>
      <c r="J3449" t="s">
        <v>14219</v>
      </c>
    </row>
    <row r="3450" spans="1:10" x14ac:dyDescent="0.25">
      <c r="A3450">
        <v>298863</v>
      </c>
      <c r="B3450" t="s">
        <v>3611</v>
      </c>
      <c r="C3450" t="str">
        <f>"9781592135912"</f>
        <v>9781592135912</v>
      </c>
      <c r="D3450" t="str">
        <f>"9781592135936"</f>
        <v>9781592135936</v>
      </c>
      <c r="E3450" t="s">
        <v>3604</v>
      </c>
      <c r="F3450" t="s">
        <v>3604</v>
      </c>
      <c r="G3450" s="1">
        <v>39143</v>
      </c>
      <c r="H3450" s="1">
        <v>39264</v>
      </c>
      <c r="I3450" t="s">
        <v>12</v>
      </c>
      <c r="J3450" t="s">
        <v>14220</v>
      </c>
    </row>
    <row r="3451" spans="1:10" x14ac:dyDescent="0.25">
      <c r="A3451">
        <v>298868</v>
      </c>
      <c r="B3451" t="s">
        <v>3612</v>
      </c>
      <c r="C3451" t="str">
        <f>"9781592135158"</f>
        <v>9781592135158</v>
      </c>
      <c r="D3451" t="str">
        <f>"9781592135172"</f>
        <v>9781592135172</v>
      </c>
      <c r="E3451" t="s">
        <v>3604</v>
      </c>
      <c r="F3451" t="s">
        <v>3604</v>
      </c>
      <c r="G3451" s="1">
        <v>39018</v>
      </c>
      <c r="H3451" s="1">
        <v>39281</v>
      </c>
      <c r="I3451" t="s">
        <v>12</v>
      </c>
      <c r="J3451" t="s">
        <v>14221</v>
      </c>
    </row>
    <row r="3452" spans="1:10" x14ac:dyDescent="0.25">
      <c r="A3452">
        <v>298877</v>
      </c>
      <c r="B3452" t="s">
        <v>3613</v>
      </c>
      <c r="C3452" t="str">
        <f>"9781592134199"</f>
        <v>9781592134199</v>
      </c>
      <c r="D3452" t="str">
        <f>"9781592134212"</f>
        <v>9781592134212</v>
      </c>
      <c r="E3452" t="s">
        <v>3604</v>
      </c>
      <c r="F3452" t="s">
        <v>3604</v>
      </c>
      <c r="G3452" s="1">
        <v>39110</v>
      </c>
      <c r="H3452" s="1">
        <v>39264</v>
      </c>
      <c r="I3452" t="s">
        <v>12</v>
      </c>
      <c r="J3452" t="s">
        <v>14222</v>
      </c>
    </row>
    <row r="3453" spans="1:10" x14ac:dyDescent="0.25">
      <c r="A3453">
        <v>298880</v>
      </c>
      <c r="B3453" t="s">
        <v>3614</v>
      </c>
      <c r="C3453" t="str">
        <f>"9781592134878"</f>
        <v>9781592134878</v>
      </c>
      <c r="D3453" t="str">
        <f>"9781592134892"</f>
        <v>9781592134892</v>
      </c>
      <c r="E3453" t="s">
        <v>3604</v>
      </c>
      <c r="F3453" t="s">
        <v>3604</v>
      </c>
      <c r="G3453" s="1">
        <v>38779</v>
      </c>
      <c r="H3453" s="1">
        <v>39456</v>
      </c>
      <c r="I3453" t="s">
        <v>12</v>
      </c>
      <c r="J3453" t="s">
        <v>14223</v>
      </c>
    </row>
    <row r="3454" spans="1:10" x14ac:dyDescent="0.25">
      <c r="A3454">
        <v>298884</v>
      </c>
      <c r="B3454" t="s">
        <v>3615</v>
      </c>
      <c r="C3454" t="str">
        <f>"9781592136391"</f>
        <v>9781592136391</v>
      </c>
      <c r="D3454" t="str">
        <f>"9781592136414"</f>
        <v>9781592136414</v>
      </c>
      <c r="E3454" t="s">
        <v>3604</v>
      </c>
      <c r="F3454" t="s">
        <v>3604</v>
      </c>
      <c r="G3454" s="1">
        <v>39141</v>
      </c>
      <c r="H3454" s="1">
        <v>39456</v>
      </c>
      <c r="I3454" t="s">
        <v>12</v>
      </c>
      <c r="J3454" t="s">
        <v>14224</v>
      </c>
    </row>
    <row r="3455" spans="1:10" x14ac:dyDescent="0.25">
      <c r="A3455">
        <v>298886</v>
      </c>
      <c r="B3455" t="s">
        <v>3616</v>
      </c>
      <c r="C3455" t="str">
        <f>"9781592135547"</f>
        <v>9781592135547</v>
      </c>
      <c r="D3455" t="str">
        <f>"9781592135561"</f>
        <v>9781592135561</v>
      </c>
      <c r="E3455" t="s">
        <v>3604</v>
      </c>
      <c r="F3455" t="s">
        <v>3604</v>
      </c>
      <c r="G3455" s="1">
        <v>39110</v>
      </c>
      <c r="H3455" s="1">
        <v>39456</v>
      </c>
      <c r="I3455" t="s">
        <v>12</v>
      </c>
      <c r="J3455" t="s">
        <v>14225</v>
      </c>
    </row>
    <row r="3456" spans="1:10" x14ac:dyDescent="0.25">
      <c r="A3456">
        <v>298897</v>
      </c>
      <c r="B3456" t="s">
        <v>3617</v>
      </c>
      <c r="C3456" t="str">
        <f>"9781592132140"</f>
        <v>9781592132140</v>
      </c>
      <c r="D3456" t="str">
        <f>"9781592137695"</f>
        <v>9781592137695</v>
      </c>
      <c r="E3456" t="s">
        <v>3604</v>
      </c>
      <c r="F3456" t="s">
        <v>3604</v>
      </c>
      <c r="G3456" s="1">
        <v>37869</v>
      </c>
      <c r="H3456" s="1">
        <v>39360</v>
      </c>
      <c r="I3456" t="s">
        <v>12</v>
      </c>
      <c r="J3456" t="s">
        <v>14226</v>
      </c>
    </row>
    <row r="3457" spans="1:10" x14ac:dyDescent="0.25">
      <c r="A3457">
        <v>298899</v>
      </c>
      <c r="B3457" t="s">
        <v>3618</v>
      </c>
      <c r="C3457" t="str">
        <f>"9781592130085"</f>
        <v>9781592130085</v>
      </c>
      <c r="D3457" t="str">
        <f>"9781592137749"</f>
        <v>9781592137749</v>
      </c>
      <c r="E3457" t="s">
        <v>3604</v>
      </c>
      <c r="F3457" t="s">
        <v>3604</v>
      </c>
      <c r="G3457" s="1">
        <v>37561</v>
      </c>
      <c r="H3457" s="1">
        <v>39265</v>
      </c>
      <c r="I3457" t="s">
        <v>12</v>
      </c>
      <c r="J3457" t="s">
        <v>14227</v>
      </c>
    </row>
    <row r="3458" spans="1:10" x14ac:dyDescent="0.25">
      <c r="A3458">
        <v>298903</v>
      </c>
      <c r="B3458" t="s">
        <v>3619</v>
      </c>
      <c r="C3458" t="str">
        <f>"9781592133017"</f>
        <v>9781592133017</v>
      </c>
      <c r="D3458" t="str">
        <f>"9781592137787"</f>
        <v>9781592137787</v>
      </c>
      <c r="E3458" t="s">
        <v>3604</v>
      </c>
      <c r="F3458" t="s">
        <v>3604</v>
      </c>
      <c r="G3458" s="1">
        <v>38776</v>
      </c>
      <c r="H3458" s="1">
        <v>39264</v>
      </c>
      <c r="I3458" t="s">
        <v>12</v>
      </c>
      <c r="J3458" t="s">
        <v>14228</v>
      </c>
    </row>
    <row r="3459" spans="1:10" x14ac:dyDescent="0.25">
      <c r="A3459">
        <v>298974</v>
      </c>
      <c r="B3459" t="s">
        <v>3620</v>
      </c>
      <c r="C3459" t="str">
        <f>"9780851990224"</f>
        <v>9780851990224</v>
      </c>
      <c r="D3459" t="str">
        <f>"9781845931766"</f>
        <v>9781845931766</v>
      </c>
      <c r="E3459" t="s">
        <v>2878</v>
      </c>
      <c r="F3459" t="s">
        <v>2879</v>
      </c>
      <c r="G3459" s="1">
        <v>38718</v>
      </c>
      <c r="H3459" s="1">
        <v>39267</v>
      </c>
      <c r="I3459" t="s">
        <v>12</v>
      </c>
      <c r="J3459" t="s">
        <v>14229</v>
      </c>
    </row>
    <row r="3460" spans="1:10" x14ac:dyDescent="0.25">
      <c r="A3460">
        <v>298975</v>
      </c>
      <c r="B3460" t="s">
        <v>3621</v>
      </c>
      <c r="C3460" t="str">
        <f>"9781845932015"</f>
        <v>9781845932015</v>
      </c>
      <c r="D3460" t="str">
        <f>"9781845932039"</f>
        <v>9781845932039</v>
      </c>
      <c r="E3460" t="s">
        <v>2878</v>
      </c>
      <c r="F3460" t="s">
        <v>2879</v>
      </c>
      <c r="G3460" s="1">
        <v>39083</v>
      </c>
      <c r="H3460" s="1">
        <v>39267</v>
      </c>
      <c r="I3460" t="s">
        <v>12</v>
      </c>
      <c r="J3460" t="s">
        <v>14230</v>
      </c>
    </row>
    <row r="3461" spans="1:10" x14ac:dyDescent="0.25">
      <c r="A3461">
        <v>299010</v>
      </c>
      <c r="B3461" t="s">
        <v>3622</v>
      </c>
      <c r="C3461" t="str">
        <f>"9780080437934"</f>
        <v>9780080437934</v>
      </c>
      <c r="D3461" t="str">
        <f>"9780080516660"</f>
        <v>9780080516660</v>
      </c>
      <c r="E3461" t="s">
        <v>1119</v>
      </c>
      <c r="F3461" t="s">
        <v>3623</v>
      </c>
      <c r="G3461" s="1">
        <v>37813</v>
      </c>
      <c r="H3461" s="1">
        <v>39268</v>
      </c>
      <c r="I3461" t="s">
        <v>12</v>
      </c>
      <c r="J3461" t="s">
        <v>14231</v>
      </c>
    </row>
    <row r="3462" spans="1:10" x14ac:dyDescent="0.25">
      <c r="A3462">
        <v>299114</v>
      </c>
      <c r="B3462" t="s">
        <v>3624</v>
      </c>
      <c r="C3462" t="str">
        <f>"9780750682374"</f>
        <v>9780750682374</v>
      </c>
      <c r="D3462" t="str">
        <f>"9780080545301"</f>
        <v>9780080545301</v>
      </c>
      <c r="E3462" t="s">
        <v>15</v>
      </c>
      <c r="F3462" t="s">
        <v>16</v>
      </c>
      <c r="G3462" s="1">
        <v>40736</v>
      </c>
      <c r="H3462" s="1">
        <v>40171</v>
      </c>
      <c r="I3462" t="s">
        <v>12</v>
      </c>
      <c r="J3462" t="s">
        <v>14232</v>
      </c>
    </row>
    <row r="3463" spans="1:10" x14ac:dyDescent="0.25">
      <c r="A3463">
        <v>299215</v>
      </c>
      <c r="B3463" t="s">
        <v>3625</v>
      </c>
      <c r="C3463" t="str">
        <f>"9789264021938"</f>
        <v>9789264021938</v>
      </c>
      <c r="D3463" t="str">
        <f>"9789264021945"</f>
        <v>9789264021945</v>
      </c>
      <c r="E3463" t="s">
        <v>1185</v>
      </c>
      <c r="F3463" t="s">
        <v>1186</v>
      </c>
      <c r="G3463" s="1">
        <v>38824</v>
      </c>
      <c r="H3463" s="1">
        <v>39270</v>
      </c>
      <c r="I3463" t="s">
        <v>12</v>
      </c>
      <c r="J3463" t="s">
        <v>14233</v>
      </c>
    </row>
    <row r="3464" spans="1:10" x14ac:dyDescent="0.25">
      <c r="A3464">
        <v>299239</v>
      </c>
      <c r="B3464" t="s">
        <v>3626</v>
      </c>
      <c r="C3464" t="str">
        <f>"9789264024038"</f>
        <v>9789264024038</v>
      </c>
      <c r="D3464" t="str">
        <f>"9789264024045"</f>
        <v>9789264024045</v>
      </c>
      <c r="E3464" t="s">
        <v>1185</v>
      </c>
      <c r="F3464" t="s">
        <v>1186</v>
      </c>
      <c r="G3464" s="1">
        <v>38981</v>
      </c>
      <c r="H3464" s="1">
        <v>39270</v>
      </c>
      <c r="I3464" t="s">
        <v>12</v>
      </c>
      <c r="J3464" t="s">
        <v>14234</v>
      </c>
    </row>
    <row r="3465" spans="1:10" x14ac:dyDescent="0.25">
      <c r="A3465">
        <v>299243</v>
      </c>
      <c r="B3465" t="s">
        <v>3627</v>
      </c>
      <c r="C3465" t="str">
        <f>"9789264024410"</f>
        <v>9789264024410</v>
      </c>
      <c r="D3465" t="str">
        <f>"9789264024427"</f>
        <v>9789264024427</v>
      </c>
      <c r="E3465" t="s">
        <v>1185</v>
      </c>
      <c r="F3465" t="s">
        <v>1186</v>
      </c>
      <c r="G3465" s="1">
        <v>38849</v>
      </c>
      <c r="H3465" s="1">
        <v>39546</v>
      </c>
      <c r="I3465" t="s">
        <v>12</v>
      </c>
      <c r="J3465" t="s">
        <v>14235</v>
      </c>
    </row>
    <row r="3466" spans="1:10" x14ac:dyDescent="0.25">
      <c r="A3466">
        <v>299251</v>
      </c>
      <c r="B3466" t="s">
        <v>3628</v>
      </c>
      <c r="C3466" t="str">
        <f>"9789264025011"</f>
        <v>9789264025011</v>
      </c>
      <c r="D3466" t="str">
        <f>"9789264025028"</f>
        <v>9789264025028</v>
      </c>
      <c r="E3466" t="s">
        <v>1185</v>
      </c>
      <c r="F3466" t="s">
        <v>1186</v>
      </c>
      <c r="G3466" s="1">
        <v>38874</v>
      </c>
      <c r="H3466" s="1">
        <v>39566</v>
      </c>
      <c r="I3466" t="s">
        <v>12</v>
      </c>
      <c r="J3466" t="s">
        <v>14236</v>
      </c>
    </row>
    <row r="3467" spans="1:10" x14ac:dyDescent="0.25">
      <c r="A3467">
        <v>299252</v>
      </c>
      <c r="B3467" t="s">
        <v>3629</v>
      </c>
      <c r="C3467" t="str">
        <f>"9789264025035"</f>
        <v>9789264025035</v>
      </c>
      <c r="D3467" t="str">
        <f>"9789264025042"</f>
        <v>9789264025042</v>
      </c>
      <c r="E3467" t="s">
        <v>1185</v>
      </c>
      <c r="F3467" t="s">
        <v>1186</v>
      </c>
      <c r="G3467" s="1">
        <v>38939</v>
      </c>
      <c r="H3467" s="1">
        <v>39566</v>
      </c>
      <c r="I3467" t="s">
        <v>12</v>
      </c>
      <c r="J3467" t="s">
        <v>14237</v>
      </c>
    </row>
    <row r="3468" spans="1:10" x14ac:dyDescent="0.25">
      <c r="A3468">
        <v>299258</v>
      </c>
      <c r="B3468" t="s">
        <v>3630</v>
      </c>
      <c r="C3468" t="str">
        <f>"9789264025318"</f>
        <v>9789264025318</v>
      </c>
      <c r="D3468" t="str">
        <f>"9789264025325"</f>
        <v>9789264025325</v>
      </c>
      <c r="E3468" t="s">
        <v>1185</v>
      </c>
      <c r="F3468" t="s">
        <v>1186</v>
      </c>
      <c r="G3468" s="1">
        <v>38972</v>
      </c>
      <c r="H3468" s="1">
        <v>39270</v>
      </c>
      <c r="I3468" t="s">
        <v>12</v>
      </c>
      <c r="J3468" t="s">
        <v>14238</v>
      </c>
    </row>
    <row r="3469" spans="1:10" x14ac:dyDescent="0.25">
      <c r="A3469">
        <v>299270</v>
      </c>
      <c r="B3469" t="s">
        <v>3631</v>
      </c>
      <c r="C3469" t="str">
        <f>"9789264025844"</f>
        <v>9789264025844</v>
      </c>
      <c r="D3469" t="str">
        <f>"9789264025851"</f>
        <v>9789264025851</v>
      </c>
      <c r="E3469" t="s">
        <v>1185</v>
      </c>
      <c r="F3469" t="s">
        <v>1186</v>
      </c>
      <c r="G3469" s="1">
        <v>38876</v>
      </c>
      <c r="H3469" s="1">
        <v>39270</v>
      </c>
      <c r="I3469" t="s">
        <v>12</v>
      </c>
      <c r="J3469" t="s">
        <v>14239</v>
      </c>
    </row>
    <row r="3470" spans="1:10" x14ac:dyDescent="0.25">
      <c r="A3470">
        <v>299279</v>
      </c>
      <c r="B3470" t="s">
        <v>3632</v>
      </c>
      <c r="C3470" t="str">
        <f>"9789264026292"</f>
        <v>9789264026292</v>
      </c>
      <c r="D3470" t="str">
        <f>"9789264026308"</f>
        <v>9789264026308</v>
      </c>
      <c r="E3470" t="s">
        <v>1185</v>
      </c>
      <c r="F3470" t="s">
        <v>1186</v>
      </c>
      <c r="G3470" s="1">
        <v>38897</v>
      </c>
      <c r="H3470" s="1">
        <v>39270</v>
      </c>
      <c r="I3470" t="s">
        <v>12</v>
      </c>
      <c r="J3470" t="s">
        <v>14240</v>
      </c>
    </row>
    <row r="3471" spans="1:10" x14ac:dyDescent="0.25">
      <c r="A3471">
        <v>299282</v>
      </c>
      <c r="B3471" t="s">
        <v>3633</v>
      </c>
      <c r="C3471" t="str">
        <f>"9789264026438"</f>
        <v>9789264026438</v>
      </c>
      <c r="D3471" t="str">
        <f>"9789264026445"</f>
        <v>9789264026445</v>
      </c>
      <c r="E3471" t="s">
        <v>1185</v>
      </c>
      <c r="F3471" t="s">
        <v>1186</v>
      </c>
      <c r="G3471" s="1">
        <v>38993</v>
      </c>
      <c r="H3471" s="1">
        <v>39414</v>
      </c>
      <c r="I3471" t="s">
        <v>12</v>
      </c>
      <c r="J3471" t="s">
        <v>14241</v>
      </c>
    </row>
    <row r="3472" spans="1:10" x14ac:dyDescent="0.25">
      <c r="A3472">
        <v>299284</v>
      </c>
      <c r="B3472" t="s">
        <v>3634</v>
      </c>
      <c r="C3472" t="str">
        <f>"9789264026506"</f>
        <v>9789264026506</v>
      </c>
      <c r="D3472" t="str">
        <f>"9789264026513"</f>
        <v>9789264026513</v>
      </c>
      <c r="E3472" t="s">
        <v>1185</v>
      </c>
      <c r="F3472" t="s">
        <v>1186</v>
      </c>
      <c r="G3472" s="1">
        <v>38687</v>
      </c>
      <c r="H3472" s="1">
        <v>39273</v>
      </c>
      <c r="I3472" t="s">
        <v>12</v>
      </c>
      <c r="J3472" t="s">
        <v>14242</v>
      </c>
    </row>
    <row r="3473" spans="1:10" x14ac:dyDescent="0.25">
      <c r="A3473">
        <v>299300</v>
      </c>
      <c r="B3473" t="s">
        <v>3635</v>
      </c>
      <c r="C3473" t="str">
        <f>"9789264028227"</f>
        <v>9789264028227</v>
      </c>
      <c r="D3473" t="str">
        <f>"9789264028234"</f>
        <v>9789264028234</v>
      </c>
      <c r="E3473" t="s">
        <v>1185</v>
      </c>
      <c r="F3473" t="s">
        <v>1186</v>
      </c>
      <c r="G3473" s="1">
        <v>39001</v>
      </c>
      <c r="H3473" s="1">
        <v>39270</v>
      </c>
      <c r="I3473" t="s">
        <v>12</v>
      </c>
      <c r="J3473" t="s">
        <v>14243</v>
      </c>
    </row>
    <row r="3474" spans="1:10" x14ac:dyDescent="0.25">
      <c r="A3474">
        <v>299350</v>
      </c>
      <c r="B3474" t="s">
        <v>3636</v>
      </c>
      <c r="C3474" t="str">
        <f>"9789264035973"</f>
        <v>9789264035973</v>
      </c>
      <c r="D3474" t="str">
        <f>"9789264035980"</f>
        <v>9789264035980</v>
      </c>
      <c r="E3474" t="s">
        <v>1185</v>
      </c>
      <c r="F3474" t="s">
        <v>1186</v>
      </c>
      <c r="G3474" s="1">
        <v>38785</v>
      </c>
      <c r="H3474" s="1">
        <v>39570</v>
      </c>
      <c r="I3474" t="s">
        <v>12</v>
      </c>
      <c r="J3474" t="s">
        <v>14244</v>
      </c>
    </row>
    <row r="3475" spans="1:10" x14ac:dyDescent="0.25">
      <c r="A3475">
        <v>299404</v>
      </c>
      <c r="B3475" t="s">
        <v>3637</v>
      </c>
      <c r="C3475" t="str">
        <f>"9789264109513"</f>
        <v>9789264109513</v>
      </c>
      <c r="D3475" t="str">
        <f>"9789264109520"</f>
        <v>9789264109520</v>
      </c>
      <c r="E3475" t="s">
        <v>1185</v>
      </c>
      <c r="F3475" t="s">
        <v>1186</v>
      </c>
      <c r="G3475" s="1">
        <v>38897</v>
      </c>
      <c r="H3475" s="1">
        <v>39270</v>
      </c>
      <c r="I3475" t="s">
        <v>12</v>
      </c>
      <c r="J3475" t="s">
        <v>14245</v>
      </c>
    </row>
    <row r="3476" spans="1:10" x14ac:dyDescent="0.25">
      <c r="A3476">
        <v>299462</v>
      </c>
      <c r="B3476" t="s">
        <v>3638</v>
      </c>
      <c r="C3476" t="str">
        <f>"9780123694898"</f>
        <v>9780123694898</v>
      </c>
      <c r="D3476" t="str">
        <f>"9780080546148"</f>
        <v>9780080546148</v>
      </c>
      <c r="E3476" t="s">
        <v>1119</v>
      </c>
      <c r="F3476" t="s">
        <v>1120</v>
      </c>
      <c r="G3476" s="1">
        <v>39266</v>
      </c>
      <c r="H3476" s="1">
        <v>39276</v>
      </c>
      <c r="I3476" t="s">
        <v>12</v>
      </c>
      <c r="J3476" t="s">
        <v>14246</v>
      </c>
    </row>
    <row r="3477" spans="1:10" x14ac:dyDescent="0.25">
      <c r="A3477">
        <v>299464</v>
      </c>
      <c r="B3477" t="s">
        <v>3639</v>
      </c>
      <c r="C3477" t="str">
        <f>"9780123708564"</f>
        <v>9780123708564</v>
      </c>
      <c r="D3477" t="str">
        <f>"9780080546254"</f>
        <v>9780080546254</v>
      </c>
      <c r="E3477" t="s">
        <v>1116</v>
      </c>
      <c r="F3477" t="s">
        <v>2863</v>
      </c>
      <c r="G3477" s="1">
        <v>39203</v>
      </c>
      <c r="H3477" s="1">
        <v>39276</v>
      </c>
      <c r="I3477" t="s">
        <v>12</v>
      </c>
      <c r="J3477" t="s">
        <v>14247</v>
      </c>
    </row>
    <row r="3478" spans="1:10" x14ac:dyDescent="0.25">
      <c r="A3478">
        <v>299520</v>
      </c>
      <c r="B3478" t="s">
        <v>3640</v>
      </c>
      <c r="C3478" t="str">
        <f>"9780240808697"</f>
        <v>9780240808697</v>
      </c>
      <c r="D3478" t="str">
        <f>"9780080546018"</f>
        <v>9780080546018</v>
      </c>
      <c r="E3478" t="s">
        <v>15</v>
      </c>
      <c r="F3478" t="s">
        <v>16</v>
      </c>
      <c r="G3478" s="1">
        <v>39294</v>
      </c>
      <c r="H3478" s="1">
        <v>39276</v>
      </c>
      <c r="I3478" t="s">
        <v>12</v>
      </c>
      <c r="J3478" t="s">
        <v>14248</v>
      </c>
    </row>
    <row r="3479" spans="1:10" x14ac:dyDescent="0.25">
      <c r="A3479">
        <v>299532</v>
      </c>
      <c r="B3479" t="s">
        <v>3641</v>
      </c>
      <c r="C3479" t="str">
        <f>"9780240516769"</f>
        <v>9780240516769</v>
      </c>
      <c r="D3479" t="str">
        <f>"9780080508016"</f>
        <v>9780080508016</v>
      </c>
      <c r="E3479" t="s">
        <v>15</v>
      </c>
      <c r="F3479" t="s">
        <v>16</v>
      </c>
      <c r="G3479" s="1">
        <v>37711</v>
      </c>
      <c r="H3479" s="1">
        <v>39276</v>
      </c>
      <c r="I3479" t="s">
        <v>12</v>
      </c>
      <c r="J3479" t="s">
        <v>14249</v>
      </c>
    </row>
    <row r="3480" spans="1:10" x14ac:dyDescent="0.25">
      <c r="A3480">
        <v>299548</v>
      </c>
      <c r="B3480" t="s">
        <v>3642</v>
      </c>
      <c r="C3480" t="str">
        <f>"9780748620098"</f>
        <v>9780748620098</v>
      </c>
      <c r="D3480" t="str">
        <f>"9780748629121"</f>
        <v>9780748629121</v>
      </c>
      <c r="E3480" t="s">
        <v>1942</v>
      </c>
      <c r="F3480" t="s">
        <v>1942</v>
      </c>
      <c r="G3480" s="1">
        <v>39224</v>
      </c>
      <c r="H3480" s="1">
        <v>39270</v>
      </c>
      <c r="I3480" t="s">
        <v>12</v>
      </c>
      <c r="J3480" t="s">
        <v>14250</v>
      </c>
    </row>
    <row r="3481" spans="1:10" x14ac:dyDescent="0.25">
      <c r="A3481">
        <v>299549</v>
      </c>
      <c r="B3481" t="s">
        <v>3643</v>
      </c>
      <c r="C3481" t="str">
        <f>"9780748624652"</f>
        <v>9780748624652</v>
      </c>
      <c r="D3481" t="str">
        <f>"9780748628704"</f>
        <v>9780748628704</v>
      </c>
      <c r="E3481" t="s">
        <v>1942</v>
      </c>
      <c r="F3481" t="s">
        <v>1942</v>
      </c>
      <c r="G3481" s="1">
        <v>39239</v>
      </c>
      <c r="H3481" s="1">
        <v>39270</v>
      </c>
      <c r="I3481" t="s">
        <v>12</v>
      </c>
      <c r="J3481" t="s">
        <v>14251</v>
      </c>
    </row>
    <row r="3482" spans="1:10" x14ac:dyDescent="0.25">
      <c r="A3482">
        <v>299550</v>
      </c>
      <c r="B3482" t="s">
        <v>3644</v>
      </c>
      <c r="C3482" t="str">
        <f>"9780748627639"</f>
        <v>9780748627639</v>
      </c>
      <c r="D3482" t="str">
        <f>"9780748631612"</f>
        <v>9780748631612</v>
      </c>
      <c r="E3482" t="s">
        <v>1942</v>
      </c>
      <c r="F3482" t="s">
        <v>1942</v>
      </c>
      <c r="G3482" s="1">
        <v>39142</v>
      </c>
      <c r="H3482" s="1">
        <v>39270</v>
      </c>
      <c r="I3482" t="s">
        <v>12</v>
      </c>
      <c r="J3482" t="s">
        <v>14252</v>
      </c>
    </row>
    <row r="3483" spans="1:10" x14ac:dyDescent="0.25">
      <c r="A3483">
        <v>299551</v>
      </c>
      <c r="B3483" t="s">
        <v>3645</v>
      </c>
      <c r="C3483" t="str">
        <f>"9780748622160"</f>
        <v>9780748622160</v>
      </c>
      <c r="D3483" t="str">
        <f>"9780748629275"</f>
        <v>9780748629275</v>
      </c>
      <c r="E3483" t="s">
        <v>1942</v>
      </c>
      <c r="F3483" t="s">
        <v>1942</v>
      </c>
      <c r="G3483" s="1">
        <v>39213</v>
      </c>
      <c r="H3483" s="1">
        <v>39270</v>
      </c>
      <c r="I3483" t="s">
        <v>12</v>
      </c>
      <c r="J3483" t="s">
        <v>14253</v>
      </c>
    </row>
    <row r="3484" spans="1:10" x14ac:dyDescent="0.25">
      <c r="A3484">
        <v>299553</v>
      </c>
      <c r="B3484" t="s">
        <v>3646</v>
      </c>
      <c r="C3484" t="str">
        <f>"9780748616336"</f>
        <v>9780748616336</v>
      </c>
      <c r="D3484" t="str">
        <f>"9780748628636"</f>
        <v>9780748628636</v>
      </c>
      <c r="E3484" t="s">
        <v>1942</v>
      </c>
      <c r="F3484" t="s">
        <v>1942</v>
      </c>
      <c r="G3484" s="1">
        <v>39227</v>
      </c>
      <c r="H3484" s="1">
        <v>39270</v>
      </c>
      <c r="I3484" t="s">
        <v>12</v>
      </c>
      <c r="J3484" t="s">
        <v>14254</v>
      </c>
    </row>
    <row r="3485" spans="1:10" x14ac:dyDescent="0.25">
      <c r="A3485">
        <v>299554</v>
      </c>
      <c r="B3485" t="s">
        <v>3647</v>
      </c>
      <c r="C3485" t="str">
        <f>"9780748623679"</f>
        <v>9780748623679</v>
      </c>
      <c r="D3485" t="str">
        <f>"9780748637768"</f>
        <v>9780748637768</v>
      </c>
      <c r="E3485" t="s">
        <v>1942</v>
      </c>
      <c r="F3485" t="s">
        <v>1942</v>
      </c>
      <c r="G3485" s="1">
        <v>39213</v>
      </c>
      <c r="H3485" s="1">
        <v>39270</v>
      </c>
      <c r="I3485" t="s">
        <v>12</v>
      </c>
      <c r="J3485" t="s">
        <v>14255</v>
      </c>
    </row>
    <row r="3486" spans="1:10" x14ac:dyDescent="0.25">
      <c r="A3486">
        <v>299579</v>
      </c>
      <c r="B3486" t="s">
        <v>3648</v>
      </c>
      <c r="C3486" t="str">
        <f>"9781894663786"</f>
        <v>9781894663786</v>
      </c>
      <c r="D3486" t="str">
        <f>"9781897415702"</f>
        <v>9781897415702</v>
      </c>
      <c r="E3486" t="s">
        <v>3001</v>
      </c>
      <c r="F3486" t="s">
        <v>3003</v>
      </c>
      <c r="G3486" s="1">
        <v>38261</v>
      </c>
      <c r="H3486" s="1">
        <v>39546</v>
      </c>
      <c r="I3486" t="s">
        <v>12</v>
      </c>
      <c r="J3486" t="s">
        <v>14256</v>
      </c>
    </row>
    <row r="3487" spans="1:10" x14ac:dyDescent="0.25">
      <c r="A3487">
        <v>299593</v>
      </c>
      <c r="B3487" t="s">
        <v>3649</v>
      </c>
      <c r="C3487" t="str">
        <f>"9781894663724"</f>
        <v>9781894663724</v>
      </c>
      <c r="D3487" t="str">
        <f>"9781897414620"</f>
        <v>9781897414620</v>
      </c>
      <c r="E3487" t="s">
        <v>3001</v>
      </c>
      <c r="F3487" t="s">
        <v>3003</v>
      </c>
      <c r="G3487" s="1">
        <v>38261</v>
      </c>
      <c r="H3487" s="1">
        <v>39283</v>
      </c>
      <c r="I3487" t="s">
        <v>12</v>
      </c>
      <c r="J3487" t="s">
        <v>14257</v>
      </c>
    </row>
    <row r="3488" spans="1:10" x14ac:dyDescent="0.25">
      <c r="A3488">
        <v>299594</v>
      </c>
      <c r="B3488" t="s">
        <v>3650</v>
      </c>
      <c r="C3488" t="str">
        <f>"9781894663717"</f>
        <v>9781894663717</v>
      </c>
      <c r="D3488" t="str">
        <f>"9781897414613"</f>
        <v>9781897414613</v>
      </c>
      <c r="E3488" t="s">
        <v>3001</v>
      </c>
      <c r="F3488" t="s">
        <v>3003</v>
      </c>
      <c r="G3488" s="1">
        <v>38261</v>
      </c>
      <c r="H3488" s="1">
        <v>39283</v>
      </c>
      <c r="I3488" t="s">
        <v>12</v>
      </c>
      <c r="J3488" t="s">
        <v>14258</v>
      </c>
    </row>
    <row r="3489" spans="1:10" x14ac:dyDescent="0.25">
      <c r="A3489">
        <v>299609</v>
      </c>
      <c r="B3489" t="s">
        <v>3651</v>
      </c>
      <c r="C3489" t="str">
        <f>"9781894663946"</f>
        <v>9781894663946</v>
      </c>
      <c r="D3489" t="str">
        <f>"9781897415870"</f>
        <v>9781897415870</v>
      </c>
      <c r="E3489" t="s">
        <v>3001</v>
      </c>
      <c r="F3489" t="s">
        <v>3003</v>
      </c>
      <c r="G3489" s="1">
        <v>38596</v>
      </c>
      <c r="H3489" s="1">
        <v>39283</v>
      </c>
      <c r="I3489" t="s">
        <v>12</v>
      </c>
      <c r="J3489" t="s">
        <v>14259</v>
      </c>
    </row>
    <row r="3490" spans="1:10" x14ac:dyDescent="0.25">
      <c r="A3490">
        <v>299616</v>
      </c>
      <c r="B3490" t="s">
        <v>3652</v>
      </c>
      <c r="C3490" t="str">
        <f>"9781894663670"</f>
        <v>9781894663670</v>
      </c>
      <c r="D3490" t="str">
        <f>"9781897414958"</f>
        <v>9781897414958</v>
      </c>
      <c r="E3490" t="s">
        <v>3001</v>
      </c>
      <c r="F3490" t="s">
        <v>3003</v>
      </c>
      <c r="G3490" s="1">
        <v>38261</v>
      </c>
      <c r="H3490" s="1">
        <v>39300</v>
      </c>
      <c r="I3490" t="s">
        <v>12</v>
      </c>
      <c r="J3490" t="s">
        <v>14260</v>
      </c>
    </row>
    <row r="3491" spans="1:10" x14ac:dyDescent="0.25">
      <c r="A3491">
        <v>299621</v>
      </c>
      <c r="B3491" t="s">
        <v>3653</v>
      </c>
      <c r="C3491" t="str">
        <f>"9781894663243"</f>
        <v>9781894663243</v>
      </c>
      <c r="D3491" t="str">
        <f>"9781897415771"</f>
        <v>9781897415771</v>
      </c>
      <c r="E3491" t="s">
        <v>3001</v>
      </c>
      <c r="F3491" t="s">
        <v>3003</v>
      </c>
      <c r="G3491" s="1">
        <v>37330</v>
      </c>
      <c r="H3491" s="1">
        <v>39283</v>
      </c>
      <c r="I3491" t="s">
        <v>12</v>
      </c>
      <c r="J3491" t="s">
        <v>14261</v>
      </c>
    </row>
    <row r="3492" spans="1:10" x14ac:dyDescent="0.25">
      <c r="A3492">
        <v>299637</v>
      </c>
      <c r="B3492" t="s">
        <v>3654</v>
      </c>
      <c r="C3492" t="str">
        <f>"9781894663878"</f>
        <v>9781894663878</v>
      </c>
      <c r="D3492" t="str">
        <f>"9781897415849"</f>
        <v>9781897415849</v>
      </c>
      <c r="E3492" t="s">
        <v>3001</v>
      </c>
      <c r="F3492" t="s">
        <v>3003</v>
      </c>
      <c r="G3492" s="1">
        <v>38443</v>
      </c>
      <c r="H3492" s="1">
        <v>39283</v>
      </c>
      <c r="I3492" t="s">
        <v>12</v>
      </c>
      <c r="J3492" t="s">
        <v>14262</v>
      </c>
    </row>
    <row r="3493" spans="1:10" x14ac:dyDescent="0.25">
      <c r="A3493">
        <v>299655</v>
      </c>
      <c r="B3493" t="s">
        <v>3655</v>
      </c>
      <c r="C3493" t="str">
        <f>"9781894663441"</f>
        <v>9781894663441</v>
      </c>
      <c r="D3493" t="str">
        <f>"9781897414880"</f>
        <v>9781897414880</v>
      </c>
      <c r="E3493" t="s">
        <v>3001</v>
      </c>
      <c r="F3493" t="s">
        <v>3003</v>
      </c>
      <c r="G3493" s="1">
        <v>37695</v>
      </c>
      <c r="H3493" s="1">
        <v>39419</v>
      </c>
      <c r="I3493" t="s">
        <v>12</v>
      </c>
      <c r="J3493" t="s">
        <v>14263</v>
      </c>
    </row>
    <row r="3494" spans="1:10" x14ac:dyDescent="0.25">
      <c r="A3494">
        <v>299660</v>
      </c>
      <c r="B3494" t="s">
        <v>3656</v>
      </c>
      <c r="C3494" t="str">
        <f>"9781894663922"</f>
        <v>9781894663922</v>
      </c>
      <c r="D3494" t="str">
        <f>"9781897415863"</f>
        <v>9781897415863</v>
      </c>
      <c r="E3494" t="s">
        <v>3001</v>
      </c>
      <c r="F3494" t="s">
        <v>3003</v>
      </c>
      <c r="G3494" s="1">
        <v>38443</v>
      </c>
      <c r="H3494" s="1">
        <v>39283</v>
      </c>
      <c r="I3494" t="s">
        <v>12</v>
      </c>
      <c r="J3494" t="s">
        <v>14264</v>
      </c>
    </row>
    <row r="3495" spans="1:10" x14ac:dyDescent="0.25">
      <c r="A3495">
        <v>299690</v>
      </c>
      <c r="B3495" t="s">
        <v>3657</v>
      </c>
      <c r="C3495" t="str">
        <f>"9781894663304"</f>
        <v>9781894663304</v>
      </c>
      <c r="D3495" t="str">
        <f>"9781897415788"</f>
        <v>9781897415788</v>
      </c>
      <c r="E3495" t="s">
        <v>3001</v>
      </c>
      <c r="F3495" t="s">
        <v>3001</v>
      </c>
      <c r="G3495" s="1">
        <v>37524</v>
      </c>
      <c r="H3495" s="1">
        <v>39283</v>
      </c>
      <c r="I3495" t="s">
        <v>12</v>
      </c>
      <c r="J3495" t="s">
        <v>14265</v>
      </c>
    </row>
    <row r="3496" spans="1:10" x14ac:dyDescent="0.25">
      <c r="A3496">
        <v>299691</v>
      </c>
      <c r="B3496" t="s">
        <v>3658</v>
      </c>
      <c r="C3496" t="str">
        <f>"9781894663892"</f>
        <v>9781894663892</v>
      </c>
      <c r="D3496" t="str">
        <f>"9781897415856"</f>
        <v>9781897415856</v>
      </c>
      <c r="E3496" t="s">
        <v>3001</v>
      </c>
      <c r="F3496" t="s">
        <v>3003</v>
      </c>
      <c r="G3496" s="1">
        <v>36124</v>
      </c>
      <c r="H3496" s="1">
        <v>39283</v>
      </c>
      <c r="I3496" t="s">
        <v>12</v>
      </c>
      <c r="J3496" t="s">
        <v>14266</v>
      </c>
    </row>
    <row r="3497" spans="1:10" x14ac:dyDescent="0.25">
      <c r="A3497">
        <v>299696</v>
      </c>
      <c r="B3497" t="s">
        <v>3659</v>
      </c>
      <c r="C3497" t="str">
        <f>"9781894663793"</f>
        <v>9781894663793</v>
      </c>
      <c r="D3497" t="str">
        <f>"9781897415825"</f>
        <v>9781897415825</v>
      </c>
      <c r="E3497" t="s">
        <v>3001</v>
      </c>
      <c r="F3497" t="s">
        <v>3003</v>
      </c>
      <c r="G3497" s="1">
        <v>38261</v>
      </c>
      <c r="H3497" s="1">
        <v>39419</v>
      </c>
      <c r="I3497" t="s">
        <v>12</v>
      </c>
      <c r="J3497" t="s">
        <v>14267</v>
      </c>
    </row>
    <row r="3498" spans="1:10" x14ac:dyDescent="0.25">
      <c r="A3498">
        <v>300514</v>
      </c>
      <c r="B3498" t="s">
        <v>3660</v>
      </c>
      <c r="C3498" t="str">
        <f>"9781420042887"</f>
        <v>9781420042887</v>
      </c>
      <c r="D3498" t="str">
        <f>"9781420042894"</f>
        <v>9781420042894</v>
      </c>
      <c r="E3498" t="s">
        <v>1900</v>
      </c>
      <c r="F3498" t="s">
        <v>1900</v>
      </c>
      <c r="G3498" s="1">
        <v>39260</v>
      </c>
      <c r="H3498" s="1">
        <v>39275</v>
      </c>
      <c r="I3498" t="s">
        <v>12</v>
      </c>
      <c r="J3498" t="s">
        <v>14268</v>
      </c>
    </row>
    <row r="3499" spans="1:10" x14ac:dyDescent="0.25">
      <c r="A3499">
        <v>300531</v>
      </c>
      <c r="B3499" t="s">
        <v>3661</v>
      </c>
      <c r="C3499" t="str">
        <f>"9780833038678"</f>
        <v>9780833038678</v>
      </c>
      <c r="D3499" t="str">
        <f>"9780833040879"</f>
        <v>9780833040879</v>
      </c>
      <c r="E3499" t="s">
        <v>1063</v>
      </c>
      <c r="F3499" t="s">
        <v>1064</v>
      </c>
      <c r="G3499" s="1">
        <v>38961</v>
      </c>
      <c r="H3499" s="1">
        <v>39271</v>
      </c>
      <c r="I3499" t="s">
        <v>12</v>
      </c>
      <c r="J3499" t="s">
        <v>14269</v>
      </c>
    </row>
    <row r="3500" spans="1:10" x14ac:dyDescent="0.25">
      <c r="A3500">
        <v>300596</v>
      </c>
      <c r="B3500" t="s">
        <v>3662</v>
      </c>
      <c r="C3500" t="str">
        <f>"9780750680493"</f>
        <v>9780750680493</v>
      </c>
      <c r="D3500" t="str">
        <f>"9780080501611"</f>
        <v>9780080501611</v>
      </c>
      <c r="E3500" t="s">
        <v>1119</v>
      </c>
      <c r="F3500" t="s">
        <v>1147</v>
      </c>
      <c r="G3500" s="1">
        <v>39003</v>
      </c>
      <c r="H3500" s="1">
        <v>41022</v>
      </c>
      <c r="I3500" t="s">
        <v>12</v>
      </c>
      <c r="J3500" t="s">
        <v>14270</v>
      </c>
    </row>
    <row r="3501" spans="1:10" x14ac:dyDescent="0.25">
      <c r="A3501">
        <v>300607</v>
      </c>
      <c r="B3501" t="s">
        <v>3662</v>
      </c>
      <c r="C3501" t="str">
        <f>"9780750665902"</f>
        <v>9780750665902</v>
      </c>
      <c r="D3501" t="str">
        <f>"9780080501468"</f>
        <v>9780080501468</v>
      </c>
      <c r="E3501" t="s">
        <v>1119</v>
      </c>
      <c r="F3501" t="s">
        <v>1147</v>
      </c>
      <c r="G3501" s="1">
        <v>38687</v>
      </c>
      <c r="H3501" s="1">
        <v>41022</v>
      </c>
      <c r="I3501" t="s">
        <v>12</v>
      </c>
      <c r="J3501" t="s">
        <v>14271</v>
      </c>
    </row>
    <row r="3502" spans="1:10" x14ac:dyDescent="0.25">
      <c r="A3502">
        <v>300613</v>
      </c>
      <c r="B3502" t="s">
        <v>3663</v>
      </c>
      <c r="C3502" t="str">
        <f>"9780750680042"</f>
        <v>9780750680042</v>
      </c>
      <c r="D3502" t="str">
        <f>"9780080501161"</f>
        <v>9780080501161</v>
      </c>
      <c r="E3502" t="s">
        <v>15</v>
      </c>
      <c r="F3502" t="s">
        <v>16</v>
      </c>
      <c r="G3502" s="1">
        <v>38930</v>
      </c>
      <c r="H3502" s="1">
        <v>39276</v>
      </c>
      <c r="I3502" t="s">
        <v>12</v>
      </c>
      <c r="J3502" t="s">
        <v>14272</v>
      </c>
    </row>
    <row r="3503" spans="1:10" x14ac:dyDescent="0.25">
      <c r="A3503">
        <v>300617</v>
      </c>
      <c r="B3503" t="s">
        <v>3664</v>
      </c>
      <c r="C3503" t="str">
        <f>"9780750680110"</f>
        <v>9780750680110</v>
      </c>
      <c r="D3503" t="str">
        <f>"9780080501239"</f>
        <v>9780080501239</v>
      </c>
      <c r="E3503" t="s">
        <v>15</v>
      </c>
      <c r="F3503" t="s">
        <v>16</v>
      </c>
      <c r="G3503" s="1">
        <v>38954</v>
      </c>
      <c r="H3503" s="1">
        <v>39276</v>
      </c>
      <c r="I3503" t="s">
        <v>12</v>
      </c>
      <c r="J3503" t="s">
        <v>14273</v>
      </c>
    </row>
    <row r="3504" spans="1:10" x14ac:dyDescent="0.25">
      <c r="A3504">
        <v>300620</v>
      </c>
      <c r="B3504" t="s">
        <v>3662</v>
      </c>
      <c r="C3504" t="str">
        <f>"9780750681261"</f>
        <v>9780750681261</v>
      </c>
      <c r="D3504" t="str">
        <f>"9780080501819"</f>
        <v>9780080501819</v>
      </c>
      <c r="E3504" t="s">
        <v>1119</v>
      </c>
      <c r="F3504" t="s">
        <v>1147</v>
      </c>
      <c r="G3504" s="1">
        <v>39039</v>
      </c>
      <c r="H3504" s="1">
        <v>41022</v>
      </c>
      <c r="I3504" t="s">
        <v>12</v>
      </c>
      <c r="J3504" t="s">
        <v>14274</v>
      </c>
    </row>
    <row r="3505" spans="1:10" x14ac:dyDescent="0.25">
      <c r="A3505">
        <v>300705</v>
      </c>
      <c r="B3505" t="s">
        <v>3665</v>
      </c>
      <c r="C3505" t="str">
        <f>"9780762310753"</f>
        <v>9780762310753</v>
      </c>
      <c r="D3505" t="str">
        <f>"9781849502535"</f>
        <v>9781849502535</v>
      </c>
      <c r="E3505" t="s">
        <v>1116</v>
      </c>
      <c r="F3505" t="s">
        <v>2163</v>
      </c>
      <c r="G3505" s="1">
        <v>37967</v>
      </c>
      <c r="H3505" s="1">
        <v>39276</v>
      </c>
      <c r="I3505" t="s">
        <v>12</v>
      </c>
      <c r="J3505" t="s">
        <v>14275</v>
      </c>
    </row>
    <row r="3506" spans="1:10" x14ac:dyDescent="0.25">
      <c r="A3506">
        <v>300707</v>
      </c>
      <c r="B3506" t="s">
        <v>3666</v>
      </c>
      <c r="C3506" t="str">
        <f>"9780762313365"</f>
        <v>9780762313365</v>
      </c>
      <c r="D3506" t="str">
        <f>"9781849504331"</f>
        <v>9781849504331</v>
      </c>
      <c r="E3506" t="s">
        <v>1116</v>
      </c>
      <c r="F3506" t="s">
        <v>2163</v>
      </c>
      <c r="G3506" s="1">
        <v>39295</v>
      </c>
      <c r="H3506" s="1">
        <v>39303</v>
      </c>
      <c r="I3506" t="s">
        <v>12</v>
      </c>
      <c r="J3506" t="s">
        <v>14276</v>
      </c>
    </row>
    <row r="3507" spans="1:10" x14ac:dyDescent="0.25">
      <c r="A3507">
        <v>300746</v>
      </c>
      <c r="B3507" t="s">
        <v>3667</v>
      </c>
      <c r="C3507" t="str">
        <f>"9781931644372"</f>
        <v>9781931644372</v>
      </c>
      <c r="D3507" t="str">
        <f>"9781931644648"</f>
        <v>9781931644648</v>
      </c>
      <c r="E3507" t="s">
        <v>3668</v>
      </c>
      <c r="F3507" t="s">
        <v>3668</v>
      </c>
      <c r="G3507" s="1">
        <v>39234</v>
      </c>
      <c r="H3507" s="1">
        <v>39279</v>
      </c>
      <c r="I3507" t="s">
        <v>12</v>
      </c>
      <c r="J3507" t="s">
        <v>14277</v>
      </c>
    </row>
    <row r="3508" spans="1:10" x14ac:dyDescent="0.25">
      <c r="A3508">
        <v>300972</v>
      </c>
      <c r="B3508" t="s">
        <v>3669</v>
      </c>
      <c r="C3508" t="str">
        <f>"9781578200740"</f>
        <v>9781578200740</v>
      </c>
      <c r="D3508" t="str">
        <f>"9780080524924"</f>
        <v>9780080524924</v>
      </c>
      <c r="E3508" t="s">
        <v>15</v>
      </c>
      <c r="F3508" t="s">
        <v>139</v>
      </c>
      <c r="G3508" s="1">
        <v>36996</v>
      </c>
      <c r="H3508" s="1">
        <v>39341</v>
      </c>
      <c r="I3508" t="s">
        <v>12</v>
      </c>
      <c r="J3508" t="s">
        <v>14278</v>
      </c>
    </row>
    <row r="3509" spans="1:10" x14ac:dyDescent="0.25">
      <c r="A3509">
        <v>300988</v>
      </c>
      <c r="B3509" t="s">
        <v>3670</v>
      </c>
      <c r="C3509" t="str">
        <f>"9780750647069"</f>
        <v>9780750647069</v>
      </c>
      <c r="D3509" t="str">
        <f>"9780080524580"</f>
        <v>9780080524580</v>
      </c>
      <c r="E3509" t="s">
        <v>15</v>
      </c>
      <c r="F3509" t="s">
        <v>16</v>
      </c>
      <c r="G3509" s="1">
        <v>36629</v>
      </c>
      <c r="H3509" s="1">
        <v>39274</v>
      </c>
      <c r="I3509" t="s">
        <v>12</v>
      </c>
      <c r="J3509" t="s">
        <v>14279</v>
      </c>
    </row>
    <row r="3510" spans="1:10" x14ac:dyDescent="0.25">
      <c r="A3510">
        <v>300990</v>
      </c>
      <c r="B3510" t="s">
        <v>3671</v>
      </c>
      <c r="C3510" t="str">
        <f>"9780750647717"</f>
        <v>9780750647717</v>
      </c>
      <c r="D3510" t="str">
        <f>"9780080524948"</f>
        <v>9780080524948</v>
      </c>
      <c r="E3510" t="s">
        <v>15</v>
      </c>
      <c r="F3510" t="s">
        <v>16</v>
      </c>
      <c r="G3510" s="1">
        <v>36586</v>
      </c>
      <c r="H3510" s="1">
        <v>39274</v>
      </c>
      <c r="I3510" t="s">
        <v>12</v>
      </c>
      <c r="J3510" t="s">
        <v>14280</v>
      </c>
    </row>
    <row r="3511" spans="1:10" x14ac:dyDescent="0.25">
      <c r="A3511">
        <v>301635</v>
      </c>
      <c r="B3511" t="s">
        <v>3672</v>
      </c>
      <c r="C3511" t="str">
        <f>"9781741149074"</f>
        <v>9781741149074</v>
      </c>
      <c r="D3511" t="str">
        <f>"9781741159820"</f>
        <v>9781741159820</v>
      </c>
      <c r="E3511" t="s">
        <v>979</v>
      </c>
      <c r="F3511" t="s">
        <v>3673</v>
      </c>
      <c r="G3511" s="1">
        <v>39264</v>
      </c>
      <c r="H3511" s="1">
        <v>39283</v>
      </c>
      <c r="I3511" t="s">
        <v>12</v>
      </c>
      <c r="J3511" t="s">
        <v>14281</v>
      </c>
    </row>
    <row r="3512" spans="1:10" x14ac:dyDescent="0.25">
      <c r="A3512">
        <v>301654</v>
      </c>
      <c r="B3512" t="s">
        <v>3674</v>
      </c>
      <c r="C3512" t="str">
        <f>"9780851998282"</f>
        <v>9780851998282</v>
      </c>
      <c r="D3512" t="str">
        <f>"9780851990682"</f>
        <v>9780851990682</v>
      </c>
      <c r="E3512" t="s">
        <v>2878</v>
      </c>
      <c r="F3512" t="s">
        <v>2879</v>
      </c>
      <c r="G3512" s="1">
        <v>37987</v>
      </c>
      <c r="H3512" s="1">
        <v>39282</v>
      </c>
      <c r="I3512" t="s">
        <v>12</v>
      </c>
      <c r="J3512" t="s">
        <v>14282</v>
      </c>
    </row>
    <row r="3513" spans="1:10" x14ac:dyDescent="0.25">
      <c r="A3513">
        <v>301658</v>
      </c>
      <c r="B3513" t="s">
        <v>3675</v>
      </c>
      <c r="C3513" t="str">
        <f>"9780851998633"</f>
        <v>9780851998633</v>
      </c>
      <c r="D3513" t="str">
        <f>"9780851990521"</f>
        <v>9780851990521</v>
      </c>
      <c r="E3513" t="s">
        <v>2878</v>
      </c>
      <c r="F3513" t="s">
        <v>2879</v>
      </c>
      <c r="G3513" s="1">
        <v>37987</v>
      </c>
      <c r="H3513" s="1">
        <v>39282</v>
      </c>
      <c r="I3513" t="s">
        <v>12</v>
      </c>
      <c r="J3513" t="s">
        <v>14283</v>
      </c>
    </row>
    <row r="3514" spans="1:10" x14ac:dyDescent="0.25">
      <c r="A3514">
        <v>301661</v>
      </c>
      <c r="B3514" t="s">
        <v>3676</v>
      </c>
      <c r="C3514" t="str">
        <f>"9780851999487"</f>
        <v>9780851999487</v>
      </c>
      <c r="D3514" t="str">
        <f>"9780851990712"</f>
        <v>9780851990712</v>
      </c>
      <c r="E3514" t="s">
        <v>2878</v>
      </c>
      <c r="F3514" t="s">
        <v>2879</v>
      </c>
      <c r="G3514" s="1">
        <v>37987</v>
      </c>
      <c r="H3514" s="1">
        <v>39282</v>
      </c>
      <c r="I3514" t="s">
        <v>12</v>
      </c>
      <c r="J3514" t="s">
        <v>14284</v>
      </c>
    </row>
    <row r="3515" spans="1:10" x14ac:dyDescent="0.25">
      <c r="A3515">
        <v>301682</v>
      </c>
      <c r="B3515" t="s">
        <v>3677</v>
      </c>
      <c r="C3515" t="str">
        <f>"9780851996035"</f>
        <v>9780851996035</v>
      </c>
      <c r="D3515" t="str">
        <f>"9781845933371"</f>
        <v>9781845933371</v>
      </c>
      <c r="E3515" t="s">
        <v>2878</v>
      </c>
      <c r="F3515" t="s">
        <v>2879</v>
      </c>
      <c r="G3515" s="1">
        <v>37257</v>
      </c>
      <c r="H3515" s="1">
        <v>39282</v>
      </c>
      <c r="I3515" t="s">
        <v>12</v>
      </c>
      <c r="J3515" t="s">
        <v>14285</v>
      </c>
    </row>
    <row r="3516" spans="1:10" x14ac:dyDescent="0.25">
      <c r="A3516">
        <v>302296</v>
      </c>
      <c r="B3516" t="s">
        <v>3678</v>
      </c>
      <c r="C3516" t="str">
        <f>"9780803617308"</f>
        <v>9780803617308</v>
      </c>
      <c r="D3516" t="str">
        <f>"9780803619272"</f>
        <v>9780803619272</v>
      </c>
      <c r="E3516" t="s">
        <v>1445</v>
      </c>
      <c r="F3516" t="s">
        <v>1445</v>
      </c>
      <c r="G3516" s="1">
        <v>39083</v>
      </c>
      <c r="H3516" s="1">
        <v>39380</v>
      </c>
      <c r="I3516" t="s">
        <v>12</v>
      </c>
      <c r="J3516" t="s">
        <v>14286</v>
      </c>
    </row>
    <row r="3517" spans="1:10" x14ac:dyDescent="0.25">
      <c r="A3517">
        <v>302320</v>
      </c>
      <c r="B3517" t="s">
        <v>3679</v>
      </c>
      <c r="C3517" t="str">
        <f>"9780749449544"</f>
        <v>9780749449544</v>
      </c>
      <c r="D3517" t="str">
        <f>"9780749452001"</f>
        <v>9780749452001</v>
      </c>
      <c r="E3517" t="s">
        <v>1770</v>
      </c>
      <c r="F3517" t="s">
        <v>1770</v>
      </c>
      <c r="G3517" s="1">
        <v>39261</v>
      </c>
      <c r="H3517" s="1">
        <v>39283</v>
      </c>
      <c r="I3517" t="s">
        <v>12</v>
      </c>
      <c r="J3517" t="s">
        <v>14287</v>
      </c>
    </row>
    <row r="3518" spans="1:10" x14ac:dyDescent="0.25">
      <c r="A3518">
        <v>302321</v>
      </c>
      <c r="B3518" t="s">
        <v>3680</v>
      </c>
      <c r="C3518" t="str">
        <f>"9780749448523"</f>
        <v>9780749448523</v>
      </c>
      <c r="D3518" t="str">
        <f>"9780749452018"</f>
        <v>9780749452018</v>
      </c>
      <c r="E3518" t="s">
        <v>1059</v>
      </c>
      <c r="F3518" t="s">
        <v>1059</v>
      </c>
      <c r="G3518" s="1">
        <v>39175</v>
      </c>
      <c r="H3518" s="1">
        <v>39283</v>
      </c>
      <c r="I3518" t="s">
        <v>12</v>
      </c>
      <c r="J3518" t="s">
        <v>14288</v>
      </c>
    </row>
    <row r="3519" spans="1:10" x14ac:dyDescent="0.25">
      <c r="A3519">
        <v>302322</v>
      </c>
      <c r="B3519" t="s">
        <v>3681</v>
      </c>
      <c r="C3519" t="str">
        <f>"9780749448493"</f>
        <v>9780749448493</v>
      </c>
      <c r="D3519" t="str">
        <f>"9780749452025"</f>
        <v>9780749452025</v>
      </c>
      <c r="E3519" t="s">
        <v>1059</v>
      </c>
      <c r="F3519" t="s">
        <v>1059</v>
      </c>
      <c r="G3519" s="1">
        <v>39175</v>
      </c>
      <c r="H3519" s="1">
        <v>39283</v>
      </c>
      <c r="I3519" t="s">
        <v>12</v>
      </c>
      <c r="J3519" t="s">
        <v>14289</v>
      </c>
    </row>
    <row r="3520" spans="1:10" x14ac:dyDescent="0.25">
      <c r="A3520">
        <v>302324</v>
      </c>
      <c r="B3520" t="s">
        <v>3682</v>
      </c>
      <c r="C3520" t="str">
        <f>"9780749450137"</f>
        <v>9780749450137</v>
      </c>
      <c r="D3520" t="str">
        <f>"9780749452049"</f>
        <v>9780749452049</v>
      </c>
      <c r="E3520" t="s">
        <v>1059</v>
      </c>
      <c r="F3520" t="s">
        <v>1059</v>
      </c>
      <c r="G3520" s="1">
        <v>39417</v>
      </c>
      <c r="H3520" s="1">
        <v>39283</v>
      </c>
      <c r="I3520" t="s">
        <v>12</v>
      </c>
      <c r="J3520" t="s">
        <v>14290</v>
      </c>
    </row>
    <row r="3521" spans="1:10" x14ac:dyDescent="0.25">
      <c r="A3521">
        <v>302325</v>
      </c>
      <c r="B3521" t="s">
        <v>3683</v>
      </c>
      <c r="C3521" t="str">
        <f>"9780749450014"</f>
        <v>9780749450014</v>
      </c>
      <c r="D3521" t="str">
        <f>"9780749452056"</f>
        <v>9780749452056</v>
      </c>
      <c r="E3521" t="s">
        <v>1770</v>
      </c>
      <c r="F3521" t="s">
        <v>1770</v>
      </c>
      <c r="G3521" s="1">
        <v>39291</v>
      </c>
      <c r="H3521" s="1">
        <v>39283</v>
      </c>
      <c r="I3521" t="s">
        <v>12</v>
      </c>
      <c r="J3521" t="s">
        <v>14291</v>
      </c>
    </row>
    <row r="3522" spans="1:10" x14ac:dyDescent="0.25">
      <c r="A3522">
        <v>302328</v>
      </c>
      <c r="B3522" t="s">
        <v>3684</v>
      </c>
      <c r="C3522" t="str">
        <f>"9780749447601"</f>
        <v>9780749447601</v>
      </c>
      <c r="D3522" t="str">
        <f>"9780749452070"</f>
        <v>9780749452070</v>
      </c>
      <c r="E3522" t="s">
        <v>1770</v>
      </c>
      <c r="F3522" t="s">
        <v>1770</v>
      </c>
      <c r="G3522" s="1">
        <v>39264</v>
      </c>
      <c r="H3522" s="1">
        <v>39283</v>
      </c>
      <c r="I3522" t="s">
        <v>12</v>
      </c>
      <c r="J3522" t="s">
        <v>14292</v>
      </c>
    </row>
    <row r="3523" spans="1:10" x14ac:dyDescent="0.25">
      <c r="A3523">
        <v>302331</v>
      </c>
      <c r="B3523" t="s">
        <v>3685</v>
      </c>
      <c r="C3523" t="str">
        <f>"9780749445072"</f>
        <v>9780749445072</v>
      </c>
      <c r="D3523" t="str">
        <f>"9780749452100"</f>
        <v>9780749452100</v>
      </c>
      <c r="E3523" t="s">
        <v>1059</v>
      </c>
      <c r="F3523" t="s">
        <v>1059</v>
      </c>
      <c r="G3523" s="1">
        <v>39236</v>
      </c>
      <c r="H3523" s="1">
        <v>39283</v>
      </c>
      <c r="I3523" t="s">
        <v>12</v>
      </c>
      <c r="J3523" t="s">
        <v>14293</v>
      </c>
    </row>
    <row r="3524" spans="1:10" x14ac:dyDescent="0.25">
      <c r="A3524">
        <v>302332</v>
      </c>
      <c r="B3524" t="s">
        <v>3686</v>
      </c>
      <c r="C3524" t="str">
        <f>"9780749449360"</f>
        <v>9780749449360</v>
      </c>
      <c r="D3524" t="str">
        <f>"9780749452117"</f>
        <v>9780749452117</v>
      </c>
      <c r="E3524" t="s">
        <v>1059</v>
      </c>
      <c r="F3524" t="s">
        <v>1059</v>
      </c>
      <c r="G3524" s="1">
        <v>39236</v>
      </c>
      <c r="H3524" s="1">
        <v>40701</v>
      </c>
      <c r="I3524" t="s">
        <v>12</v>
      </c>
      <c r="J3524" t="s">
        <v>14294</v>
      </c>
    </row>
    <row r="3525" spans="1:10" x14ac:dyDescent="0.25">
      <c r="A3525">
        <v>302333</v>
      </c>
      <c r="B3525" t="s">
        <v>3687</v>
      </c>
      <c r="C3525" t="str">
        <f>"9780749448141"</f>
        <v>9780749448141</v>
      </c>
      <c r="D3525" t="str">
        <f>"9780749452124"</f>
        <v>9780749452124</v>
      </c>
      <c r="E3525" t="s">
        <v>1059</v>
      </c>
      <c r="F3525" t="s">
        <v>1059</v>
      </c>
      <c r="G3525" s="1">
        <v>39236</v>
      </c>
      <c r="H3525" s="1">
        <v>39283</v>
      </c>
      <c r="I3525" t="s">
        <v>12</v>
      </c>
      <c r="J3525" t="s">
        <v>14295</v>
      </c>
    </row>
    <row r="3526" spans="1:10" x14ac:dyDescent="0.25">
      <c r="A3526">
        <v>302335</v>
      </c>
      <c r="B3526" t="s">
        <v>3688</v>
      </c>
      <c r="C3526" t="str">
        <f>"9780749449612"</f>
        <v>9780749449612</v>
      </c>
      <c r="D3526" t="str">
        <f>"9780749452148"</f>
        <v>9780749452148</v>
      </c>
      <c r="E3526" t="s">
        <v>1770</v>
      </c>
      <c r="F3526" t="s">
        <v>1770</v>
      </c>
      <c r="G3526" s="1">
        <v>39295</v>
      </c>
      <c r="H3526" s="1">
        <v>39283</v>
      </c>
      <c r="I3526" t="s">
        <v>12</v>
      </c>
      <c r="J3526" t="s">
        <v>14296</v>
      </c>
    </row>
    <row r="3527" spans="1:10" x14ac:dyDescent="0.25">
      <c r="A3527">
        <v>302337</v>
      </c>
      <c r="B3527" t="s">
        <v>3689</v>
      </c>
      <c r="C3527" t="str">
        <f>"9780749450083"</f>
        <v>9780749450083</v>
      </c>
      <c r="D3527" t="str">
        <f>"9780749452162"</f>
        <v>9780749452162</v>
      </c>
      <c r="E3527" t="s">
        <v>1770</v>
      </c>
      <c r="F3527" t="s">
        <v>1770</v>
      </c>
      <c r="G3527" s="1">
        <v>39326</v>
      </c>
      <c r="H3527" s="1">
        <v>39283</v>
      </c>
      <c r="I3527" t="s">
        <v>12</v>
      </c>
      <c r="J3527" t="s">
        <v>14297</v>
      </c>
    </row>
    <row r="3528" spans="1:10" x14ac:dyDescent="0.25">
      <c r="A3528">
        <v>302402</v>
      </c>
      <c r="B3528" t="s">
        <v>3690</v>
      </c>
      <c r="C3528" t="str">
        <f>"9780765612601"</f>
        <v>9780765612601</v>
      </c>
      <c r="D3528" t="str">
        <f>"9780765622129"</f>
        <v>9780765622129</v>
      </c>
      <c r="E3528" t="s">
        <v>15</v>
      </c>
      <c r="F3528" t="s">
        <v>16</v>
      </c>
      <c r="G3528" s="1">
        <v>38352</v>
      </c>
      <c r="H3528" s="1">
        <v>39286</v>
      </c>
      <c r="I3528" t="s">
        <v>12</v>
      </c>
      <c r="J3528" t="s">
        <v>14298</v>
      </c>
    </row>
    <row r="3529" spans="1:10" x14ac:dyDescent="0.25">
      <c r="A3529">
        <v>302412</v>
      </c>
      <c r="B3529" t="s">
        <v>3691</v>
      </c>
      <c r="C3529" t="str">
        <f>"9780765614681"</f>
        <v>9780765614681</v>
      </c>
      <c r="D3529" t="str">
        <f>"9780765620033"</f>
        <v>9780765620033</v>
      </c>
      <c r="E3529" t="s">
        <v>15</v>
      </c>
      <c r="F3529" t="s">
        <v>16</v>
      </c>
      <c r="G3529" s="1">
        <v>42207</v>
      </c>
      <c r="H3529" s="1">
        <v>39307</v>
      </c>
      <c r="I3529" t="s">
        <v>12</v>
      </c>
      <c r="J3529" t="s">
        <v>14299</v>
      </c>
    </row>
    <row r="3530" spans="1:10" x14ac:dyDescent="0.25">
      <c r="A3530">
        <v>302441</v>
      </c>
      <c r="B3530" t="s">
        <v>3692</v>
      </c>
      <c r="C3530" t="str">
        <f>"9780765616777"</f>
        <v>9780765616777</v>
      </c>
      <c r="D3530" t="str">
        <f>"9780765621450"</f>
        <v>9780765621450</v>
      </c>
      <c r="E3530" t="s">
        <v>3693</v>
      </c>
      <c r="F3530" t="s">
        <v>3694</v>
      </c>
      <c r="G3530" s="1">
        <v>39052</v>
      </c>
      <c r="H3530" s="1">
        <v>39286</v>
      </c>
      <c r="I3530" t="s">
        <v>12</v>
      </c>
      <c r="J3530" t="s">
        <v>14300</v>
      </c>
    </row>
    <row r="3531" spans="1:10" x14ac:dyDescent="0.25">
      <c r="A3531">
        <v>302474</v>
      </c>
      <c r="B3531" t="s">
        <v>3695</v>
      </c>
      <c r="C3531" t="str">
        <f>"9780765615237"</f>
        <v>9780765615237</v>
      </c>
      <c r="D3531" t="str">
        <f>"9780765621832"</f>
        <v>9780765621832</v>
      </c>
      <c r="E3531" t="s">
        <v>15</v>
      </c>
      <c r="F3531" t="s">
        <v>16</v>
      </c>
      <c r="G3531" s="1">
        <v>38383</v>
      </c>
      <c r="H3531" s="1">
        <v>39307</v>
      </c>
      <c r="I3531" t="s">
        <v>12</v>
      </c>
      <c r="J3531" t="s">
        <v>14301</v>
      </c>
    </row>
    <row r="3532" spans="1:10" x14ac:dyDescent="0.25">
      <c r="A3532">
        <v>302476</v>
      </c>
      <c r="B3532" t="s">
        <v>3696</v>
      </c>
      <c r="C3532" t="str">
        <f>"9780765615855"</f>
        <v>9780765615855</v>
      </c>
      <c r="D3532" t="str">
        <f>"9780765621856"</f>
        <v>9780765621856</v>
      </c>
      <c r="E3532" t="s">
        <v>15</v>
      </c>
      <c r="F3532" t="s">
        <v>16</v>
      </c>
      <c r="G3532" s="1">
        <v>38564</v>
      </c>
      <c r="H3532" s="1">
        <v>39307</v>
      </c>
      <c r="I3532" t="s">
        <v>12</v>
      </c>
      <c r="J3532" t="s">
        <v>14302</v>
      </c>
    </row>
    <row r="3533" spans="1:10" x14ac:dyDescent="0.25">
      <c r="A3533">
        <v>305515</v>
      </c>
      <c r="B3533" t="s">
        <v>3697</v>
      </c>
      <c r="C3533" t="str">
        <f>"9780762314133"</f>
        <v>9780762314133</v>
      </c>
      <c r="D3533" t="str">
        <f>"9781849504867"</f>
        <v>9781849504867</v>
      </c>
      <c r="E3533" t="s">
        <v>1116</v>
      </c>
      <c r="F3533" t="s">
        <v>2163</v>
      </c>
      <c r="G3533" s="1">
        <v>39295</v>
      </c>
      <c r="H3533" s="1">
        <v>39317</v>
      </c>
      <c r="I3533" t="s">
        <v>12</v>
      </c>
      <c r="J3533" t="s">
        <v>14303</v>
      </c>
    </row>
    <row r="3534" spans="1:10" x14ac:dyDescent="0.25">
      <c r="A3534">
        <v>305547</v>
      </c>
      <c r="B3534" t="s">
        <v>3698</v>
      </c>
      <c r="C3534" t="str">
        <f>"9780750655132"</f>
        <v>9780750655132</v>
      </c>
      <c r="D3534" t="str">
        <f>"9780080503554"</f>
        <v>9780080503554</v>
      </c>
      <c r="E3534" t="s">
        <v>15</v>
      </c>
      <c r="F3534" t="s">
        <v>16</v>
      </c>
      <c r="G3534" s="1">
        <v>37251</v>
      </c>
      <c r="H3534" s="1">
        <v>39316</v>
      </c>
      <c r="I3534" t="s">
        <v>12</v>
      </c>
      <c r="J3534" t="s">
        <v>14304</v>
      </c>
    </row>
    <row r="3535" spans="1:10" x14ac:dyDescent="0.25">
      <c r="A3535">
        <v>305552</v>
      </c>
      <c r="B3535" t="s">
        <v>3699</v>
      </c>
      <c r="C3535" t="str">
        <f>"9780240516950"</f>
        <v>9780240516950</v>
      </c>
      <c r="D3535" t="str">
        <f>"9780080504544"</f>
        <v>9780080504544</v>
      </c>
      <c r="E3535" t="s">
        <v>15</v>
      </c>
      <c r="F3535" t="s">
        <v>1122</v>
      </c>
      <c r="G3535" s="1">
        <v>37509</v>
      </c>
      <c r="H3535" s="1">
        <v>40577</v>
      </c>
      <c r="I3535" t="s">
        <v>12</v>
      </c>
      <c r="J3535" t="s">
        <v>14305</v>
      </c>
    </row>
    <row r="3536" spans="1:10" x14ac:dyDescent="0.25">
      <c r="A3536">
        <v>305648</v>
      </c>
      <c r="B3536" t="s">
        <v>3700</v>
      </c>
      <c r="C3536" t="str">
        <f>"9780762312559"</f>
        <v>9780762312559</v>
      </c>
      <c r="D3536" t="str">
        <f>"9780080548937"</f>
        <v>9780080548937</v>
      </c>
      <c r="E3536" t="s">
        <v>3701</v>
      </c>
      <c r="F3536" t="s">
        <v>3701</v>
      </c>
      <c r="G3536" s="1">
        <v>39272</v>
      </c>
      <c r="H3536" s="1">
        <v>39316</v>
      </c>
      <c r="I3536" t="s">
        <v>12</v>
      </c>
      <c r="J3536" t="s">
        <v>14306</v>
      </c>
    </row>
    <row r="3537" spans="1:10" x14ac:dyDescent="0.25">
      <c r="A3537">
        <v>305657</v>
      </c>
      <c r="B3537" t="s">
        <v>3702</v>
      </c>
      <c r="C3537" t="str">
        <f>"9780240520322"</f>
        <v>9780240520322</v>
      </c>
      <c r="D3537" t="str">
        <f>"9780080548968"</f>
        <v>9780080548968</v>
      </c>
      <c r="E3537" t="s">
        <v>15</v>
      </c>
      <c r="F3537" t="s">
        <v>16</v>
      </c>
      <c r="G3537" s="1">
        <v>39289</v>
      </c>
      <c r="H3537" s="1">
        <v>39318</v>
      </c>
      <c r="I3537" t="s">
        <v>12</v>
      </c>
      <c r="J3537" t="s">
        <v>14307</v>
      </c>
    </row>
    <row r="3538" spans="1:10" x14ac:dyDescent="0.25">
      <c r="A3538">
        <v>305725</v>
      </c>
      <c r="B3538" t="s">
        <v>3703</v>
      </c>
      <c r="C3538" t="str">
        <f>"9781861972811"</f>
        <v>9781861972811</v>
      </c>
      <c r="D3538" t="str">
        <f>"9781847650023"</f>
        <v>9781847650023</v>
      </c>
      <c r="E3538" t="s">
        <v>3704</v>
      </c>
      <c r="F3538" t="s">
        <v>3704</v>
      </c>
      <c r="G3538" s="1">
        <v>36892</v>
      </c>
      <c r="H3538" s="1">
        <v>39338</v>
      </c>
      <c r="I3538" t="s">
        <v>12</v>
      </c>
      <c r="J3538" t="s">
        <v>14308</v>
      </c>
    </row>
    <row r="3539" spans="1:10" x14ac:dyDescent="0.25">
      <c r="A3539">
        <v>305735</v>
      </c>
      <c r="B3539" t="s">
        <v>3705</v>
      </c>
      <c r="C3539" t="str">
        <f>"9781861975300"</f>
        <v>9781861975300</v>
      </c>
      <c r="D3539" t="str">
        <f>"9781847650122"</f>
        <v>9781847650122</v>
      </c>
      <c r="E3539" t="s">
        <v>3706</v>
      </c>
      <c r="F3539" t="s">
        <v>3704</v>
      </c>
      <c r="G3539" s="1">
        <v>40908</v>
      </c>
      <c r="H3539" s="1">
        <v>39338</v>
      </c>
      <c r="I3539" t="s">
        <v>12</v>
      </c>
      <c r="J3539" t="s">
        <v>14309</v>
      </c>
    </row>
    <row r="3540" spans="1:10" x14ac:dyDescent="0.25">
      <c r="A3540">
        <v>305741</v>
      </c>
      <c r="B3540" t="s">
        <v>3707</v>
      </c>
      <c r="C3540" t="str">
        <f>"9781861979155"</f>
        <v>9781861979155</v>
      </c>
      <c r="D3540" t="str">
        <f>"9781847650184"</f>
        <v>9781847650184</v>
      </c>
      <c r="E3540" t="s">
        <v>3704</v>
      </c>
      <c r="F3540" t="s">
        <v>3704</v>
      </c>
      <c r="G3540" s="1">
        <v>38353</v>
      </c>
      <c r="H3540" s="1">
        <v>39338</v>
      </c>
      <c r="I3540" t="s">
        <v>12</v>
      </c>
      <c r="J3540" t="s">
        <v>14310</v>
      </c>
    </row>
    <row r="3541" spans="1:10" x14ac:dyDescent="0.25">
      <c r="A3541">
        <v>305743</v>
      </c>
      <c r="B3541" t="s">
        <v>3708</v>
      </c>
      <c r="C3541" t="str">
        <f>"9781861979476"</f>
        <v>9781861979476</v>
      </c>
      <c r="D3541" t="str">
        <f>"9781847650207"</f>
        <v>9781847650207</v>
      </c>
      <c r="E3541" t="s">
        <v>3704</v>
      </c>
      <c r="F3541" t="s">
        <v>3704</v>
      </c>
      <c r="G3541" s="1">
        <v>38718</v>
      </c>
      <c r="H3541" s="1">
        <v>39338</v>
      </c>
      <c r="I3541" t="s">
        <v>12</v>
      </c>
      <c r="J3541" t="s">
        <v>14311</v>
      </c>
    </row>
    <row r="3542" spans="1:10" x14ac:dyDescent="0.25">
      <c r="A3542">
        <v>305745</v>
      </c>
      <c r="B3542" t="s">
        <v>3709</v>
      </c>
      <c r="C3542" t="str">
        <f>"9781861979568"</f>
        <v>9781861979568</v>
      </c>
      <c r="D3542" t="str">
        <f>"9781847650221"</f>
        <v>9781847650221</v>
      </c>
      <c r="E3542" t="s">
        <v>3704</v>
      </c>
      <c r="F3542" t="s">
        <v>3704</v>
      </c>
      <c r="G3542" s="1">
        <v>38718</v>
      </c>
      <c r="H3542" s="1">
        <v>39338</v>
      </c>
      <c r="I3542" t="s">
        <v>12</v>
      </c>
      <c r="J3542" t="s">
        <v>14312</v>
      </c>
    </row>
    <row r="3543" spans="1:10" x14ac:dyDescent="0.25">
      <c r="A3543">
        <v>305747</v>
      </c>
      <c r="B3543" t="s">
        <v>3710</v>
      </c>
      <c r="C3543" t="str">
        <f>"9781861974235"</f>
        <v>9781861974235</v>
      </c>
      <c r="D3543" t="str">
        <f>"9781847650245"</f>
        <v>9781847650245</v>
      </c>
      <c r="E3543" t="s">
        <v>3706</v>
      </c>
      <c r="F3543" t="s">
        <v>3704</v>
      </c>
      <c r="G3543" s="1">
        <v>37773</v>
      </c>
      <c r="H3543" s="1">
        <v>39338</v>
      </c>
      <c r="I3543" t="s">
        <v>12</v>
      </c>
      <c r="J3543" t="s">
        <v>14313</v>
      </c>
    </row>
    <row r="3544" spans="1:10" x14ac:dyDescent="0.25">
      <c r="A3544">
        <v>305974</v>
      </c>
      <c r="B3544" t="s">
        <v>3711</v>
      </c>
      <c r="C3544" t="str">
        <f>"9780861768943"</f>
        <v>9780861768943</v>
      </c>
      <c r="D3544" t="str">
        <f>"9781845444778"</f>
        <v>9781845444778</v>
      </c>
      <c r="E3544" t="s">
        <v>1116</v>
      </c>
      <c r="F3544" t="s">
        <v>1117</v>
      </c>
      <c r="G3544" s="1">
        <v>37953</v>
      </c>
      <c r="H3544" s="1">
        <v>39297</v>
      </c>
      <c r="I3544" t="s">
        <v>12</v>
      </c>
      <c r="J3544" t="s">
        <v>14314</v>
      </c>
    </row>
    <row r="3545" spans="1:10" x14ac:dyDescent="0.25">
      <c r="A3545">
        <v>305986</v>
      </c>
      <c r="B3545" t="s">
        <v>3712</v>
      </c>
      <c r="C3545" t="str">
        <f>"9780861768608"</f>
        <v>9780861768608</v>
      </c>
      <c r="D3545" t="str">
        <f>"9781845444792"</f>
        <v>9781845444792</v>
      </c>
      <c r="E3545" t="s">
        <v>1116</v>
      </c>
      <c r="F3545" t="s">
        <v>1117</v>
      </c>
      <c r="G3545" s="1">
        <v>37855</v>
      </c>
      <c r="H3545" s="1">
        <v>39300</v>
      </c>
      <c r="I3545" t="s">
        <v>12</v>
      </c>
      <c r="J3545" t="s">
        <v>14315</v>
      </c>
    </row>
    <row r="3546" spans="1:10" x14ac:dyDescent="0.25">
      <c r="A3546">
        <v>306088</v>
      </c>
      <c r="B3546" t="s">
        <v>3713</v>
      </c>
      <c r="C3546" t="str">
        <f>"9781853396632"</f>
        <v>9781853396632</v>
      </c>
      <c r="D3546" t="str">
        <f>"9781552503423"</f>
        <v>9781552503423</v>
      </c>
      <c r="E3546" t="s">
        <v>1968</v>
      </c>
      <c r="F3546" t="s">
        <v>1969</v>
      </c>
      <c r="G3546" s="1">
        <v>39202</v>
      </c>
      <c r="H3546" s="1">
        <v>39468</v>
      </c>
      <c r="I3546" t="s">
        <v>12</v>
      </c>
      <c r="J3546" t="s">
        <v>14316</v>
      </c>
    </row>
    <row r="3547" spans="1:10" x14ac:dyDescent="0.25">
      <c r="A3547">
        <v>306089</v>
      </c>
      <c r="B3547" t="s">
        <v>3714</v>
      </c>
      <c r="C3547" t="str">
        <f>"9788171886227"</f>
        <v>9788171886227</v>
      </c>
      <c r="D3547" t="str">
        <f>"9781552503492"</f>
        <v>9781552503492</v>
      </c>
      <c r="E3547" t="s">
        <v>1968</v>
      </c>
      <c r="F3547" t="s">
        <v>1969</v>
      </c>
      <c r="G3547" s="1">
        <v>39401</v>
      </c>
      <c r="H3547" s="1">
        <v>39484</v>
      </c>
      <c r="I3547" t="s">
        <v>12</v>
      </c>
      <c r="J3547" t="s">
        <v>14317</v>
      </c>
    </row>
    <row r="3548" spans="1:10" x14ac:dyDescent="0.25">
      <c r="A3548">
        <v>306090</v>
      </c>
      <c r="B3548" t="s">
        <v>3715</v>
      </c>
      <c r="C3548" t="str">
        <f>"9788175965218"</f>
        <v>9788175965218</v>
      </c>
      <c r="D3548" t="str">
        <f>"9781552503683"</f>
        <v>9781552503683</v>
      </c>
      <c r="E3548" t="s">
        <v>1968</v>
      </c>
      <c r="F3548" t="s">
        <v>1969</v>
      </c>
      <c r="G3548" s="1">
        <v>39083</v>
      </c>
      <c r="H3548" s="1">
        <v>39307</v>
      </c>
      <c r="I3548" t="s">
        <v>12</v>
      </c>
      <c r="J3548" t="s">
        <v>14318</v>
      </c>
    </row>
    <row r="3549" spans="1:10" x14ac:dyDescent="0.25">
      <c r="A3549">
        <v>306139</v>
      </c>
      <c r="B3549" t="s">
        <v>3716</v>
      </c>
      <c r="C3549" t="str">
        <f>"9780520251342"</f>
        <v>9780520251342</v>
      </c>
      <c r="D3549" t="str">
        <f>"9780520940734"</f>
        <v>9780520940734</v>
      </c>
      <c r="E3549" t="s">
        <v>2000</v>
      </c>
      <c r="F3549" t="s">
        <v>2000</v>
      </c>
      <c r="G3549" s="1">
        <v>39296</v>
      </c>
      <c r="H3549" s="1">
        <v>42328</v>
      </c>
      <c r="I3549" t="s">
        <v>12</v>
      </c>
      <c r="J3549" t="s">
        <v>14319</v>
      </c>
    </row>
    <row r="3550" spans="1:10" x14ac:dyDescent="0.25">
      <c r="A3550">
        <v>306141</v>
      </c>
      <c r="B3550" t="s">
        <v>3717</v>
      </c>
      <c r="C3550" t="str">
        <f>"9780520224957"</f>
        <v>9780520224957</v>
      </c>
      <c r="D3550" t="str">
        <f>"9780520925557"</f>
        <v>9780520925557</v>
      </c>
      <c r="E3550" t="s">
        <v>2000</v>
      </c>
      <c r="F3550" t="s">
        <v>2000</v>
      </c>
      <c r="G3550" s="1">
        <v>39314</v>
      </c>
      <c r="H3550" s="1">
        <v>42328</v>
      </c>
      <c r="I3550" t="s">
        <v>12</v>
      </c>
      <c r="J3550" t="s">
        <v>14320</v>
      </c>
    </row>
    <row r="3551" spans="1:10" x14ac:dyDescent="0.25">
      <c r="A3551">
        <v>306181</v>
      </c>
      <c r="B3551" t="s">
        <v>3718</v>
      </c>
      <c r="C3551" t="str">
        <f>"9781840246070"</f>
        <v>9781840246070</v>
      </c>
      <c r="D3551" t="str">
        <f>"9781840247909"</f>
        <v>9781840247909</v>
      </c>
      <c r="E3551" t="s">
        <v>626</v>
      </c>
      <c r="F3551" t="s">
        <v>1114</v>
      </c>
      <c r="G3551" s="1">
        <v>39083</v>
      </c>
      <c r="H3551" s="1">
        <v>39317</v>
      </c>
      <c r="I3551" t="s">
        <v>12</v>
      </c>
      <c r="J3551" t="s">
        <v>14321</v>
      </c>
    </row>
    <row r="3552" spans="1:10" x14ac:dyDescent="0.25">
      <c r="A3552">
        <v>306206</v>
      </c>
      <c r="B3552" t="s">
        <v>3719</v>
      </c>
      <c r="C3552" t="str">
        <f>"9781846634789"</f>
        <v>9781846634789</v>
      </c>
      <c r="D3552" t="str">
        <f>"9781846634796"</f>
        <v>9781846634796</v>
      </c>
      <c r="E3552" t="s">
        <v>1116</v>
      </c>
      <c r="F3552" t="s">
        <v>1117</v>
      </c>
      <c r="G3552" s="1">
        <v>39173</v>
      </c>
      <c r="H3552" s="1">
        <v>39299</v>
      </c>
      <c r="I3552" t="s">
        <v>12</v>
      </c>
      <c r="J3552" t="s">
        <v>14322</v>
      </c>
    </row>
    <row r="3553" spans="1:10" x14ac:dyDescent="0.25">
      <c r="A3553">
        <v>306208</v>
      </c>
      <c r="B3553" t="s">
        <v>3720</v>
      </c>
      <c r="C3553" t="str">
        <f>"9781846634109"</f>
        <v>9781846634109</v>
      </c>
      <c r="D3553" t="str">
        <f>"9781846634116"</f>
        <v>9781846634116</v>
      </c>
      <c r="E3553" t="s">
        <v>1116</v>
      </c>
      <c r="F3553" t="s">
        <v>1117</v>
      </c>
      <c r="G3553" s="1">
        <v>39173</v>
      </c>
      <c r="H3553" s="1">
        <v>39299</v>
      </c>
      <c r="I3553" t="s">
        <v>12</v>
      </c>
      <c r="J3553" t="s">
        <v>14323</v>
      </c>
    </row>
    <row r="3554" spans="1:10" x14ac:dyDescent="0.25">
      <c r="A3554">
        <v>306220</v>
      </c>
      <c r="B3554" t="s">
        <v>3721</v>
      </c>
      <c r="C3554" t="str">
        <f>"9781846634406"</f>
        <v>9781846634406</v>
      </c>
      <c r="D3554" t="str">
        <f>"9781846634413"</f>
        <v>9781846634413</v>
      </c>
      <c r="E3554" t="s">
        <v>1116</v>
      </c>
      <c r="F3554" t="s">
        <v>1117</v>
      </c>
      <c r="G3554" s="1">
        <v>39173</v>
      </c>
      <c r="H3554" s="1">
        <v>39299</v>
      </c>
      <c r="I3554" t="s">
        <v>12</v>
      </c>
      <c r="J3554" t="s">
        <v>14324</v>
      </c>
    </row>
    <row r="3555" spans="1:10" x14ac:dyDescent="0.25">
      <c r="A3555">
        <v>306223</v>
      </c>
      <c r="B3555" t="s">
        <v>3722</v>
      </c>
      <c r="C3555" t="str">
        <f>"9781846634543"</f>
        <v>9781846634543</v>
      </c>
      <c r="D3555" t="str">
        <f>"9781846634550"</f>
        <v>9781846634550</v>
      </c>
      <c r="E3555" t="s">
        <v>1116</v>
      </c>
      <c r="F3555" t="s">
        <v>1117</v>
      </c>
      <c r="G3555" s="1">
        <v>39173</v>
      </c>
      <c r="H3555" s="1">
        <v>39299</v>
      </c>
      <c r="I3555" t="s">
        <v>12</v>
      </c>
      <c r="J3555" t="s">
        <v>14325</v>
      </c>
    </row>
    <row r="3556" spans="1:10" x14ac:dyDescent="0.25">
      <c r="A3556">
        <v>306224</v>
      </c>
      <c r="B3556" t="s">
        <v>3723</v>
      </c>
      <c r="C3556" t="str">
        <f>"9781846634345"</f>
        <v>9781846634345</v>
      </c>
      <c r="D3556" t="str">
        <f>"9781846634352"</f>
        <v>9781846634352</v>
      </c>
      <c r="E3556" t="s">
        <v>1116</v>
      </c>
      <c r="F3556" t="s">
        <v>1117</v>
      </c>
      <c r="G3556" s="1">
        <v>39173</v>
      </c>
      <c r="H3556" s="1">
        <v>39299</v>
      </c>
      <c r="I3556" t="s">
        <v>12</v>
      </c>
      <c r="J3556" t="s">
        <v>14326</v>
      </c>
    </row>
    <row r="3557" spans="1:10" x14ac:dyDescent="0.25">
      <c r="A3557">
        <v>306231</v>
      </c>
      <c r="B3557" t="s">
        <v>3724</v>
      </c>
      <c r="C3557" t="str">
        <f>"9781846634260"</f>
        <v>9781846634260</v>
      </c>
      <c r="D3557" t="str">
        <f>"9781846634277"</f>
        <v>9781846634277</v>
      </c>
      <c r="E3557" t="s">
        <v>1116</v>
      </c>
      <c r="F3557" t="s">
        <v>1117</v>
      </c>
      <c r="G3557" s="1">
        <v>39173</v>
      </c>
      <c r="H3557" s="1">
        <v>39299</v>
      </c>
      <c r="I3557" t="s">
        <v>12</v>
      </c>
      <c r="J3557" t="s">
        <v>14327</v>
      </c>
    </row>
    <row r="3558" spans="1:10" x14ac:dyDescent="0.25">
      <c r="A3558">
        <v>306391</v>
      </c>
      <c r="B3558" t="s">
        <v>3725</v>
      </c>
      <c r="C3558" t="str">
        <f>"9781904602057"</f>
        <v>9781904602057</v>
      </c>
      <c r="D3558" t="str">
        <f>"9781904602804"</f>
        <v>9781904602804</v>
      </c>
      <c r="E3558" t="s">
        <v>1742</v>
      </c>
      <c r="F3558" t="s">
        <v>1742</v>
      </c>
      <c r="G3558" s="1">
        <v>38898</v>
      </c>
      <c r="H3558" s="1">
        <v>39471</v>
      </c>
      <c r="I3558" t="s">
        <v>12</v>
      </c>
      <c r="J3558" t="s">
        <v>14328</v>
      </c>
    </row>
    <row r="3559" spans="1:10" x14ac:dyDescent="0.25">
      <c r="A3559">
        <v>306459</v>
      </c>
      <c r="B3559" t="s">
        <v>3726</v>
      </c>
      <c r="C3559" t="str">
        <f>"9780816059904"</f>
        <v>9780816059904</v>
      </c>
      <c r="D3559" t="str">
        <f>"9780816074969"</f>
        <v>9780816074969</v>
      </c>
      <c r="E3559" t="s">
        <v>2998</v>
      </c>
      <c r="F3559" t="s">
        <v>2999</v>
      </c>
      <c r="G3559" s="1">
        <v>39083</v>
      </c>
      <c r="H3559" s="1">
        <v>39552</v>
      </c>
      <c r="I3559" t="s">
        <v>12</v>
      </c>
      <c r="J3559" t="s">
        <v>14329</v>
      </c>
    </row>
    <row r="3560" spans="1:10" x14ac:dyDescent="0.25">
      <c r="A3560">
        <v>306537</v>
      </c>
      <c r="B3560" t="s">
        <v>3727</v>
      </c>
      <c r="C3560" t="str">
        <f>"9781405160650"</f>
        <v>9781405160650</v>
      </c>
      <c r="D3560" t="str">
        <f>"9781405181396"</f>
        <v>9781405181396</v>
      </c>
      <c r="E3560" t="s">
        <v>2705</v>
      </c>
      <c r="F3560" t="s">
        <v>2705</v>
      </c>
      <c r="G3560" s="1">
        <v>39196</v>
      </c>
      <c r="H3560" s="1">
        <v>39328</v>
      </c>
      <c r="I3560" t="s">
        <v>12</v>
      </c>
      <c r="J3560" t="s">
        <v>14330</v>
      </c>
    </row>
    <row r="3561" spans="1:10" x14ac:dyDescent="0.25">
      <c r="A3561">
        <v>306608</v>
      </c>
      <c r="B3561" t="s">
        <v>3728</v>
      </c>
      <c r="C3561" t="str">
        <f>"9781416605584"</f>
        <v>9781416605584</v>
      </c>
      <c r="D3561" t="str">
        <f>"9781416606284"</f>
        <v>9781416606284</v>
      </c>
      <c r="E3561" t="s">
        <v>2492</v>
      </c>
      <c r="F3561" t="s">
        <v>2492</v>
      </c>
      <c r="G3561" s="1">
        <v>39197</v>
      </c>
      <c r="H3561" s="1">
        <v>39314</v>
      </c>
      <c r="I3561" t="s">
        <v>12</v>
      </c>
      <c r="J3561" t="s">
        <v>14331</v>
      </c>
    </row>
    <row r="3562" spans="1:10" x14ac:dyDescent="0.25">
      <c r="A3562">
        <v>306609</v>
      </c>
      <c r="B3562" t="s">
        <v>3729</v>
      </c>
      <c r="C3562" t="str">
        <f>"9781416605416"</f>
        <v>9781416605416</v>
      </c>
      <c r="D3562" t="str">
        <f>"9781416606444"</f>
        <v>9781416606444</v>
      </c>
      <c r="E3562" t="s">
        <v>2492</v>
      </c>
      <c r="F3562" t="s">
        <v>2492</v>
      </c>
      <c r="G3562" s="1">
        <v>39234</v>
      </c>
      <c r="H3562" s="1">
        <v>39314</v>
      </c>
      <c r="I3562" t="s">
        <v>12</v>
      </c>
      <c r="J3562" t="s">
        <v>14332</v>
      </c>
    </row>
    <row r="3563" spans="1:10" x14ac:dyDescent="0.25">
      <c r="A3563">
        <v>306610</v>
      </c>
      <c r="B3563" t="s">
        <v>3730</v>
      </c>
      <c r="C3563" t="str">
        <f>"9781416605393"</f>
        <v>9781416605393</v>
      </c>
      <c r="D3563" t="str">
        <f>"9781416606314"</f>
        <v>9781416606314</v>
      </c>
      <c r="E3563" t="s">
        <v>2492</v>
      </c>
      <c r="F3563" t="s">
        <v>2492</v>
      </c>
      <c r="G3563" s="1">
        <v>39203</v>
      </c>
      <c r="H3563" s="1">
        <v>39314</v>
      </c>
      <c r="I3563" t="s">
        <v>12</v>
      </c>
      <c r="J3563" t="s">
        <v>14333</v>
      </c>
    </row>
    <row r="3564" spans="1:10" x14ac:dyDescent="0.25">
      <c r="A3564">
        <v>306611</v>
      </c>
      <c r="B3564" t="s">
        <v>3731</v>
      </c>
      <c r="C3564" t="str">
        <f>"9781416605409"</f>
        <v>9781416605409</v>
      </c>
      <c r="D3564" t="str">
        <f>"9781416606345"</f>
        <v>9781416606345</v>
      </c>
      <c r="E3564" t="s">
        <v>2492</v>
      </c>
      <c r="F3564" t="s">
        <v>2492</v>
      </c>
      <c r="G3564" s="1">
        <v>39203</v>
      </c>
      <c r="H3564" s="1">
        <v>39314</v>
      </c>
      <c r="I3564" t="s">
        <v>12</v>
      </c>
      <c r="J3564" t="s">
        <v>14334</v>
      </c>
    </row>
    <row r="3565" spans="1:10" x14ac:dyDescent="0.25">
      <c r="A3565">
        <v>306612</v>
      </c>
      <c r="B3565" t="s">
        <v>3732</v>
      </c>
      <c r="C3565" t="str">
        <f>"9781416605386"</f>
        <v>9781416605386</v>
      </c>
      <c r="D3565" t="str">
        <f>"9781416606413"</f>
        <v>9781416606413</v>
      </c>
      <c r="E3565" t="s">
        <v>2492</v>
      </c>
      <c r="F3565" t="s">
        <v>2492</v>
      </c>
      <c r="G3565" s="1">
        <v>39234</v>
      </c>
      <c r="H3565" s="1">
        <v>39314</v>
      </c>
      <c r="I3565" t="s">
        <v>12</v>
      </c>
      <c r="J3565" t="s">
        <v>14335</v>
      </c>
    </row>
    <row r="3566" spans="1:10" x14ac:dyDescent="0.25">
      <c r="A3566">
        <v>306613</v>
      </c>
      <c r="B3566" t="s">
        <v>3733</v>
      </c>
      <c r="C3566" t="str">
        <f>"9781416605201"</f>
        <v>9781416605201</v>
      </c>
      <c r="D3566" t="str">
        <f>"9781416605935"</f>
        <v>9781416605935</v>
      </c>
      <c r="E3566" t="s">
        <v>2492</v>
      </c>
      <c r="F3566" t="s">
        <v>2492</v>
      </c>
      <c r="G3566" s="1">
        <v>39173</v>
      </c>
      <c r="H3566" s="1">
        <v>39314</v>
      </c>
      <c r="I3566" t="s">
        <v>12</v>
      </c>
      <c r="J3566" t="s">
        <v>14336</v>
      </c>
    </row>
    <row r="3567" spans="1:10" x14ac:dyDescent="0.25">
      <c r="A3567">
        <v>306673</v>
      </c>
      <c r="B3567" t="s">
        <v>3734</v>
      </c>
      <c r="C3567" t="str">
        <f>"9780750665834"</f>
        <v>9780750665834</v>
      </c>
      <c r="D3567" t="str">
        <f>"9780080501765"</f>
        <v>9780080501765</v>
      </c>
      <c r="E3567" t="s">
        <v>1119</v>
      </c>
      <c r="F3567" t="s">
        <v>1147</v>
      </c>
      <c r="G3567" s="1">
        <v>38687</v>
      </c>
      <c r="H3567" s="1">
        <v>41022</v>
      </c>
      <c r="I3567" t="s">
        <v>12</v>
      </c>
      <c r="J3567" t="s">
        <v>14337</v>
      </c>
    </row>
    <row r="3568" spans="1:10" x14ac:dyDescent="0.25">
      <c r="A3568">
        <v>306674</v>
      </c>
      <c r="B3568" t="s">
        <v>3735</v>
      </c>
      <c r="C3568" t="str">
        <f>"9780750681049"</f>
        <v>9780750681049</v>
      </c>
      <c r="D3568" t="str">
        <f>"9780080475455"</f>
        <v>9780080475455</v>
      </c>
      <c r="E3568" t="s">
        <v>1119</v>
      </c>
      <c r="F3568" t="s">
        <v>1147</v>
      </c>
      <c r="G3568" s="1">
        <v>39030</v>
      </c>
      <c r="H3568" s="1">
        <v>41022</v>
      </c>
      <c r="I3568" t="s">
        <v>12</v>
      </c>
      <c r="J3568" t="s">
        <v>14338</v>
      </c>
    </row>
    <row r="3569" spans="1:10" x14ac:dyDescent="0.25">
      <c r="A3569">
        <v>306676</v>
      </c>
      <c r="B3569" t="s">
        <v>3736</v>
      </c>
      <c r="C3569" t="str">
        <f>"9780750681230"</f>
        <v>9780750681230</v>
      </c>
      <c r="D3569" t="str">
        <f>"9780080501871"</f>
        <v>9780080501871</v>
      </c>
      <c r="E3569" t="s">
        <v>1119</v>
      </c>
      <c r="F3569" t="s">
        <v>1147</v>
      </c>
      <c r="G3569" s="1">
        <v>39031</v>
      </c>
      <c r="H3569" s="1">
        <v>41022</v>
      </c>
      <c r="I3569" t="s">
        <v>12</v>
      </c>
      <c r="J3569" t="s">
        <v>14339</v>
      </c>
    </row>
    <row r="3570" spans="1:10" x14ac:dyDescent="0.25">
      <c r="A3570">
        <v>306701</v>
      </c>
      <c r="B3570" t="s">
        <v>3737</v>
      </c>
      <c r="C3570" t="str">
        <f>"9780126540505"</f>
        <v>9780126540505</v>
      </c>
      <c r="D3570" t="str">
        <f>"9780080533063"</f>
        <v>9780080533063</v>
      </c>
      <c r="E3570" t="s">
        <v>1119</v>
      </c>
      <c r="F3570" t="s">
        <v>1120</v>
      </c>
      <c r="G3570" s="1">
        <v>36684</v>
      </c>
      <c r="H3570" s="1">
        <v>39317</v>
      </c>
      <c r="I3570" t="s">
        <v>12</v>
      </c>
      <c r="J3570" t="s">
        <v>14340</v>
      </c>
    </row>
    <row r="3571" spans="1:10" x14ac:dyDescent="0.25">
      <c r="A3571">
        <v>306714</v>
      </c>
      <c r="B3571" t="s">
        <v>3738</v>
      </c>
      <c r="C3571" t="str">
        <f>"9780750646789"</f>
        <v>9780750646789</v>
      </c>
      <c r="D3571" t="str">
        <f>"9780080549538"</f>
        <v>9780080549538</v>
      </c>
      <c r="E3571" t="s">
        <v>15</v>
      </c>
      <c r="F3571" t="s">
        <v>16</v>
      </c>
      <c r="G3571" s="1">
        <v>36788</v>
      </c>
      <c r="H3571" s="1">
        <v>40171</v>
      </c>
      <c r="I3571" t="s">
        <v>12</v>
      </c>
      <c r="J3571" t="s">
        <v>14341</v>
      </c>
    </row>
    <row r="3572" spans="1:10" x14ac:dyDescent="0.25">
      <c r="A3572">
        <v>306728</v>
      </c>
      <c r="B3572" t="s">
        <v>3739</v>
      </c>
      <c r="C3572" t="str">
        <f>"9781593853716"</f>
        <v>9781593853716</v>
      </c>
      <c r="D3572" t="str">
        <f>"9781593856182"</f>
        <v>9781593856182</v>
      </c>
      <c r="E3572" t="s">
        <v>3740</v>
      </c>
      <c r="F3572" t="s">
        <v>3741</v>
      </c>
      <c r="G3572" s="1">
        <v>39070</v>
      </c>
      <c r="H3572" s="1">
        <v>39370</v>
      </c>
      <c r="I3572" t="s">
        <v>12</v>
      </c>
      <c r="J3572" t="s">
        <v>14342</v>
      </c>
    </row>
    <row r="3573" spans="1:10" x14ac:dyDescent="0.25">
      <c r="A3573">
        <v>306746</v>
      </c>
      <c r="B3573" t="s">
        <v>3742</v>
      </c>
      <c r="C3573" t="str">
        <f>"9781593853211"</f>
        <v>9781593853211</v>
      </c>
      <c r="D3573" t="str">
        <f>"9781593856212"</f>
        <v>9781593856212</v>
      </c>
      <c r="E3573" t="s">
        <v>3740</v>
      </c>
      <c r="F3573" t="s">
        <v>3741</v>
      </c>
      <c r="G3573" s="1">
        <v>39003</v>
      </c>
      <c r="H3573" s="1">
        <v>39370</v>
      </c>
      <c r="I3573" t="s">
        <v>12</v>
      </c>
      <c r="J3573" t="s">
        <v>14343</v>
      </c>
    </row>
    <row r="3574" spans="1:10" x14ac:dyDescent="0.25">
      <c r="A3574">
        <v>306748</v>
      </c>
      <c r="B3574" t="s">
        <v>3743</v>
      </c>
      <c r="C3574" t="str">
        <f>"9781593855871"</f>
        <v>9781593855871</v>
      </c>
      <c r="D3574" t="str">
        <f>"9781593855123"</f>
        <v>9781593855123</v>
      </c>
      <c r="E3574" t="s">
        <v>3740</v>
      </c>
      <c r="F3574" t="s">
        <v>3741</v>
      </c>
      <c r="G3574" s="1">
        <v>38880</v>
      </c>
      <c r="H3574" s="1">
        <v>39370</v>
      </c>
      <c r="I3574" t="s">
        <v>12</v>
      </c>
      <c r="J3574" t="s">
        <v>14344</v>
      </c>
    </row>
    <row r="3575" spans="1:10" x14ac:dyDescent="0.25">
      <c r="A3575">
        <v>306751</v>
      </c>
      <c r="B3575" t="s">
        <v>3744</v>
      </c>
      <c r="C3575" t="str">
        <f>"9781593852955"</f>
        <v>9781593852955</v>
      </c>
      <c r="D3575" t="str">
        <f>"9781593855154"</f>
        <v>9781593855154</v>
      </c>
      <c r="E3575" t="s">
        <v>3740</v>
      </c>
      <c r="F3575" t="s">
        <v>3741</v>
      </c>
      <c r="G3575" s="1">
        <v>38792</v>
      </c>
      <c r="H3575" s="1">
        <v>39370</v>
      </c>
      <c r="I3575" t="s">
        <v>12</v>
      </c>
      <c r="J3575" t="s">
        <v>14345</v>
      </c>
    </row>
    <row r="3576" spans="1:10" x14ac:dyDescent="0.25">
      <c r="A3576">
        <v>306752</v>
      </c>
      <c r="B3576" t="s">
        <v>3745</v>
      </c>
      <c r="C3576" t="str">
        <f>"9781593852948"</f>
        <v>9781593852948</v>
      </c>
      <c r="D3576" t="str">
        <f>"9781593855161"</f>
        <v>9781593855161</v>
      </c>
      <c r="E3576" t="s">
        <v>3740</v>
      </c>
      <c r="F3576" t="s">
        <v>3741</v>
      </c>
      <c r="G3576" s="1">
        <v>38882</v>
      </c>
      <c r="H3576" s="1">
        <v>39370</v>
      </c>
      <c r="I3576" t="s">
        <v>12</v>
      </c>
      <c r="J3576" t="s">
        <v>14346</v>
      </c>
    </row>
    <row r="3577" spans="1:10" x14ac:dyDescent="0.25">
      <c r="A3577">
        <v>306767</v>
      </c>
      <c r="B3577" t="s">
        <v>3746</v>
      </c>
      <c r="C3577" t="str">
        <f>"9781593853709"</f>
        <v>9781593853709</v>
      </c>
      <c r="D3577" t="str">
        <f>"9781593856274"</f>
        <v>9781593856274</v>
      </c>
      <c r="E3577" t="s">
        <v>3740</v>
      </c>
      <c r="F3577" t="s">
        <v>3741</v>
      </c>
      <c r="G3577" s="1">
        <v>39036</v>
      </c>
      <c r="H3577" s="1">
        <v>39370</v>
      </c>
      <c r="I3577" t="s">
        <v>12</v>
      </c>
      <c r="J3577" t="s">
        <v>14347</v>
      </c>
    </row>
    <row r="3578" spans="1:10" x14ac:dyDescent="0.25">
      <c r="A3578">
        <v>306775</v>
      </c>
      <c r="B3578" t="s">
        <v>3747</v>
      </c>
      <c r="C3578" t="str">
        <f>"9781593852764"</f>
        <v>9781593852764</v>
      </c>
      <c r="D3578" t="str">
        <f>"9781593855253"</f>
        <v>9781593855253</v>
      </c>
      <c r="E3578" t="s">
        <v>3740</v>
      </c>
      <c r="F3578" t="s">
        <v>3741</v>
      </c>
      <c r="G3578" s="1">
        <v>38806</v>
      </c>
      <c r="H3578" s="1">
        <v>39371</v>
      </c>
      <c r="I3578" t="s">
        <v>12</v>
      </c>
      <c r="J3578" t="s">
        <v>14348</v>
      </c>
    </row>
    <row r="3579" spans="1:10" x14ac:dyDescent="0.25">
      <c r="A3579">
        <v>306779</v>
      </c>
      <c r="B3579" t="s">
        <v>3748</v>
      </c>
      <c r="C3579" t="str">
        <f>"9781593852115"</f>
        <v>9781593852115</v>
      </c>
      <c r="D3579" t="str">
        <f>"9781593855277"</f>
        <v>9781593855277</v>
      </c>
      <c r="E3579" t="s">
        <v>3740</v>
      </c>
      <c r="F3579" t="s">
        <v>3741</v>
      </c>
      <c r="G3579" s="1">
        <v>38589</v>
      </c>
      <c r="H3579" s="1">
        <v>39371</v>
      </c>
      <c r="I3579" t="s">
        <v>12</v>
      </c>
      <c r="J3579" t="s">
        <v>14349</v>
      </c>
    </row>
    <row r="3580" spans="1:10" x14ac:dyDescent="0.25">
      <c r="A3580">
        <v>306781</v>
      </c>
      <c r="B3580" t="s">
        <v>3749</v>
      </c>
      <c r="C3580" t="str">
        <f>"9781593851224"</f>
        <v>9781593851224</v>
      </c>
      <c r="D3580" t="str">
        <f>"9781593855451"</f>
        <v>9781593855451</v>
      </c>
      <c r="E3580" t="s">
        <v>3740</v>
      </c>
      <c r="F3580" t="s">
        <v>3741</v>
      </c>
      <c r="G3580" s="1">
        <v>38420</v>
      </c>
      <c r="H3580" s="1">
        <v>39371</v>
      </c>
      <c r="I3580" t="s">
        <v>12</v>
      </c>
      <c r="J3580" t="s">
        <v>14350</v>
      </c>
    </row>
    <row r="3581" spans="1:10" x14ac:dyDescent="0.25">
      <c r="A3581">
        <v>306784</v>
      </c>
      <c r="B3581" t="s">
        <v>3750</v>
      </c>
      <c r="C3581" t="str">
        <f>"9781593852917"</f>
        <v>9781593852917</v>
      </c>
      <c r="D3581" t="str">
        <f>"9781593855291"</f>
        <v>9781593855291</v>
      </c>
      <c r="E3581" t="s">
        <v>3740</v>
      </c>
      <c r="F3581" t="s">
        <v>3741</v>
      </c>
      <c r="G3581" s="1">
        <v>38840</v>
      </c>
      <c r="H3581" s="1">
        <v>39371</v>
      </c>
      <c r="I3581" t="s">
        <v>12</v>
      </c>
      <c r="J3581" t="s">
        <v>14351</v>
      </c>
    </row>
    <row r="3582" spans="1:10" x14ac:dyDescent="0.25">
      <c r="A3582">
        <v>306785</v>
      </c>
      <c r="B3582" t="s">
        <v>3751</v>
      </c>
      <c r="C3582" t="str">
        <f>"9781593853006"</f>
        <v>9781593853006</v>
      </c>
      <c r="D3582" t="str">
        <f>"9781593855307"</f>
        <v>9781593855307</v>
      </c>
      <c r="E3582" t="s">
        <v>3740</v>
      </c>
      <c r="F3582" t="s">
        <v>3741</v>
      </c>
      <c r="G3582" s="1">
        <v>38826</v>
      </c>
      <c r="H3582" s="1">
        <v>39371</v>
      </c>
      <c r="I3582" t="s">
        <v>12</v>
      </c>
      <c r="J3582" t="s">
        <v>14352</v>
      </c>
    </row>
    <row r="3583" spans="1:10" x14ac:dyDescent="0.25">
      <c r="A3583">
        <v>306788</v>
      </c>
      <c r="B3583" t="s">
        <v>3752</v>
      </c>
      <c r="C3583" t="str">
        <f>"9781593852719"</f>
        <v>9781593852719</v>
      </c>
      <c r="D3583" t="str">
        <f>"9781593855321"</f>
        <v>9781593855321</v>
      </c>
      <c r="E3583" t="s">
        <v>3740</v>
      </c>
      <c r="F3583" t="s">
        <v>3741</v>
      </c>
      <c r="G3583" s="1">
        <v>38792</v>
      </c>
      <c r="H3583" s="1">
        <v>39371</v>
      </c>
      <c r="I3583" t="s">
        <v>12</v>
      </c>
      <c r="J3583" t="s">
        <v>14353</v>
      </c>
    </row>
    <row r="3584" spans="1:10" x14ac:dyDescent="0.25">
      <c r="A3584">
        <v>306793</v>
      </c>
      <c r="B3584" t="s">
        <v>3753</v>
      </c>
      <c r="C3584" t="str">
        <f>"9781593852832"</f>
        <v>9781593852832</v>
      </c>
      <c r="D3584" t="str">
        <f>"9781593855369"</f>
        <v>9781593855369</v>
      </c>
      <c r="E3584" t="s">
        <v>3740</v>
      </c>
      <c r="F3584" t="s">
        <v>3754</v>
      </c>
      <c r="G3584" s="1">
        <v>38808</v>
      </c>
      <c r="H3584" s="1">
        <v>39371</v>
      </c>
      <c r="I3584" t="s">
        <v>12</v>
      </c>
      <c r="J3584" t="s">
        <v>14354</v>
      </c>
    </row>
    <row r="3585" spans="1:10" x14ac:dyDescent="0.25">
      <c r="A3585">
        <v>306795</v>
      </c>
      <c r="B3585" t="s">
        <v>3755</v>
      </c>
      <c r="C3585" t="str">
        <f>"9781593851699"</f>
        <v>9781593851699</v>
      </c>
      <c r="D3585" t="str">
        <f>"9781593855536"</f>
        <v>9781593855536</v>
      </c>
      <c r="E3585" t="s">
        <v>3740</v>
      </c>
      <c r="F3585" t="s">
        <v>3741</v>
      </c>
      <c r="G3585" s="1">
        <v>38475</v>
      </c>
      <c r="H3585" s="1">
        <v>39371</v>
      </c>
      <c r="I3585" t="s">
        <v>12</v>
      </c>
      <c r="J3585" t="s">
        <v>14355</v>
      </c>
    </row>
    <row r="3586" spans="1:10" x14ac:dyDescent="0.25">
      <c r="A3586">
        <v>306805</v>
      </c>
      <c r="B3586" t="s">
        <v>3756</v>
      </c>
      <c r="C3586" t="str">
        <f>"9781593854058"</f>
        <v>9781593854058</v>
      </c>
      <c r="D3586" t="str">
        <f>"9781593856328"</f>
        <v>9781593856328</v>
      </c>
      <c r="E3586" t="s">
        <v>3740</v>
      </c>
      <c r="F3586" t="s">
        <v>3741</v>
      </c>
      <c r="G3586" s="1">
        <v>39070</v>
      </c>
      <c r="H3586" s="1">
        <v>42349</v>
      </c>
      <c r="I3586" t="s">
        <v>12</v>
      </c>
      <c r="J3586" t="s">
        <v>14356</v>
      </c>
    </row>
    <row r="3587" spans="1:10" x14ac:dyDescent="0.25">
      <c r="A3587">
        <v>307027</v>
      </c>
      <c r="B3587" t="s">
        <v>3757</v>
      </c>
      <c r="C3587" t="str">
        <f>"9780521660785"</f>
        <v>9780521660785</v>
      </c>
      <c r="D3587" t="str">
        <f>"9780511294372"</f>
        <v>9780511294372</v>
      </c>
      <c r="E3587" t="s">
        <v>18</v>
      </c>
      <c r="F3587" t="s">
        <v>18</v>
      </c>
      <c r="G3587" s="1">
        <v>39261</v>
      </c>
      <c r="H3587" s="1">
        <v>39472</v>
      </c>
      <c r="I3587" t="s">
        <v>12</v>
      </c>
      <c r="J3587" t="s">
        <v>14357</v>
      </c>
    </row>
    <row r="3588" spans="1:10" x14ac:dyDescent="0.25">
      <c r="A3588">
        <v>307035</v>
      </c>
      <c r="B3588" t="s">
        <v>3758</v>
      </c>
      <c r="C3588" t="str">
        <f>"9780521690263"</f>
        <v>9780521690263</v>
      </c>
      <c r="D3588" t="str">
        <f>"9780511294259"</f>
        <v>9780511294259</v>
      </c>
      <c r="E3588" t="s">
        <v>18</v>
      </c>
      <c r="F3588" t="s">
        <v>18</v>
      </c>
      <c r="G3588" s="1">
        <v>39282</v>
      </c>
      <c r="H3588" s="1">
        <v>39472</v>
      </c>
      <c r="I3588" t="s">
        <v>12</v>
      </c>
      <c r="J3588" t="s">
        <v>14358</v>
      </c>
    </row>
    <row r="3589" spans="1:10" x14ac:dyDescent="0.25">
      <c r="A3589">
        <v>307041</v>
      </c>
      <c r="B3589" t="s">
        <v>3759</v>
      </c>
      <c r="C3589" t="str">
        <f>"9780521699433"</f>
        <v>9780521699433</v>
      </c>
      <c r="D3589" t="str">
        <f>"9780511294242"</f>
        <v>9780511294242</v>
      </c>
      <c r="E3589" t="s">
        <v>18</v>
      </c>
      <c r="F3589" t="s">
        <v>18</v>
      </c>
      <c r="G3589" s="1">
        <v>39216</v>
      </c>
      <c r="H3589" s="1">
        <v>39472</v>
      </c>
      <c r="I3589" t="s">
        <v>12</v>
      </c>
      <c r="J3589" t="s">
        <v>14359</v>
      </c>
    </row>
    <row r="3590" spans="1:10" x14ac:dyDescent="0.25">
      <c r="A3590">
        <v>307046</v>
      </c>
      <c r="B3590" t="s">
        <v>3760</v>
      </c>
      <c r="C3590" t="str">
        <f>"9780521835329"</f>
        <v>9780521835329</v>
      </c>
      <c r="D3590" t="str">
        <f>"9780511294129"</f>
        <v>9780511294129</v>
      </c>
      <c r="E3590" t="s">
        <v>18</v>
      </c>
      <c r="F3590" t="s">
        <v>18</v>
      </c>
      <c r="G3590" s="1">
        <v>39149</v>
      </c>
      <c r="H3590" s="1">
        <v>39472</v>
      </c>
      <c r="I3590" t="s">
        <v>12</v>
      </c>
      <c r="J3590" t="s">
        <v>14360</v>
      </c>
    </row>
    <row r="3591" spans="1:10" x14ac:dyDescent="0.25">
      <c r="A3591">
        <v>307051</v>
      </c>
      <c r="B3591" t="s">
        <v>3761</v>
      </c>
      <c r="C3591" t="str">
        <f>"9780521847643"</f>
        <v>9780521847643</v>
      </c>
      <c r="D3591" t="str">
        <f>"9780511293740"</f>
        <v>9780511293740</v>
      </c>
      <c r="E3591" t="s">
        <v>18</v>
      </c>
      <c r="F3591" t="s">
        <v>18</v>
      </c>
      <c r="G3591" s="1">
        <v>39989</v>
      </c>
      <c r="H3591" s="1">
        <v>39472</v>
      </c>
      <c r="I3591" t="s">
        <v>12</v>
      </c>
      <c r="J3591" t="s">
        <v>14361</v>
      </c>
    </row>
    <row r="3592" spans="1:10" x14ac:dyDescent="0.25">
      <c r="A3592">
        <v>307067</v>
      </c>
      <c r="B3592" t="s">
        <v>3762</v>
      </c>
      <c r="C3592" t="str">
        <f>"9780521859219"</f>
        <v>9780521859219</v>
      </c>
      <c r="D3592" t="str">
        <f>"9780511294037"</f>
        <v>9780511294037</v>
      </c>
      <c r="E3592" t="s">
        <v>18</v>
      </c>
      <c r="F3592" t="s">
        <v>18</v>
      </c>
      <c r="G3592" s="1">
        <v>39083</v>
      </c>
      <c r="H3592" s="1">
        <v>39472</v>
      </c>
      <c r="I3592" t="s">
        <v>12</v>
      </c>
      <c r="J3592" t="s">
        <v>14362</v>
      </c>
    </row>
    <row r="3593" spans="1:10" x14ac:dyDescent="0.25">
      <c r="A3593">
        <v>307073</v>
      </c>
      <c r="B3593" t="s">
        <v>3763</v>
      </c>
      <c r="C3593" t="str">
        <f>"9780521861861"</f>
        <v>9780521861861</v>
      </c>
      <c r="D3593" t="str">
        <f>"9780511294143"</f>
        <v>9780511294143</v>
      </c>
      <c r="E3593" t="s">
        <v>18</v>
      </c>
      <c r="F3593" t="s">
        <v>18</v>
      </c>
      <c r="G3593" s="1">
        <v>39114</v>
      </c>
      <c r="H3593" s="1">
        <v>39472</v>
      </c>
      <c r="I3593" t="s">
        <v>12</v>
      </c>
      <c r="J3593" t="s">
        <v>14363</v>
      </c>
    </row>
    <row r="3594" spans="1:10" x14ac:dyDescent="0.25">
      <c r="A3594">
        <v>307074</v>
      </c>
      <c r="B3594" t="s">
        <v>3764</v>
      </c>
      <c r="C3594" t="str">
        <f>"9780521863155"</f>
        <v>9780521863155</v>
      </c>
      <c r="D3594" t="str">
        <f>"9780511294433"</f>
        <v>9780511294433</v>
      </c>
      <c r="E3594" t="s">
        <v>18</v>
      </c>
      <c r="F3594" t="s">
        <v>18</v>
      </c>
      <c r="G3594" s="1">
        <v>39261</v>
      </c>
      <c r="H3594" s="1">
        <v>39472</v>
      </c>
      <c r="I3594" t="s">
        <v>12</v>
      </c>
      <c r="J3594" t="s">
        <v>14364</v>
      </c>
    </row>
    <row r="3595" spans="1:10" x14ac:dyDescent="0.25">
      <c r="A3595">
        <v>307080</v>
      </c>
      <c r="B3595" t="s">
        <v>3765</v>
      </c>
      <c r="C3595" t="str">
        <f>"9780521866644"</f>
        <v>9780521866644</v>
      </c>
      <c r="D3595" t="str">
        <f>"9780511293764"</f>
        <v>9780511293764</v>
      </c>
      <c r="E3595" t="s">
        <v>18</v>
      </c>
      <c r="F3595" t="s">
        <v>18</v>
      </c>
      <c r="G3595" s="1">
        <v>39083</v>
      </c>
      <c r="H3595" s="1">
        <v>39472</v>
      </c>
      <c r="I3595" t="s">
        <v>12</v>
      </c>
      <c r="J3595" t="s">
        <v>14365</v>
      </c>
    </row>
    <row r="3596" spans="1:10" x14ac:dyDescent="0.25">
      <c r="A3596">
        <v>307083</v>
      </c>
      <c r="B3596" t="s">
        <v>3766</v>
      </c>
      <c r="C3596" t="str">
        <f>"9780521866972"</f>
        <v>9780521866972</v>
      </c>
      <c r="D3596" t="str">
        <f>"9780511294310"</f>
        <v>9780511294310</v>
      </c>
      <c r="E3596" t="s">
        <v>18</v>
      </c>
      <c r="F3596" t="s">
        <v>18</v>
      </c>
      <c r="G3596" s="1">
        <v>39234</v>
      </c>
      <c r="H3596" s="1">
        <v>39472</v>
      </c>
      <c r="I3596" t="s">
        <v>12</v>
      </c>
      <c r="J3596" t="s">
        <v>14366</v>
      </c>
    </row>
    <row r="3597" spans="1:10" x14ac:dyDescent="0.25">
      <c r="A3597">
        <v>307117</v>
      </c>
      <c r="B3597" t="s">
        <v>3767</v>
      </c>
      <c r="C3597" t="str">
        <f>"9780123042606"</f>
        <v>9780123042606</v>
      </c>
      <c r="D3597" t="str">
        <f>"9780080535371"</f>
        <v>9780080535371</v>
      </c>
      <c r="E3597" t="s">
        <v>1119</v>
      </c>
      <c r="F3597" t="s">
        <v>1120</v>
      </c>
      <c r="G3597" s="1">
        <v>36584</v>
      </c>
      <c r="H3597" s="1">
        <v>40290</v>
      </c>
      <c r="I3597" t="s">
        <v>12</v>
      </c>
      <c r="J3597" t="s">
        <v>14367</v>
      </c>
    </row>
    <row r="3598" spans="1:10" x14ac:dyDescent="0.25">
      <c r="A3598">
        <v>307139</v>
      </c>
      <c r="B3598" t="s">
        <v>3768</v>
      </c>
      <c r="C3598" t="str">
        <f>"9780240809540"</f>
        <v>9780240809540</v>
      </c>
      <c r="D3598" t="str">
        <f>"9780080549903"</f>
        <v>9780080549903</v>
      </c>
      <c r="E3598" t="s">
        <v>15</v>
      </c>
      <c r="F3598" t="s">
        <v>1122</v>
      </c>
      <c r="G3598" s="1">
        <v>39160</v>
      </c>
      <c r="H3598" s="1">
        <v>40290</v>
      </c>
      <c r="I3598" t="s">
        <v>12</v>
      </c>
      <c r="J3598" t="s">
        <v>14368</v>
      </c>
    </row>
    <row r="3599" spans="1:10" x14ac:dyDescent="0.25">
      <c r="A3599">
        <v>307169</v>
      </c>
      <c r="B3599" t="s">
        <v>3769</v>
      </c>
      <c r="C3599" t="str">
        <f>"9780750664936"</f>
        <v>9780750664936</v>
      </c>
      <c r="D3599" t="str">
        <f>"9780080549781"</f>
        <v>9780080549781</v>
      </c>
      <c r="E3599" t="s">
        <v>15</v>
      </c>
      <c r="F3599" t="s">
        <v>16</v>
      </c>
      <c r="G3599" s="1">
        <v>39281</v>
      </c>
      <c r="H3599" s="1">
        <v>40178</v>
      </c>
      <c r="I3599" t="s">
        <v>12</v>
      </c>
      <c r="J3599" t="s">
        <v>14369</v>
      </c>
    </row>
    <row r="3600" spans="1:10" x14ac:dyDescent="0.25">
      <c r="A3600">
        <v>307178</v>
      </c>
      <c r="B3600" t="s">
        <v>3770</v>
      </c>
      <c r="C3600" t="str">
        <f>"9780750684408"</f>
        <v>9780750684408</v>
      </c>
      <c r="D3600" t="str">
        <f>"9780080550084"</f>
        <v>9780080550084</v>
      </c>
      <c r="E3600" t="s">
        <v>1119</v>
      </c>
      <c r="F3600" t="s">
        <v>2125</v>
      </c>
      <c r="G3600" s="1">
        <v>39219</v>
      </c>
      <c r="H3600" s="1">
        <v>42341</v>
      </c>
      <c r="I3600" t="s">
        <v>12</v>
      </c>
      <c r="J3600" t="s">
        <v>14370</v>
      </c>
    </row>
    <row r="3601" spans="1:10" x14ac:dyDescent="0.25">
      <c r="A3601">
        <v>307179</v>
      </c>
      <c r="B3601" t="s">
        <v>3771</v>
      </c>
      <c r="C3601" t="str">
        <f>"9780750684941"</f>
        <v>9780750684941</v>
      </c>
      <c r="D3601" t="str">
        <f>"9780080549927"</f>
        <v>9780080549927</v>
      </c>
      <c r="E3601" t="s">
        <v>15</v>
      </c>
      <c r="F3601" t="s">
        <v>16</v>
      </c>
      <c r="G3601" s="1">
        <v>39286</v>
      </c>
      <c r="H3601" s="1">
        <v>40290</v>
      </c>
      <c r="I3601" t="s">
        <v>12</v>
      </c>
      <c r="J3601" t="s">
        <v>14371</v>
      </c>
    </row>
    <row r="3602" spans="1:10" x14ac:dyDescent="0.25">
      <c r="A3602">
        <v>307208</v>
      </c>
      <c r="B3602" t="s">
        <v>3772</v>
      </c>
      <c r="C3602" t="str">
        <f>"9780240808550"</f>
        <v>9780240808550</v>
      </c>
      <c r="D3602" t="str">
        <f>"9780080549934"</f>
        <v>9780080549934</v>
      </c>
      <c r="E3602" t="s">
        <v>15</v>
      </c>
      <c r="F3602" t="s">
        <v>1122</v>
      </c>
      <c r="G3602" s="1">
        <v>39326</v>
      </c>
      <c r="H3602" s="1">
        <v>40297</v>
      </c>
      <c r="I3602" t="s">
        <v>12</v>
      </c>
      <c r="J3602" t="s">
        <v>14372</v>
      </c>
    </row>
    <row r="3603" spans="1:10" x14ac:dyDescent="0.25">
      <c r="A3603">
        <v>307223</v>
      </c>
      <c r="B3603" t="s">
        <v>3773</v>
      </c>
      <c r="C3603" t="str">
        <f>"9780240517148"</f>
        <v>9780240517148</v>
      </c>
      <c r="D3603" t="str">
        <f>"9780080519272"</f>
        <v>9780080519272</v>
      </c>
      <c r="E3603" t="s">
        <v>15</v>
      </c>
      <c r="F3603" t="s">
        <v>1122</v>
      </c>
      <c r="G3603" s="1">
        <v>37307</v>
      </c>
      <c r="H3603" s="1">
        <v>39357</v>
      </c>
      <c r="I3603" t="s">
        <v>12</v>
      </c>
      <c r="J3603" t="s">
        <v>14373</v>
      </c>
    </row>
    <row r="3604" spans="1:10" x14ac:dyDescent="0.25">
      <c r="A3604">
        <v>307300</v>
      </c>
      <c r="B3604" t="s">
        <v>3774</v>
      </c>
      <c r="C3604" t="str">
        <f>"9781853599729"</f>
        <v>9781853599729</v>
      </c>
      <c r="D3604" t="str">
        <f>"9781853599736"</f>
        <v>9781853599736</v>
      </c>
      <c r="E3604" t="s">
        <v>886</v>
      </c>
      <c r="F3604" t="s">
        <v>887</v>
      </c>
      <c r="G3604" s="1">
        <v>39274</v>
      </c>
      <c r="H3604" s="1">
        <v>39317</v>
      </c>
      <c r="I3604" t="s">
        <v>12</v>
      </c>
      <c r="J3604" t="s">
        <v>14374</v>
      </c>
    </row>
    <row r="3605" spans="1:10" x14ac:dyDescent="0.25">
      <c r="A3605">
        <v>307301</v>
      </c>
      <c r="B3605" t="s">
        <v>3775</v>
      </c>
      <c r="C3605" t="str">
        <f>"9781853599927"</f>
        <v>9781853599927</v>
      </c>
      <c r="D3605" t="str">
        <f>"9781853599934"</f>
        <v>9781853599934</v>
      </c>
      <c r="E3605" t="s">
        <v>886</v>
      </c>
      <c r="F3605" t="s">
        <v>887</v>
      </c>
      <c r="G3605" s="1">
        <v>39248</v>
      </c>
      <c r="H3605" s="1">
        <v>39317</v>
      </c>
      <c r="I3605" t="s">
        <v>12</v>
      </c>
      <c r="J3605" t="s">
        <v>14375</v>
      </c>
    </row>
    <row r="3606" spans="1:10" x14ac:dyDescent="0.25">
      <c r="A3606">
        <v>307302</v>
      </c>
      <c r="B3606" t="s">
        <v>3776</v>
      </c>
      <c r="C3606" t="str">
        <f>"9781847690067"</f>
        <v>9781847690067</v>
      </c>
      <c r="D3606" t="str">
        <f>"9781847690074"</f>
        <v>9781847690074</v>
      </c>
      <c r="E3606" t="s">
        <v>886</v>
      </c>
      <c r="F3606" t="s">
        <v>887</v>
      </c>
      <c r="G3606" s="1">
        <v>39238</v>
      </c>
      <c r="H3606" s="1">
        <v>39317</v>
      </c>
      <c r="I3606" t="s">
        <v>12</v>
      </c>
      <c r="J3606" t="s">
        <v>14376</v>
      </c>
    </row>
    <row r="3607" spans="1:10" x14ac:dyDescent="0.25">
      <c r="A3607">
        <v>307303</v>
      </c>
      <c r="B3607" t="s">
        <v>3777</v>
      </c>
      <c r="C3607" t="str">
        <f>"9781853599774"</f>
        <v>9781853599774</v>
      </c>
      <c r="D3607" t="str">
        <f>"9781853599781"</f>
        <v>9781853599781</v>
      </c>
      <c r="E3607" t="s">
        <v>886</v>
      </c>
      <c r="F3607" t="s">
        <v>887</v>
      </c>
      <c r="G3607" s="1">
        <v>39268</v>
      </c>
      <c r="H3607" s="1">
        <v>39317</v>
      </c>
      <c r="I3607" t="s">
        <v>12</v>
      </c>
      <c r="J3607" t="s">
        <v>14377</v>
      </c>
    </row>
    <row r="3608" spans="1:10" x14ac:dyDescent="0.25">
      <c r="A3608">
        <v>307304</v>
      </c>
      <c r="B3608" t="s">
        <v>3778</v>
      </c>
      <c r="C3608" t="str">
        <f>"9781853599675"</f>
        <v>9781853599675</v>
      </c>
      <c r="D3608" t="str">
        <f>"9781853599682"</f>
        <v>9781853599682</v>
      </c>
      <c r="E3608" t="s">
        <v>886</v>
      </c>
      <c r="F3608" t="s">
        <v>887</v>
      </c>
      <c r="G3608" s="1">
        <v>39219</v>
      </c>
      <c r="H3608" s="1">
        <v>39317</v>
      </c>
      <c r="I3608" t="s">
        <v>12</v>
      </c>
      <c r="J3608" t="s">
        <v>14378</v>
      </c>
    </row>
    <row r="3609" spans="1:10" x14ac:dyDescent="0.25">
      <c r="A3609">
        <v>307305</v>
      </c>
      <c r="B3609" t="s">
        <v>3779</v>
      </c>
      <c r="C3609" t="str">
        <f>"9781853599750"</f>
        <v>9781853599750</v>
      </c>
      <c r="D3609" t="str">
        <f>"9781853599767"</f>
        <v>9781853599767</v>
      </c>
      <c r="E3609" t="s">
        <v>886</v>
      </c>
      <c r="F3609" t="s">
        <v>887</v>
      </c>
      <c r="G3609" s="1">
        <v>39219</v>
      </c>
      <c r="H3609" s="1">
        <v>39317</v>
      </c>
      <c r="I3609" t="s">
        <v>12</v>
      </c>
      <c r="J3609" t="s">
        <v>14379</v>
      </c>
    </row>
    <row r="3610" spans="1:10" x14ac:dyDescent="0.25">
      <c r="A3610">
        <v>307306</v>
      </c>
      <c r="B3610" t="s">
        <v>3780</v>
      </c>
      <c r="C3610" t="str">
        <f>"9781853599323"</f>
        <v>9781853599323</v>
      </c>
      <c r="D3610" t="str">
        <f>"9781853599330"</f>
        <v>9781853599330</v>
      </c>
      <c r="E3610" t="s">
        <v>886</v>
      </c>
      <c r="F3610" t="s">
        <v>887</v>
      </c>
      <c r="G3610" s="1">
        <v>39300</v>
      </c>
      <c r="H3610" s="1">
        <v>39317</v>
      </c>
      <c r="I3610" t="s">
        <v>12</v>
      </c>
      <c r="J3610" t="s">
        <v>14380</v>
      </c>
    </row>
    <row r="3611" spans="1:10" x14ac:dyDescent="0.25">
      <c r="A3611">
        <v>307307</v>
      </c>
      <c r="B3611" t="s">
        <v>3781</v>
      </c>
      <c r="C3611" t="str">
        <f>"9781853599958"</f>
        <v>9781853599958</v>
      </c>
      <c r="D3611" t="str">
        <f>"9781853599965"</f>
        <v>9781853599965</v>
      </c>
      <c r="E3611" t="s">
        <v>886</v>
      </c>
      <c r="F3611" t="s">
        <v>887</v>
      </c>
      <c r="G3611" s="1">
        <v>39301</v>
      </c>
      <c r="H3611" s="1">
        <v>39317</v>
      </c>
      <c r="I3611" t="s">
        <v>12</v>
      </c>
      <c r="J3611" t="s">
        <v>14381</v>
      </c>
    </row>
    <row r="3612" spans="1:10" x14ac:dyDescent="0.25">
      <c r="A3612">
        <v>307308</v>
      </c>
      <c r="B3612" t="s">
        <v>3782</v>
      </c>
      <c r="C3612" t="str">
        <f>"9781847690043"</f>
        <v>9781847690043</v>
      </c>
      <c r="D3612" t="str">
        <f>"9781847690050"</f>
        <v>9781847690050</v>
      </c>
      <c r="E3612" t="s">
        <v>886</v>
      </c>
      <c r="F3612" t="s">
        <v>887</v>
      </c>
      <c r="G3612" s="1">
        <v>39303</v>
      </c>
      <c r="H3612" s="1">
        <v>39317</v>
      </c>
      <c r="I3612" t="s">
        <v>12</v>
      </c>
      <c r="J3612" t="s">
        <v>14382</v>
      </c>
    </row>
    <row r="3613" spans="1:10" x14ac:dyDescent="0.25">
      <c r="A3613">
        <v>307310</v>
      </c>
      <c r="B3613" t="s">
        <v>3783</v>
      </c>
      <c r="C3613" t="str">
        <f>"9781845410667"</f>
        <v>9781845410667</v>
      </c>
      <c r="D3613" t="str">
        <f>"9781845410681"</f>
        <v>9781845410681</v>
      </c>
      <c r="E3613" t="s">
        <v>886</v>
      </c>
      <c r="F3613" t="s">
        <v>886</v>
      </c>
      <c r="G3613" s="1">
        <v>39311</v>
      </c>
      <c r="H3613" s="1">
        <v>39317</v>
      </c>
      <c r="I3613" t="s">
        <v>12</v>
      </c>
      <c r="J3613" t="s">
        <v>14383</v>
      </c>
    </row>
    <row r="3614" spans="1:10" x14ac:dyDescent="0.25">
      <c r="A3614">
        <v>307311</v>
      </c>
      <c r="B3614" t="s">
        <v>3784</v>
      </c>
      <c r="C3614" t="str">
        <f>"9781845410759"</f>
        <v>9781845410759</v>
      </c>
      <c r="D3614" t="str">
        <f>"9781845410766"</f>
        <v>9781845410766</v>
      </c>
      <c r="E3614" t="s">
        <v>886</v>
      </c>
      <c r="F3614" t="s">
        <v>886</v>
      </c>
      <c r="G3614" s="1">
        <v>39339</v>
      </c>
      <c r="H3614" s="1">
        <v>39339</v>
      </c>
      <c r="I3614" t="s">
        <v>12</v>
      </c>
      <c r="J3614" t="s">
        <v>14384</v>
      </c>
    </row>
    <row r="3615" spans="1:10" x14ac:dyDescent="0.25">
      <c r="A3615">
        <v>307391</v>
      </c>
      <c r="B3615" t="s">
        <v>3785</v>
      </c>
      <c r="C3615" t="str">
        <f>"9780521824835"</f>
        <v>9780521824835</v>
      </c>
      <c r="D3615" t="str">
        <f>"9780511333149"</f>
        <v>9780511333149</v>
      </c>
      <c r="E3615" t="s">
        <v>18</v>
      </c>
      <c r="F3615" t="s">
        <v>18</v>
      </c>
      <c r="G3615" s="1">
        <v>39058</v>
      </c>
      <c r="H3615" s="1">
        <v>39414</v>
      </c>
      <c r="I3615" t="s">
        <v>12</v>
      </c>
      <c r="J3615" t="s">
        <v>14385</v>
      </c>
    </row>
    <row r="3616" spans="1:10" x14ac:dyDescent="0.25">
      <c r="A3616">
        <v>307392</v>
      </c>
      <c r="B3616" t="s">
        <v>3786</v>
      </c>
      <c r="C3616" t="str">
        <f>"9780521826433"</f>
        <v>9780521826433</v>
      </c>
      <c r="D3616" t="str">
        <f>"9780511333163"</f>
        <v>9780511333163</v>
      </c>
      <c r="E3616" t="s">
        <v>18</v>
      </c>
      <c r="F3616" t="s">
        <v>18</v>
      </c>
      <c r="G3616" s="1">
        <v>38961</v>
      </c>
      <c r="H3616" s="1">
        <v>39414</v>
      </c>
      <c r="I3616" t="s">
        <v>12</v>
      </c>
      <c r="J3616" t="s">
        <v>14386</v>
      </c>
    </row>
    <row r="3617" spans="1:10" x14ac:dyDescent="0.25">
      <c r="A3617">
        <v>307401</v>
      </c>
      <c r="B3617" t="s">
        <v>3787</v>
      </c>
      <c r="C3617" t="str">
        <f>"9780521836579"</f>
        <v>9780521836579</v>
      </c>
      <c r="D3617" t="str">
        <f>"9780511333156"</f>
        <v>9780511333156</v>
      </c>
      <c r="E3617" t="s">
        <v>18</v>
      </c>
      <c r="F3617" t="s">
        <v>18</v>
      </c>
      <c r="G3617" s="1">
        <v>39062</v>
      </c>
      <c r="H3617" s="1">
        <v>39414</v>
      </c>
      <c r="I3617" t="s">
        <v>12</v>
      </c>
      <c r="J3617" t="s">
        <v>14387</v>
      </c>
    </row>
    <row r="3618" spans="1:10" x14ac:dyDescent="0.25">
      <c r="A3618">
        <v>307402</v>
      </c>
      <c r="B3618" t="s">
        <v>3788</v>
      </c>
      <c r="C3618" t="str">
        <f>"9780521837644"</f>
        <v>9780521837644</v>
      </c>
      <c r="D3618" t="str">
        <f>"9780511333538"</f>
        <v>9780511333538</v>
      </c>
      <c r="E3618" t="s">
        <v>18</v>
      </c>
      <c r="F3618" t="s">
        <v>18</v>
      </c>
      <c r="G3618" s="1">
        <v>39247</v>
      </c>
      <c r="H3618" s="1">
        <v>39414</v>
      </c>
      <c r="I3618" t="s">
        <v>12</v>
      </c>
      <c r="J3618" t="s">
        <v>14388</v>
      </c>
    </row>
    <row r="3619" spans="1:10" x14ac:dyDescent="0.25">
      <c r="A3619">
        <v>307413</v>
      </c>
      <c r="B3619" t="s">
        <v>3789</v>
      </c>
      <c r="C3619" t="str">
        <f>"9780521845953"</f>
        <v>9780521845953</v>
      </c>
      <c r="D3619" t="str">
        <f>"9780511333231"</f>
        <v>9780511333231</v>
      </c>
      <c r="E3619" t="s">
        <v>18</v>
      </c>
      <c r="F3619" t="s">
        <v>18</v>
      </c>
      <c r="G3619" s="1">
        <v>39083</v>
      </c>
      <c r="H3619" s="1">
        <v>39414</v>
      </c>
      <c r="I3619" t="s">
        <v>12</v>
      </c>
      <c r="J3619" t="s">
        <v>14389</v>
      </c>
    </row>
    <row r="3620" spans="1:10" x14ac:dyDescent="0.25">
      <c r="A3620">
        <v>307425</v>
      </c>
      <c r="B3620" t="s">
        <v>3790</v>
      </c>
      <c r="C3620" t="str">
        <f>"9780521868815"</f>
        <v>9780521868815</v>
      </c>
      <c r="D3620" t="str">
        <f>"9780511333606"</f>
        <v>9780511333606</v>
      </c>
      <c r="E3620" t="s">
        <v>18</v>
      </c>
      <c r="F3620" t="s">
        <v>18</v>
      </c>
      <c r="G3620" s="1">
        <v>39307</v>
      </c>
      <c r="H3620" s="1">
        <v>39414</v>
      </c>
      <c r="I3620" t="s">
        <v>12</v>
      </c>
      <c r="J3620" t="s">
        <v>14390</v>
      </c>
    </row>
    <row r="3621" spans="1:10" x14ac:dyDescent="0.25">
      <c r="A3621">
        <v>307431</v>
      </c>
      <c r="B3621" t="s">
        <v>3791</v>
      </c>
      <c r="C3621" t="str">
        <f>"9780521875462"</f>
        <v>9780521875462</v>
      </c>
      <c r="D3621" t="str">
        <f>"9780511333446"</f>
        <v>9780511333446</v>
      </c>
      <c r="E3621" t="s">
        <v>18</v>
      </c>
      <c r="F3621" t="s">
        <v>18</v>
      </c>
      <c r="G3621" s="1">
        <v>39303</v>
      </c>
      <c r="H3621" s="1">
        <v>39414</v>
      </c>
      <c r="I3621" t="s">
        <v>12</v>
      </c>
      <c r="J3621" t="s">
        <v>14391</v>
      </c>
    </row>
    <row r="3622" spans="1:10" x14ac:dyDescent="0.25">
      <c r="A3622">
        <v>307434</v>
      </c>
      <c r="B3622" t="s">
        <v>3792</v>
      </c>
      <c r="C3622" t="str">
        <f>"9780521876407"</f>
        <v>9780521876407</v>
      </c>
      <c r="D3622" t="str">
        <f>"9780511333576"</f>
        <v>9780511333576</v>
      </c>
      <c r="E3622" t="s">
        <v>18</v>
      </c>
      <c r="F3622" t="s">
        <v>18</v>
      </c>
      <c r="G3622" s="1">
        <v>39265</v>
      </c>
      <c r="H3622" s="1">
        <v>39414</v>
      </c>
      <c r="I3622" t="s">
        <v>12</v>
      </c>
      <c r="J3622" t="s">
        <v>14392</v>
      </c>
    </row>
    <row r="3623" spans="1:10" x14ac:dyDescent="0.25">
      <c r="A3623">
        <v>307445</v>
      </c>
      <c r="B3623" t="s">
        <v>3793</v>
      </c>
      <c r="C3623" t="str">
        <f>"9780826102881"</f>
        <v>9780826102881</v>
      </c>
      <c r="D3623" t="str">
        <f>"9780826100801"</f>
        <v>9780826100801</v>
      </c>
      <c r="E3623" t="s">
        <v>3016</v>
      </c>
      <c r="F3623" t="s">
        <v>3016</v>
      </c>
      <c r="G3623" s="1">
        <v>39203</v>
      </c>
      <c r="H3623" s="1">
        <v>39369</v>
      </c>
      <c r="I3623" t="s">
        <v>12</v>
      </c>
      <c r="J3623" t="s">
        <v>14393</v>
      </c>
    </row>
    <row r="3624" spans="1:10" x14ac:dyDescent="0.25">
      <c r="A3624">
        <v>307564</v>
      </c>
      <c r="B3624" t="s">
        <v>3794</v>
      </c>
      <c r="C3624" t="str">
        <f>"9781403964977"</f>
        <v>9781403964977</v>
      </c>
      <c r="D3624" t="str">
        <f>"9781403978325"</f>
        <v>9781403978325</v>
      </c>
      <c r="E3624" t="s">
        <v>3795</v>
      </c>
      <c r="F3624" t="s">
        <v>876</v>
      </c>
      <c r="G3624" s="1">
        <v>38220</v>
      </c>
      <c r="H3624" s="1">
        <v>39317</v>
      </c>
      <c r="I3624" t="s">
        <v>12</v>
      </c>
      <c r="J3624" t="s">
        <v>14394</v>
      </c>
    </row>
    <row r="3625" spans="1:10" x14ac:dyDescent="0.25">
      <c r="A3625">
        <v>307580</v>
      </c>
      <c r="B3625" t="s">
        <v>3796</v>
      </c>
      <c r="C3625" t="str">
        <f>"9781403967749"</f>
        <v>9781403967749</v>
      </c>
      <c r="D3625" t="str">
        <f>"9781403978493"</f>
        <v>9781403978493</v>
      </c>
      <c r="E3625" t="s">
        <v>3795</v>
      </c>
      <c r="F3625" t="s">
        <v>876</v>
      </c>
      <c r="G3625" s="1">
        <v>38353</v>
      </c>
      <c r="H3625" s="1">
        <v>38993</v>
      </c>
      <c r="I3625" t="s">
        <v>12</v>
      </c>
      <c r="J3625" t="s">
        <v>14395</v>
      </c>
    </row>
    <row r="3626" spans="1:10" x14ac:dyDescent="0.25">
      <c r="A3626">
        <v>307587</v>
      </c>
      <c r="B3626" t="s">
        <v>3797</v>
      </c>
      <c r="C3626" t="str">
        <f>"9781403972972"</f>
        <v>9781403972972</v>
      </c>
      <c r="D3626" t="str">
        <f>"9781403983596"</f>
        <v>9781403983596</v>
      </c>
      <c r="E3626" t="s">
        <v>876</v>
      </c>
      <c r="F3626" t="s">
        <v>876</v>
      </c>
      <c r="G3626" s="1">
        <v>39737</v>
      </c>
      <c r="H3626" s="1">
        <v>39317</v>
      </c>
      <c r="I3626" t="s">
        <v>12</v>
      </c>
      <c r="J3626" t="s">
        <v>14396</v>
      </c>
    </row>
    <row r="3627" spans="1:10" x14ac:dyDescent="0.25">
      <c r="A3627">
        <v>307590</v>
      </c>
      <c r="B3627" t="s">
        <v>3798</v>
      </c>
      <c r="C3627" t="str">
        <f>"9781403971593"</f>
        <v>9781403971593</v>
      </c>
      <c r="D3627" t="str">
        <f>"9781403984364"</f>
        <v>9781403984364</v>
      </c>
      <c r="E3627" t="s">
        <v>876</v>
      </c>
      <c r="F3627" t="s">
        <v>876</v>
      </c>
      <c r="G3627" s="1">
        <v>38860</v>
      </c>
      <c r="H3627" s="1">
        <v>39317</v>
      </c>
      <c r="I3627" t="s">
        <v>12</v>
      </c>
      <c r="J3627" t="s">
        <v>14397</v>
      </c>
    </row>
    <row r="3628" spans="1:10" x14ac:dyDescent="0.25">
      <c r="A3628">
        <v>307595</v>
      </c>
      <c r="B3628" t="s">
        <v>3799</v>
      </c>
      <c r="C3628" t="str">
        <f>"9781403968418"</f>
        <v>9781403968418</v>
      </c>
      <c r="D3628" t="str">
        <f>"9781403977021"</f>
        <v>9781403977021</v>
      </c>
      <c r="E3628" t="s">
        <v>3795</v>
      </c>
      <c r="F3628" t="s">
        <v>876</v>
      </c>
      <c r="G3628" s="1">
        <v>38776</v>
      </c>
      <c r="H3628" s="1">
        <v>38993</v>
      </c>
      <c r="I3628" t="s">
        <v>12</v>
      </c>
      <c r="J3628" t="s">
        <v>14398</v>
      </c>
    </row>
    <row r="3629" spans="1:10" x14ac:dyDescent="0.25">
      <c r="A3629">
        <v>307624</v>
      </c>
      <c r="B3629" t="s">
        <v>3800</v>
      </c>
      <c r="C3629" t="str">
        <f>"9780230616684"</f>
        <v>9780230616684</v>
      </c>
      <c r="D3629" t="str">
        <f>"9780312376215"</f>
        <v>9780312376215</v>
      </c>
      <c r="E3629" t="s">
        <v>876</v>
      </c>
      <c r="F3629" t="s">
        <v>876</v>
      </c>
      <c r="G3629" s="1">
        <v>39017</v>
      </c>
      <c r="H3629" s="1">
        <v>39317</v>
      </c>
      <c r="I3629" t="s">
        <v>12</v>
      </c>
      <c r="J3629" t="s">
        <v>14399</v>
      </c>
    </row>
    <row r="3630" spans="1:10" x14ac:dyDescent="0.25">
      <c r="A3630">
        <v>307628</v>
      </c>
      <c r="B3630" t="s">
        <v>3801</v>
      </c>
      <c r="C3630" t="str">
        <f>"9781403972958"</f>
        <v>9781403972958</v>
      </c>
      <c r="D3630" t="str">
        <f>"9781403983107"</f>
        <v>9781403983107</v>
      </c>
      <c r="E3630" t="s">
        <v>876</v>
      </c>
      <c r="F3630" t="s">
        <v>876</v>
      </c>
      <c r="G3630" s="1">
        <v>38926</v>
      </c>
      <c r="H3630" s="1">
        <v>39354</v>
      </c>
      <c r="I3630" t="s">
        <v>12</v>
      </c>
      <c r="J3630" t="s">
        <v>14400</v>
      </c>
    </row>
    <row r="3631" spans="1:10" x14ac:dyDescent="0.25">
      <c r="A3631">
        <v>307641</v>
      </c>
      <c r="B3631" t="s">
        <v>3802</v>
      </c>
      <c r="C3631" t="str">
        <f>"9781403965554"</f>
        <v>9781403965554</v>
      </c>
      <c r="D3631" t="str">
        <f>"9781403981134"</f>
        <v>9781403981134</v>
      </c>
      <c r="E3631" t="s">
        <v>3795</v>
      </c>
      <c r="F3631" t="s">
        <v>876</v>
      </c>
      <c r="G3631" s="1">
        <v>38234</v>
      </c>
      <c r="H3631" s="1">
        <v>39317</v>
      </c>
      <c r="I3631" t="s">
        <v>12</v>
      </c>
      <c r="J3631" t="s">
        <v>14401</v>
      </c>
    </row>
    <row r="3632" spans="1:10" x14ac:dyDescent="0.25">
      <c r="A3632">
        <v>307649</v>
      </c>
      <c r="B3632" t="s">
        <v>3803</v>
      </c>
      <c r="C3632" t="str">
        <f>"9781403969941"</f>
        <v>9781403969941</v>
      </c>
      <c r="D3632" t="str">
        <f>"9781403983626"</f>
        <v>9781403983626</v>
      </c>
      <c r="E3632" t="s">
        <v>3795</v>
      </c>
      <c r="F3632" t="s">
        <v>876</v>
      </c>
      <c r="G3632" s="1">
        <v>38930</v>
      </c>
      <c r="H3632" s="1">
        <v>39060</v>
      </c>
      <c r="I3632" t="s">
        <v>12</v>
      </c>
      <c r="J3632" t="s">
        <v>14402</v>
      </c>
    </row>
    <row r="3633" spans="1:10" x14ac:dyDescent="0.25">
      <c r="A3633">
        <v>307662</v>
      </c>
      <c r="B3633" t="s">
        <v>3804</v>
      </c>
      <c r="C3633" t="str">
        <f>"9781403966667"</f>
        <v>9781403966667</v>
      </c>
      <c r="D3633" t="str">
        <f>"9781403981295"</f>
        <v>9781403981295</v>
      </c>
      <c r="E3633" t="s">
        <v>876</v>
      </c>
      <c r="F3633" t="s">
        <v>876</v>
      </c>
      <c r="G3633" s="1">
        <v>38601</v>
      </c>
      <c r="H3633" s="1">
        <v>39317</v>
      </c>
      <c r="I3633" t="s">
        <v>12</v>
      </c>
      <c r="J3633" t="s">
        <v>14403</v>
      </c>
    </row>
    <row r="3634" spans="1:10" x14ac:dyDescent="0.25">
      <c r="A3634">
        <v>307663</v>
      </c>
      <c r="B3634" t="s">
        <v>3805</v>
      </c>
      <c r="C3634" t="str">
        <f>"9781403973955"</f>
        <v>9781403973955</v>
      </c>
      <c r="D3634" t="str">
        <f>"9781403984722"</f>
        <v>9781403984722</v>
      </c>
      <c r="E3634" t="s">
        <v>876</v>
      </c>
      <c r="F3634" t="s">
        <v>876</v>
      </c>
      <c r="G3634" s="1">
        <v>38824</v>
      </c>
      <c r="H3634" s="1">
        <v>39317</v>
      </c>
      <c r="I3634" t="s">
        <v>12</v>
      </c>
      <c r="J3634" t="s">
        <v>14404</v>
      </c>
    </row>
    <row r="3635" spans="1:10" x14ac:dyDescent="0.25">
      <c r="A3635">
        <v>307699</v>
      </c>
      <c r="B3635" t="s">
        <v>3806</v>
      </c>
      <c r="C3635" t="str">
        <f>"9781403967824"</f>
        <v>9781403967824</v>
      </c>
      <c r="D3635" t="str">
        <f>"9781403981332"</f>
        <v>9781403981332</v>
      </c>
      <c r="E3635" t="s">
        <v>876</v>
      </c>
      <c r="F3635" t="s">
        <v>876</v>
      </c>
      <c r="G3635" s="1">
        <v>38518</v>
      </c>
      <c r="H3635" s="1">
        <v>39317</v>
      </c>
      <c r="I3635" t="s">
        <v>12</v>
      </c>
      <c r="J3635" t="s">
        <v>14405</v>
      </c>
    </row>
    <row r="3636" spans="1:10" x14ac:dyDescent="0.25">
      <c r="A3636">
        <v>307722</v>
      </c>
      <c r="B3636" t="s">
        <v>3807</v>
      </c>
      <c r="C3636" t="str">
        <f>"9781403969682"</f>
        <v>9781403969682</v>
      </c>
      <c r="D3636" t="str">
        <f>"9780230601208"</f>
        <v>9780230601208</v>
      </c>
      <c r="E3636" t="s">
        <v>876</v>
      </c>
      <c r="F3636" t="s">
        <v>876</v>
      </c>
      <c r="G3636" s="1">
        <v>39043</v>
      </c>
      <c r="H3636" s="1">
        <v>39317</v>
      </c>
      <c r="I3636" t="s">
        <v>12</v>
      </c>
      <c r="J3636" t="s">
        <v>14406</v>
      </c>
    </row>
    <row r="3637" spans="1:10" x14ac:dyDescent="0.25">
      <c r="A3637">
        <v>307725</v>
      </c>
      <c r="B3637" t="s">
        <v>3808</v>
      </c>
      <c r="C3637" t="str">
        <f>"9781403965783"</f>
        <v>9781403965783</v>
      </c>
      <c r="D3637" t="str">
        <f>"9781403979551"</f>
        <v>9781403979551</v>
      </c>
      <c r="E3637" t="s">
        <v>3795</v>
      </c>
      <c r="F3637" t="s">
        <v>876</v>
      </c>
      <c r="G3637" s="1">
        <v>38318</v>
      </c>
      <c r="H3637" s="1">
        <v>39317</v>
      </c>
      <c r="I3637" t="s">
        <v>12</v>
      </c>
      <c r="J3637" t="s">
        <v>14407</v>
      </c>
    </row>
    <row r="3638" spans="1:10" x14ac:dyDescent="0.25">
      <c r="A3638">
        <v>307732</v>
      </c>
      <c r="B3638" t="s">
        <v>3809</v>
      </c>
      <c r="C3638" t="str">
        <f>"9781403963659"</f>
        <v>9781403963659</v>
      </c>
      <c r="D3638" t="str">
        <f>"9781403981370"</f>
        <v>9781403981370</v>
      </c>
      <c r="E3638" t="s">
        <v>3795</v>
      </c>
      <c r="F3638" t="s">
        <v>876</v>
      </c>
      <c r="G3638" s="1">
        <v>37895</v>
      </c>
      <c r="H3638" s="1">
        <v>39317</v>
      </c>
      <c r="I3638" t="s">
        <v>12</v>
      </c>
      <c r="J3638" t="s">
        <v>14408</v>
      </c>
    </row>
    <row r="3639" spans="1:10" x14ac:dyDescent="0.25">
      <c r="A3639">
        <v>307737</v>
      </c>
      <c r="B3639" t="s">
        <v>3810</v>
      </c>
      <c r="C3639" t="str">
        <f>"9781403969217"</f>
        <v>9781403969217</v>
      </c>
      <c r="D3639" t="str">
        <f>"9781403980632"</f>
        <v>9781403980632</v>
      </c>
      <c r="E3639" t="s">
        <v>3795</v>
      </c>
      <c r="F3639" t="s">
        <v>876</v>
      </c>
      <c r="G3639" s="1">
        <v>38504</v>
      </c>
      <c r="H3639" s="1">
        <v>38992</v>
      </c>
      <c r="I3639" t="s">
        <v>12</v>
      </c>
      <c r="J3639" t="s">
        <v>14409</v>
      </c>
    </row>
    <row r="3640" spans="1:10" x14ac:dyDescent="0.25">
      <c r="A3640">
        <v>307744</v>
      </c>
      <c r="B3640" t="s">
        <v>3811</v>
      </c>
      <c r="C3640" t="str">
        <f>"9781403965493"</f>
        <v>9781403965493</v>
      </c>
      <c r="D3640" t="str">
        <f>"9781403978769"</f>
        <v>9781403978769</v>
      </c>
      <c r="E3640" t="s">
        <v>3795</v>
      </c>
      <c r="F3640" t="s">
        <v>876</v>
      </c>
      <c r="G3640" s="1">
        <v>38909</v>
      </c>
      <c r="H3640" s="1">
        <v>39317</v>
      </c>
      <c r="I3640" t="s">
        <v>12</v>
      </c>
      <c r="J3640" t="s">
        <v>14410</v>
      </c>
    </row>
    <row r="3641" spans="1:10" x14ac:dyDescent="0.25">
      <c r="A3641">
        <v>307752</v>
      </c>
      <c r="B3641" t="s">
        <v>3812</v>
      </c>
      <c r="C3641" t="str">
        <f>"9781403969095"</f>
        <v>9781403969095</v>
      </c>
      <c r="D3641" t="str">
        <f>"9781403980564"</f>
        <v>9781403980564</v>
      </c>
      <c r="E3641" t="s">
        <v>876</v>
      </c>
      <c r="F3641" t="s">
        <v>876</v>
      </c>
      <c r="G3641" s="1">
        <v>38687</v>
      </c>
      <c r="H3641" s="1">
        <v>39317</v>
      </c>
      <c r="I3641" t="s">
        <v>12</v>
      </c>
      <c r="J3641" t="s">
        <v>14411</v>
      </c>
    </row>
    <row r="3642" spans="1:10" x14ac:dyDescent="0.25">
      <c r="A3642">
        <v>307754</v>
      </c>
      <c r="B3642" t="s">
        <v>3813</v>
      </c>
      <c r="C3642" t="str">
        <f>"9781403971142"</f>
        <v>9781403971142</v>
      </c>
      <c r="D3642" t="str">
        <f>"9780312376345"</f>
        <v>9780312376345</v>
      </c>
      <c r="E3642" t="s">
        <v>876</v>
      </c>
      <c r="F3642" t="s">
        <v>876</v>
      </c>
      <c r="G3642" s="1">
        <v>38856</v>
      </c>
      <c r="H3642" s="1">
        <v>39317</v>
      </c>
      <c r="I3642" t="s">
        <v>12</v>
      </c>
      <c r="J3642" t="s">
        <v>14412</v>
      </c>
    </row>
    <row r="3643" spans="1:10" x14ac:dyDescent="0.25">
      <c r="A3643">
        <v>307768</v>
      </c>
      <c r="B3643" t="s">
        <v>3814</v>
      </c>
      <c r="C3643" t="str">
        <f>"9781403963840"</f>
        <v>9781403963840</v>
      </c>
      <c r="D3643" t="str">
        <f>"9781403982810"</f>
        <v>9781403982810</v>
      </c>
      <c r="E3643" t="s">
        <v>3795</v>
      </c>
      <c r="F3643" t="s">
        <v>876</v>
      </c>
      <c r="G3643" s="1">
        <v>38080</v>
      </c>
      <c r="H3643" s="1">
        <v>39317</v>
      </c>
      <c r="I3643" t="s">
        <v>12</v>
      </c>
      <c r="J3643" t="s">
        <v>14413</v>
      </c>
    </row>
    <row r="3644" spans="1:10" x14ac:dyDescent="0.25">
      <c r="A3644">
        <v>307791</v>
      </c>
      <c r="B3644" t="s">
        <v>3815</v>
      </c>
      <c r="C3644" t="str">
        <f>"9781403969811"</f>
        <v>9781403969811</v>
      </c>
      <c r="D3644" t="str">
        <f>"9780230601116"</f>
        <v>9780230601116</v>
      </c>
      <c r="E3644" t="s">
        <v>3795</v>
      </c>
      <c r="F3644" t="s">
        <v>876</v>
      </c>
      <c r="G3644" s="1">
        <v>38626</v>
      </c>
      <c r="H3644" s="1">
        <v>39191</v>
      </c>
      <c r="I3644" t="s">
        <v>12</v>
      </c>
      <c r="J3644" t="s">
        <v>14414</v>
      </c>
    </row>
    <row r="3645" spans="1:10" x14ac:dyDescent="0.25">
      <c r="A3645">
        <v>307827</v>
      </c>
      <c r="B3645" t="s">
        <v>3816</v>
      </c>
      <c r="C3645" t="str">
        <f>"9781403971418"</f>
        <v>9781403971418</v>
      </c>
      <c r="D3645" t="str">
        <f>"9781403983077"</f>
        <v>9781403983077</v>
      </c>
      <c r="E3645" t="s">
        <v>876</v>
      </c>
      <c r="F3645" t="s">
        <v>876</v>
      </c>
      <c r="G3645" s="1">
        <v>38968</v>
      </c>
      <c r="H3645" s="1">
        <v>39354</v>
      </c>
      <c r="I3645" t="s">
        <v>12</v>
      </c>
      <c r="J3645" t="s">
        <v>14415</v>
      </c>
    </row>
    <row r="3646" spans="1:10" x14ac:dyDescent="0.25">
      <c r="A3646">
        <v>307940</v>
      </c>
      <c r="B3646" t="s">
        <v>3817</v>
      </c>
      <c r="C3646" t="str">
        <f>"9781403970565"</f>
        <v>9781403970565</v>
      </c>
      <c r="D3646" t="str">
        <f>"9781403977175"</f>
        <v>9781403977175</v>
      </c>
      <c r="E3646" t="s">
        <v>876</v>
      </c>
      <c r="F3646" t="s">
        <v>876</v>
      </c>
      <c r="G3646" s="1">
        <v>38601</v>
      </c>
      <c r="H3646" s="1">
        <v>39317</v>
      </c>
      <c r="I3646" t="s">
        <v>12</v>
      </c>
      <c r="J3646" t="s">
        <v>14416</v>
      </c>
    </row>
    <row r="3647" spans="1:10" x14ac:dyDescent="0.25">
      <c r="A3647">
        <v>307943</v>
      </c>
      <c r="B3647" t="s">
        <v>3818</v>
      </c>
      <c r="C3647" t="str">
        <f>"9781403975874"</f>
        <v>9781403975874</v>
      </c>
      <c r="D3647" t="str">
        <f>"9780230601697"</f>
        <v>9780230601697</v>
      </c>
      <c r="E3647" t="s">
        <v>876</v>
      </c>
      <c r="F3647" t="s">
        <v>876</v>
      </c>
      <c r="G3647" s="1">
        <v>39122</v>
      </c>
      <c r="H3647" s="1">
        <v>39317</v>
      </c>
      <c r="I3647" t="s">
        <v>12</v>
      </c>
      <c r="J3647" t="s">
        <v>14417</v>
      </c>
    </row>
    <row r="3648" spans="1:10" x14ac:dyDescent="0.25">
      <c r="A3648">
        <v>307960</v>
      </c>
      <c r="B3648" t="s">
        <v>3819</v>
      </c>
      <c r="C3648" t="str">
        <f>"9781403972798"</f>
        <v>9781403972798</v>
      </c>
      <c r="D3648" t="str">
        <f>"9781403983220"</f>
        <v>9781403983220</v>
      </c>
      <c r="E3648" t="s">
        <v>876</v>
      </c>
      <c r="F3648" t="s">
        <v>876</v>
      </c>
      <c r="G3648" s="1">
        <v>38883</v>
      </c>
      <c r="H3648" s="1">
        <v>39317</v>
      </c>
      <c r="I3648" t="s">
        <v>12</v>
      </c>
      <c r="J3648" t="s">
        <v>14418</v>
      </c>
    </row>
    <row r="3649" spans="1:10" x14ac:dyDescent="0.25">
      <c r="A3649">
        <v>307966</v>
      </c>
      <c r="B3649" t="s">
        <v>3820</v>
      </c>
      <c r="C3649" t="str">
        <f>"9781403968333"</f>
        <v>9781403968333</v>
      </c>
      <c r="D3649" t="str">
        <f>"9781403980335"</f>
        <v>9781403980335</v>
      </c>
      <c r="E3649" t="s">
        <v>876</v>
      </c>
      <c r="F3649" t="s">
        <v>876</v>
      </c>
      <c r="G3649" s="1">
        <v>38518</v>
      </c>
      <c r="H3649" s="1">
        <v>39317</v>
      </c>
      <c r="I3649" t="s">
        <v>12</v>
      </c>
      <c r="J3649" t="s">
        <v>14419</v>
      </c>
    </row>
    <row r="3650" spans="1:10" x14ac:dyDescent="0.25">
      <c r="A3650">
        <v>307967</v>
      </c>
      <c r="B3650" t="s">
        <v>3821</v>
      </c>
      <c r="C3650" t="str">
        <f>"9781403975256"</f>
        <v>9781403975256</v>
      </c>
      <c r="D3650" t="str">
        <f>"9781403983602"</f>
        <v>9781403983602</v>
      </c>
      <c r="E3650" t="s">
        <v>876</v>
      </c>
      <c r="F3650" t="s">
        <v>876</v>
      </c>
      <c r="G3650" s="1">
        <v>39014</v>
      </c>
      <c r="H3650" s="1">
        <v>39317</v>
      </c>
      <c r="I3650" t="s">
        <v>12</v>
      </c>
      <c r="J3650" t="s">
        <v>14420</v>
      </c>
    </row>
    <row r="3651" spans="1:10" x14ac:dyDescent="0.25">
      <c r="A3651">
        <v>308015</v>
      </c>
      <c r="B3651" t="s">
        <v>3822</v>
      </c>
      <c r="C3651" t="str">
        <f>"9781403967794"</f>
        <v>9781403967794</v>
      </c>
      <c r="D3651" t="str">
        <f>"9781403973535"</f>
        <v>9781403973535</v>
      </c>
      <c r="E3651" t="s">
        <v>876</v>
      </c>
      <c r="F3651" t="s">
        <v>876</v>
      </c>
      <c r="G3651" s="1">
        <v>38483</v>
      </c>
      <c r="H3651" s="1">
        <v>39317</v>
      </c>
      <c r="I3651" t="s">
        <v>12</v>
      </c>
      <c r="J3651" t="s">
        <v>14421</v>
      </c>
    </row>
    <row r="3652" spans="1:10" x14ac:dyDescent="0.25">
      <c r="A3652">
        <v>308087</v>
      </c>
      <c r="B3652" t="s">
        <v>3823</v>
      </c>
      <c r="C3652" t="str">
        <f>"9781403974181"</f>
        <v>9781403974181</v>
      </c>
      <c r="D3652" t="str">
        <f>"9780312376161"</f>
        <v>9780312376161</v>
      </c>
      <c r="E3652" t="s">
        <v>876</v>
      </c>
      <c r="F3652" t="s">
        <v>876</v>
      </c>
      <c r="G3652" s="1">
        <v>39069</v>
      </c>
      <c r="H3652" s="1">
        <v>39317</v>
      </c>
      <c r="I3652" t="s">
        <v>12</v>
      </c>
      <c r="J3652" t="s">
        <v>14422</v>
      </c>
    </row>
    <row r="3653" spans="1:10" x14ac:dyDescent="0.25">
      <c r="A3653">
        <v>308089</v>
      </c>
      <c r="B3653" t="s">
        <v>3824</v>
      </c>
      <c r="C3653" t="str">
        <f>"9781403963154"</f>
        <v>9781403963154</v>
      </c>
      <c r="D3653" t="str">
        <f>"9781403980199"</f>
        <v>9781403980199</v>
      </c>
      <c r="E3653" t="s">
        <v>3795</v>
      </c>
      <c r="F3653" t="s">
        <v>876</v>
      </c>
      <c r="G3653" s="1">
        <v>37974</v>
      </c>
      <c r="H3653" s="1">
        <v>39317</v>
      </c>
      <c r="I3653" t="s">
        <v>12</v>
      </c>
      <c r="J3653" t="s">
        <v>14423</v>
      </c>
    </row>
    <row r="3654" spans="1:10" x14ac:dyDescent="0.25">
      <c r="A3654">
        <v>308091</v>
      </c>
      <c r="B3654" t="s">
        <v>3825</v>
      </c>
      <c r="C3654" t="str">
        <f>"9780312239695"</f>
        <v>9780312239695</v>
      </c>
      <c r="D3654" t="str">
        <f>"9781403981738"</f>
        <v>9781403981738</v>
      </c>
      <c r="E3654" t="s">
        <v>3795</v>
      </c>
      <c r="F3654" t="s">
        <v>876</v>
      </c>
      <c r="G3654" s="1">
        <v>37800</v>
      </c>
      <c r="H3654" s="1">
        <v>39317</v>
      </c>
      <c r="I3654" t="s">
        <v>12</v>
      </c>
      <c r="J3654" t="s">
        <v>14424</v>
      </c>
    </row>
    <row r="3655" spans="1:10" x14ac:dyDescent="0.25">
      <c r="A3655">
        <v>308135</v>
      </c>
      <c r="B3655" t="s">
        <v>3826</v>
      </c>
      <c r="C3655" t="str">
        <f>"9781403968760"</f>
        <v>9781403968760</v>
      </c>
      <c r="D3655" t="str">
        <f>"9781403981042"</f>
        <v>9781403981042</v>
      </c>
      <c r="E3655" t="s">
        <v>876</v>
      </c>
      <c r="F3655" t="s">
        <v>876</v>
      </c>
      <c r="G3655" s="1">
        <v>38575</v>
      </c>
      <c r="H3655" s="1">
        <v>39317</v>
      </c>
      <c r="I3655" t="s">
        <v>12</v>
      </c>
      <c r="J3655" t="s">
        <v>14425</v>
      </c>
    </row>
    <row r="3656" spans="1:10" x14ac:dyDescent="0.25">
      <c r="A3656">
        <v>308148</v>
      </c>
      <c r="B3656" t="s">
        <v>3827</v>
      </c>
      <c r="C3656" t="str">
        <f>"9781403963765"</f>
        <v>9781403963765</v>
      </c>
      <c r="D3656" t="str">
        <f>"9781403983336"</f>
        <v>9781403983336</v>
      </c>
      <c r="E3656" t="s">
        <v>876</v>
      </c>
      <c r="F3656" t="s">
        <v>876</v>
      </c>
      <c r="G3656" s="1">
        <v>39255</v>
      </c>
      <c r="H3656" s="1">
        <v>39317</v>
      </c>
      <c r="I3656" t="s">
        <v>12</v>
      </c>
      <c r="J3656" t="s">
        <v>14426</v>
      </c>
    </row>
    <row r="3657" spans="1:10" x14ac:dyDescent="0.25">
      <c r="A3657">
        <v>308163</v>
      </c>
      <c r="B3657" t="s">
        <v>3828</v>
      </c>
      <c r="C3657" t="str">
        <f>"9781403967923"</f>
        <v>9781403967923</v>
      </c>
      <c r="D3657" t="str">
        <f>"9781403978622"</f>
        <v>9781403978622</v>
      </c>
      <c r="E3657" t="s">
        <v>3795</v>
      </c>
      <c r="F3657" t="s">
        <v>876</v>
      </c>
      <c r="G3657" s="1">
        <v>38504</v>
      </c>
      <c r="H3657" s="1">
        <v>38993</v>
      </c>
      <c r="I3657" t="s">
        <v>12</v>
      </c>
      <c r="J3657" t="s">
        <v>14427</v>
      </c>
    </row>
    <row r="3658" spans="1:10" x14ac:dyDescent="0.25">
      <c r="A3658">
        <v>308169</v>
      </c>
      <c r="B3658" t="s">
        <v>3829</v>
      </c>
      <c r="C3658" t="str">
        <f>"9781403964427"</f>
        <v>9781403964427</v>
      </c>
      <c r="D3658" t="str">
        <f>"9781403980977"</f>
        <v>9781403980977</v>
      </c>
      <c r="E3658" t="s">
        <v>3795</v>
      </c>
      <c r="F3658" t="s">
        <v>876</v>
      </c>
      <c r="G3658" s="1">
        <v>38114</v>
      </c>
      <c r="H3658" s="1">
        <v>39317</v>
      </c>
      <c r="I3658" t="s">
        <v>12</v>
      </c>
      <c r="J3658" t="s">
        <v>14428</v>
      </c>
    </row>
    <row r="3659" spans="1:10" x14ac:dyDescent="0.25">
      <c r="A3659">
        <v>308182</v>
      </c>
      <c r="B3659" t="s">
        <v>3830</v>
      </c>
      <c r="C3659" t="str">
        <f>"9781403961617"</f>
        <v>9781403961617</v>
      </c>
      <c r="D3659" t="str">
        <f>"9781403978721"</f>
        <v>9781403978721</v>
      </c>
      <c r="E3659" t="s">
        <v>3795</v>
      </c>
      <c r="F3659" t="s">
        <v>876</v>
      </c>
      <c r="G3659" s="1">
        <v>38909</v>
      </c>
      <c r="H3659" s="1">
        <v>39317</v>
      </c>
      <c r="I3659" t="s">
        <v>12</v>
      </c>
      <c r="J3659" t="s">
        <v>14429</v>
      </c>
    </row>
    <row r="3660" spans="1:10" x14ac:dyDescent="0.25">
      <c r="A3660">
        <v>308183</v>
      </c>
      <c r="B3660" t="s">
        <v>3831</v>
      </c>
      <c r="C3660" t="str">
        <f>"9781403966469"</f>
        <v>9781403966469</v>
      </c>
      <c r="D3660" t="str">
        <f>"9781403978585"</f>
        <v>9781403978585</v>
      </c>
      <c r="E3660" t="s">
        <v>876</v>
      </c>
      <c r="F3660" t="s">
        <v>876</v>
      </c>
      <c r="G3660" s="1">
        <v>38601</v>
      </c>
      <c r="H3660" s="1">
        <v>39317</v>
      </c>
      <c r="I3660" t="s">
        <v>12</v>
      </c>
      <c r="J3660" t="s">
        <v>14430</v>
      </c>
    </row>
    <row r="3661" spans="1:10" x14ac:dyDescent="0.25">
      <c r="A3661">
        <v>308195</v>
      </c>
      <c r="B3661" t="s">
        <v>3832</v>
      </c>
      <c r="C3661" t="str">
        <f>"9781403975782"</f>
        <v>9781403975782</v>
      </c>
      <c r="D3661" t="str">
        <f>"9780230601147"</f>
        <v>9780230601147</v>
      </c>
      <c r="E3661" t="s">
        <v>876</v>
      </c>
      <c r="F3661" t="s">
        <v>876</v>
      </c>
      <c r="G3661" s="1">
        <v>39017</v>
      </c>
      <c r="H3661" s="1">
        <v>39317</v>
      </c>
      <c r="I3661" t="s">
        <v>12</v>
      </c>
      <c r="J3661" t="s">
        <v>14431</v>
      </c>
    </row>
    <row r="3662" spans="1:10" x14ac:dyDescent="0.25">
      <c r="A3662">
        <v>308199</v>
      </c>
      <c r="B3662" t="s">
        <v>3833</v>
      </c>
      <c r="C3662" t="str">
        <f>"9781403974976"</f>
        <v>9781403974976</v>
      </c>
      <c r="D3662" t="str">
        <f>"9780230601666"</f>
        <v>9780230601666</v>
      </c>
      <c r="E3662" t="s">
        <v>876</v>
      </c>
      <c r="F3662" t="s">
        <v>876</v>
      </c>
      <c r="G3662" s="1">
        <v>39066</v>
      </c>
      <c r="H3662" s="1">
        <v>39317</v>
      </c>
      <c r="I3662" t="s">
        <v>12</v>
      </c>
      <c r="J3662" t="s">
        <v>14432</v>
      </c>
    </row>
    <row r="3663" spans="1:10" x14ac:dyDescent="0.25">
      <c r="A3663">
        <v>308236</v>
      </c>
      <c r="B3663" t="s">
        <v>3834</v>
      </c>
      <c r="C3663" t="str">
        <f>"9780230605985"</f>
        <v>9780230605985</v>
      </c>
      <c r="D3663" t="str">
        <f>"9781403977212"</f>
        <v>9781403977212</v>
      </c>
      <c r="E3663" t="s">
        <v>876</v>
      </c>
      <c r="F3663" t="s">
        <v>876</v>
      </c>
      <c r="G3663" s="1">
        <v>38770</v>
      </c>
      <c r="H3663" s="1">
        <v>39317</v>
      </c>
      <c r="I3663" t="s">
        <v>12</v>
      </c>
      <c r="J3663" t="s">
        <v>14433</v>
      </c>
    </row>
    <row r="3664" spans="1:10" x14ac:dyDescent="0.25">
      <c r="A3664">
        <v>308275</v>
      </c>
      <c r="B3664" t="s">
        <v>3835</v>
      </c>
      <c r="C3664" t="str">
        <f>"9781403969828"</f>
        <v>9781403969828</v>
      </c>
      <c r="D3664" t="str">
        <f>"9781403983015"</f>
        <v>9781403983015</v>
      </c>
      <c r="E3664" t="s">
        <v>876</v>
      </c>
      <c r="F3664" t="s">
        <v>876</v>
      </c>
      <c r="G3664" s="1">
        <v>38882</v>
      </c>
      <c r="H3664" s="1">
        <v>39354</v>
      </c>
      <c r="I3664" t="s">
        <v>12</v>
      </c>
      <c r="J3664" t="s">
        <v>14434</v>
      </c>
    </row>
    <row r="3665" spans="1:10" x14ac:dyDescent="0.25">
      <c r="A3665">
        <v>308287</v>
      </c>
      <c r="B3665" t="s">
        <v>3836</v>
      </c>
      <c r="C3665" t="str">
        <f>"9781403967848"</f>
        <v>9781403967848</v>
      </c>
      <c r="D3665" t="str">
        <f>"9781403978875"</f>
        <v>9781403978875</v>
      </c>
      <c r="E3665" t="s">
        <v>876</v>
      </c>
      <c r="F3665" t="s">
        <v>876</v>
      </c>
      <c r="G3665" s="1">
        <v>38426</v>
      </c>
      <c r="H3665" s="1">
        <v>39317</v>
      </c>
      <c r="I3665" t="s">
        <v>12</v>
      </c>
      <c r="J3665" t="s">
        <v>14435</v>
      </c>
    </row>
    <row r="3666" spans="1:10" x14ac:dyDescent="0.25">
      <c r="A3666">
        <v>308289</v>
      </c>
      <c r="B3666" t="s">
        <v>3837</v>
      </c>
      <c r="C3666" t="str">
        <f>"9781403974228"</f>
        <v>9781403974228</v>
      </c>
      <c r="D3666" t="str">
        <f>"9780230600744"</f>
        <v>9780230600744</v>
      </c>
      <c r="E3666" t="s">
        <v>876</v>
      </c>
      <c r="F3666" t="s">
        <v>876</v>
      </c>
      <c r="G3666" s="1">
        <v>39038</v>
      </c>
      <c r="H3666" s="1">
        <v>39317</v>
      </c>
      <c r="I3666" t="s">
        <v>12</v>
      </c>
      <c r="J3666" t="s">
        <v>14436</v>
      </c>
    </row>
    <row r="3667" spans="1:10" x14ac:dyDescent="0.25">
      <c r="A3667">
        <v>308306</v>
      </c>
      <c r="B3667" t="s">
        <v>3838</v>
      </c>
      <c r="C3667" t="str">
        <f>"9780230620346"</f>
        <v>9780230620346</v>
      </c>
      <c r="D3667" t="str">
        <f>"9780312376154"</f>
        <v>9780312376154</v>
      </c>
      <c r="E3667" t="s">
        <v>876</v>
      </c>
      <c r="F3667" t="s">
        <v>876</v>
      </c>
      <c r="G3667" s="1">
        <v>39017</v>
      </c>
      <c r="H3667" s="1">
        <v>39317</v>
      </c>
      <c r="I3667" t="s">
        <v>12</v>
      </c>
      <c r="J3667" t="s">
        <v>14437</v>
      </c>
    </row>
    <row r="3668" spans="1:10" x14ac:dyDescent="0.25">
      <c r="A3668">
        <v>308317</v>
      </c>
      <c r="B3668" t="s">
        <v>3839</v>
      </c>
      <c r="C3668" t="str">
        <f>"9781403974266"</f>
        <v>9781403974266</v>
      </c>
      <c r="D3668" t="str">
        <f>"9780230601499"</f>
        <v>9780230601499</v>
      </c>
      <c r="E3668" t="s">
        <v>876</v>
      </c>
      <c r="F3668" t="s">
        <v>876</v>
      </c>
      <c r="G3668" s="1">
        <v>39794</v>
      </c>
      <c r="H3668" s="1">
        <v>39317</v>
      </c>
      <c r="I3668" t="s">
        <v>12</v>
      </c>
      <c r="J3668" t="s">
        <v>14438</v>
      </c>
    </row>
    <row r="3669" spans="1:10" x14ac:dyDescent="0.25">
      <c r="A3669">
        <v>308320</v>
      </c>
      <c r="B3669" t="s">
        <v>3840</v>
      </c>
      <c r="C3669" t="str">
        <f>"9781403969132"</f>
        <v>9781403969132</v>
      </c>
      <c r="D3669" t="str">
        <f>"9781403981868"</f>
        <v>9781403981868</v>
      </c>
      <c r="E3669" t="s">
        <v>876</v>
      </c>
      <c r="F3669" t="s">
        <v>876</v>
      </c>
      <c r="G3669" s="1">
        <v>38601</v>
      </c>
      <c r="H3669" s="1">
        <v>39317</v>
      </c>
      <c r="I3669" t="s">
        <v>12</v>
      </c>
      <c r="J3669" t="s">
        <v>14439</v>
      </c>
    </row>
    <row r="3670" spans="1:10" x14ac:dyDescent="0.25">
      <c r="A3670">
        <v>308321</v>
      </c>
      <c r="B3670" t="s">
        <v>3841</v>
      </c>
      <c r="C3670" t="str">
        <f>"9781403965899"</f>
        <v>9781403965899</v>
      </c>
      <c r="D3670" t="str">
        <f>"9781403979452"</f>
        <v>9781403979452</v>
      </c>
      <c r="E3670" t="s">
        <v>3795</v>
      </c>
      <c r="F3670" t="s">
        <v>876</v>
      </c>
      <c r="G3670" s="1">
        <v>38121</v>
      </c>
      <c r="H3670" s="1">
        <v>39317</v>
      </c>
      <c r="I3670" t="s">
        <v>12</v>
      </c>
      <c r="J3670" t="s">
        <v>14440</v>
      </c>
    </row>
    <row r="3671" spans="1:10" x14ac:dyDescent="0.25">
      <c r="A3671">
        <v>308329</v>
      </c>
      <c r="B3671" t="s">
        <v>3842</v>
      </c>
      <c r="C3671" t="str">
        <f>"9781403961945"</f>
        <v>9781403961945</v>
      </c>
      <c r="D3671" t="str">
        <f>"9781403982490"</f>
        <v>9781403982490</v>
      </c>
      <c r="E3671" t="s">
        <v>3795</v>
      </c>
      <c r="F3671" t="s">
        <v>876</v>
      </c>
      <c r="G3671" s="1">
        <v>37820</v>
      </c>
      <c r="H3671" s="1">
        <v>39317</v>
      </c>
      <c r="I3671" t="s">
        <v>12</v>
      </c>
      <c r="J3671" t="s">
        <v>14441</v>
      </c>
    </row>
    <row r="3672" spans="1:10" x14ac:dyDescent="0.25">
      <c r="A3672">
        <v>308342</v>
      </c>
      <c r="B3672" t="s">
        <v>3843</v>
      </c>
      <c r="C3672" t="str">
        <f>"9781403975027"</f>
        <v>9781403975027</v>
      </c>
      <c r="D3672" t="str">
        <f>"9780230601161"</f>
        <v>9780230601161</v>
      </c>
      <c r="E3672" t="s">
        <v>876</v>
      </c>
      <c r="F3672" t="s">
        <v>876</v>
      </c>
      <c r="G3672" s="1">
        <v>39017</v>
      </c>
      <c r="H3672" s="1">
        <v>39317</v>
      </c>
      <c r="I3672" t="s">
        <v>12</v>
      </c>
      <c r="J3672" t="s">
        <v>14442</v>
      </c>
    </row>
    <row r="3673" spans="1:10" x14ac:dyDescent="0.25">
      <c r="A3673">
        <v>308359</v>
      </c>
      <c r="B3673" t="s">
        <v>3844</v>
      </c>
      <c r="C3673" t="str">
        <f>"9781403962805"</f>
        <v>9781403962805</v>
      </c>
      <c r="D3673" t="str">
        <f>"9781403978660"</f>
        <v>9781403978660</v>
      </c>
      <c r="E3673" t="s">
        <v>876</v>
      </c>
      <c r="F3673" t="s">
        <v>876</v>
      </c>
      <c r="G3673" s="1">
        <v>38726</v>
      </c>
      <c r="H3673" s="1">
        <v>39317</v>
      </c>
      <c r="I3673" t="s">
        <v>12</v>
      </c>
      <c r="J3673" t="s">
        <v>14443</v>
      </c>
    </row>
    <row r="3674" spans="1:10" x14ac:dyDescent="0.25">
      <c r="A3674">
        <v>308376</v>
      </c>
      <c r="B3674" t="s">
        <v>3845</v>
      </c>
      <c r="C3674" t="str">
        <f>"9781403961204"</f>
        <v>9781403961204</v>
      </c>
      <c r="D3674" t="str">
        <f>"9781403981882"</f>
        <v>9781403981882</v>
      </c>
      <c r="E3674" t="s">
        <v>3795</v>
      </c>
      <c r="F3674" t="s">
        <v>876</v>
      </c>
      <c r="G3674" s="1">
        <v>38960</v>
      </c>
      <c r="H3674" s="1">
        <v>39317</v>
      </c>
      <c r="I3674" t="s">
        <v>12</v>
      </c>
      <c r="J3674" t="s">
        <v>14444</v>
      </c>
    </row>
    <row r="3675" spans="1:10" x14ac:dyDescent="0.25">
      <c r="A3675">
        <v>308415</v>
      </c>
      <c r="B3675" t="s">
        <v>3846</v>
      </c>
      <c r="C3675" t="str">
        <f>"9781403971296"</f>
        <v>9781403971296</v>
      </c>
      <c r="D3675" t="str">
        <f>"9781403982988"</f>
        <v>9781403982988</v>
      </c>
      <c r="E3675" t="s">
        <v>876</v>
      </c>
      <c r="F3675" t="s">
        <v>876</v>
      </c>
      <c r="G3675" s="1">
        <v>38856</v>
      </c>
      <c r="H3675" s="1">
        <v>39354</v>
      </c>
      <c r="I3675" t="s">
        <v>12</v>
      </c>
      <c r="J3675" t="s">
        <v>14445</v>
      </c>
    </row>
    <row r="3676" spans="1:10" x14ac:dyDescent="0.25">
      <c r="A3676">
        <v>308501</v>
      </c>
      <c r="B3676" t="s">
        <v>3847</v>
      </c>
      <c r="C3676" t="str">
        <f>"9780415303866"</f>
        <v>9780415303866</v>
      </c>
      <c r="D3676" t="str">
        <f>"9780203962626"</f>
        <v>9780203962626</v>
      </c>
      <c r="E3676" t="s">
        <v>15</v>
      </c>
      <c r="F3676" t="s">
        <v>16</v>
      </c>
      <c r="G3676" s="1">
        <v>39209</v>
      </c>
      <c r="H3676" s="1">
        <v>39491</v>
      </c>
      <c r="I3676" t="s">
        <v>12</v>
      </c>
      <c r="J3676" t="s">
        <v>14446</v>
      </c>
    </row>
    <row r="3677" spans="1:10" x14ac:dyDescent="0.25">
      <c r="A3677">
        <v>308505</v>
      </c>
      <c r="B3677" t="s">
        <v>3848</v>
      </c>
      <c r="C3677" t="str">
        <f>"9780415412490"</f>
        <v>9780415412490</v>
      </c>
      <c r="D3677" t="str">
        <f>"9780203940563"</f>
        <v>9780203940563</v>
      </c>
      <c r="E3677" t="s">
        <v>15</v>
      </c>
      <c r="F3677" t="s">
        <v>16</v>
      </c>
      <c r="G3677" s="1">
        <v>39281</v>
      </c>
      <c r="H3677" s="1">
        <v>39706</v>
      </c>
      <c r="I3677" t="s">
        <v>12</v>
      </c>
      <c r="J3677" t="s">
        <v>14447</v>
      </c>
    </row>
    <row r="3678" spans="1:10" x14ac:dyDescent="0.25">
      <c r="A3678">
        <v>308506</v>
      </c>
      <c r="B3678" t="s">
        <v>3849</v>
      </c>
      <c r="C3678" t="str">
        <f>"9780415359740"</f>
        <v>9780415359740</v>
      </c>
      <c r="D3678" t="str">
        <f>"9780203007709"</f>
        <v>9780203007709</v>
      </c>
      <c r="E3678" t="s">
        <v>16</v>
      </c>
      <c r="F3678" t="s">
        <v>16</v>
      </c>
      <c r="G3678" s="1">
        <v>39251</v>
      </c>
      <c r="H3678" s="1">
        <v>39377</v>
      </c>
      <c r="I3678" t="s">
        <v>12</v>
      </c>
      <c r="J3678" t="s">
        <v>14448</v>
      </c>
    </row>
    <row r="3679" spans="1:10" x14ac:dyDescent="0.25">
      <c r="A3679">
        <v>308510</v>
      </c>
      <c r="B3679" t="s">
        <v>748</v>
      </c>
      <c r="C3679" t="str">
        <f>"9780415281652"</f>
        <v>9780415281652</v>
      </c>
      <c r="D3679" t="str">
        <f>"9780203965887"</f>
        <v>9780203965887</v>
      </c>
      <c r="E3679" t="s">
        <v>15</v>
      </c>
      <c r="F3679" t="s">
        <v>16</v>
      </c>
      <c r="G3679" s="1">
        <v>39281</v>
      </c>
      <c r="H3679" s="1">
        <v>39703</v>
      </c>
      <c r="I3679" t="s">
        <v>12</v>
      </c>
      <c r="J3679" t="s">
        <v>14449</v>
      </c>
    </row>
    <row r="3680" spans="1:10" x14ac:dyDescent="0.25">
      <c r="A3680">
        <v>308513</v>
      </c>
      <c r="B3680" t="s">
        <v>3850</v>
      </c>
      <c r="C3680" t="str">
        <f>"9780415420822"</f>
        <v>9780415420822</v>
      </c>
      <c r="D3680" t="str">
        <f>"9780203962367"</f>
        <v>9780203962367</v>
      </c>
      <c r="E3680" t="s">
        <v>16</v>
      </c>
      <c r="F3680" t="s">
        <v>16</v>
      </c>
      <c r="G3680" s="1">
        <v>41773</v>
      </c>
      <c r="H3680" s="1">
        <v>39300</v>
      </c>
      <c r="I3680" t="s">
        <v>12</v>
      </c>
      <c r="J3680" t="s">
        <v>14450</v>
      </c>
    </row>
    <row r="3681" spans="1:10" x14ac:dyDescent="0.25">
      <c r="A3681">
        <v>308515</v>
      </c>
      <c r="B3681" t="s">
        <v>3851</v>
      </c>
      <c r="C3681" t="str">
        <f>"9780415428149"</f>
        <v>9780415428149</v>
      </c>
      <c r="D3681" t="str">
        <f>"9780203945551"</f>
        <v>9780203945551</v>
      </c>
      <c r="E3681" t="s">
        <v>15</v>
      </c>
      <c r="F3681" t="s">
        <v>16</v>
      </c>
      <c r="G3681" s="1">
        <v>39308</v>
      </c>
      <c r="H3681" s="1">
        <v>39706</v>
      </c>
      <c r="I3681" t="s">
        <v>12</v>
      </c>
      <c r="J3681" t="s">
        <v>14451</v>
      </c>
    </row>
    <row r="3682" spans="1:10" x14ac:dyDescent="0.25">
      <c r="A3682">
        <v>308517</v>
      </c>
      <c r="B3682" t="s">
        <v>584</v>
      </c>
      <c r="C3682" t="str">
        <f>"9780415283311"</f>
        <v>9780415283311</v>
      </c>
      <c r="D3682" t="str">
        <f>"9780203961940"</f>
        <v>9780203961940</v>
      </c>
      <c r="E3682" t="s">
        <v>16</v>
      </c>
      <c r="F3682" t="s">
        <v>16</v>
      </c>
      <c r="G3682" s="1">
        <v>39169</v>
      </c>
      <c r="H3682" s="1">
        <v>39300</v>
      </c>
      <c r="I3682" t="s">
        <v>12</v>
      </c>
      <c r="J3682" t="s">
        <v>14452</v>
      </c>
    </row>
    <row r="3683" spans="1:10" x14ac:dyDescent="0.25">
      <c r="A3683">
        <v>308520</v>
      </c>
      <c r="B3683" t="s">
        <v>3852</v>
      </c>
      <c r="C3683" t="str">
        <f>"9780415411059"</f>
        <v>9780415411059</v>
      </c>
      <c r="D3683" t="str">
        <f>"9780203963647"</f>
        <v>9780203963647</v>
      </c>
      <c r="E3683" t="s">
        <v>15</v>
      </c>
      <c r="F3683" t="s">
        <v>16</v>
      </c>
      <c r="G3683" s="1">
        <v>39192</v>
      </c>
      <c r="H3683" s="1">
        <v>39318</v>
      </c>
      <c r="I3683" t="s">
        <v>12</v>
      </c>
      <c r="J3683" t="s">
        <v>14453</v>
      </c>
    </row>
    <row r="3684" spans="1:10" x14ac:dyDescent="0.25">
      <c r="A3684">
        <v>308521</v>
      </c>
      <c r="B3684" t="s">
        <v>3853</v>
      </c>
      <c r="C3684" t="str">
        <f>"9780415430586"</f>
        <v>9780415430586</v>
      </c>
      <c r="D3684" t="str">
        <f>"9780203961308"</f>
        <v>9780203961308</v>
      </c>
      <c r="E3684" t="s">
        <v>15</v>
      </c>
      <c r="F3684" t="s">
        <v>16</v>
      </c>
      <c r="G3684" s="1">
        <v>39269</v>
      </c>
      <c r="H3684" s="1">
        <v>39326</v>
      </c>
      <c r="I3684" t="s">
        <v>12</v>
      </c>
      <c r="J3684" t="s">
        <v>14454</v>
      </c>
    </row>
    <row r="3685" spans="1:10" x14ac:dyDescent="0.25">
      <c r="A3685">
        <v>308522</v>
      </c>
      <c r="B3685" t="s">
        <v>3854</v>
      </c>
      <c r="C3685" t="str">
        <f>"9780415350112"</f>
        <v>9780415350112</v>
      </c>
      <c r="D3685" t="str">
        <f>"9780203312070"</f>
        <v>9780203312070</v>
      </c>
      <c r="E3685" t="s">
        <v>15</v>
      </c>
      <c r="F3685" t="s">
        <v>16</v>
      </c>
      <c r="G3685" s="1">
        <v>39211</v>
      </c>
      <c r="H3685" s="1">
        <v>39318</v>
      </c>
      <c r="I3685" t="s">
        <v>12</v>
      </c>
      <c r="J3685" t="s">
        <v>14455</v>
      </c>
    </row>
    <row r="3686" spans="1:10" x14ac:dyDescent="0.25">
      <c r="A3686">
        <v>308523</v>
      </c>
      <c r="B3686" t="s">
        <v>3855</v>
      </c>
      <c r="C3686" t="str">
        <f>"9780415400985"</f>
        <v>9780415400985</v>
      </c>
      <c r="D3686" t="str">
        <f>"9780203961162"</f>
        <v>9780203961162</v>
      </c>
      <c r="E3686" t="s">
        <v>15</v>
      </c>
      <c r="F3686" t="s">
        <v>16</v>
      </c>
      <c r="G3686" s="1">
        <v>39239</v>
      </c>
      <c r="H3686" s="1">
        <v>39318</v>
      </c>
      <c r="I3686" t="s">
        <v>12</v>
      </c>
      <c r="J3686" t="s">
        <v>14456</v>
      </c>
    </row>
    <row r="3687" spans="1:10" x14ac:dyDescent="0.25">
      <c r="A3687">
        <v>308525</v>
      </c>
      <c r="B3687" t="s">
        <v>3856</v>
      </c>
      <c r="C3687" t="str">
        <f>"9780415417464"</f>
        <v>9780415417464</v>
      </c>
      <c r="D3687" t="str">
        <f>"9780203961698"</f>
        <v>9780203961698</v>
      </c>
      <c r="E3687" t="s">
        <v>15</v>
      </c>
      <c r="F3687" t="s">
        <v>16</v>
      </c>
      <c r="G3687" s="1">
        <v>39248</v>
      </c>
      <c r="H3687" s="1">
        <v>39318</v>
      </c>
      <c r="I3687" t="s">
        <v>12</v>
      </c>
      <c r="J3687" t="s">
        <v>14457</v>
      </c>
    </row>
    <row r="3688" spans="1:10" x14ac:dyDescent="0.25">
      <c r="A3688">
        <v>308526</v>
      </c>
      <c r="B3688" t="s">
        <v>3857</v>
      </c>
      <c r="C3688" t="str">
        <f>"9780415358422"</f>
        <v>9780415358422</v>
      </c>
      <c r="D3688" t="str">
        <f>"9780203004593"</f>
        <v>9780203004593</v>
      </c>
      <c r="E3688" t="s">
        <v>15</v>
      </c>
      <c r="F3688" t="s">
        <v>16</v>
      </c>
      <c r="G3688" s="1">
        <v>39188</v>
      </c>
      <c r="H3688" s="1">
        <v>39432</v>
      </c>
      <c r="I3688" t="s">
        <v>12</v>
      </c>
      <c r="J3688" t="s">
        <v>14458</v>
      </c>
    </row>
    <row r="3689" spans="1:10" x14ac:dyDescent="0.25">
      <c r="A3689">
        <v>308530</v>
      </c>
      <c r="B3689" t="s">
        <v>3858</v>
      </c>
      <c r="C3689" t="str">
        <f>"9780415400565"</f>
        <v>9780415400565</v>
      </c>
      <c r="D3689" t="str">
        <f>"9780203946619"</f>
        <v>9780203946619</v>
      </c>
      <c r="E3689" t="s">
        <v>15</v>
      </c>
      <c r="F3689" t="s">
        <v>16</v>
      </c>
      <c r="G3689" s="1">
        <v>39279</v>
      </c>
      <c r="H3689" s="1">
        <v>39703</v>
      </c>
      <c r="I3689" t="s">
        <v>12</v>
      </c>
      <c r="J3689" t="s">
        <v>14459</v>
      </c>
    </row>
    <row r="3690" spans="1:10" x14ac:dyDescent="0.25">
      <c r="A3690">
        <v>308531</v>
      </c>
      <c r="B3690" t="s">
        <v>3859</v>
      </c>
      <c r="C3690" t="str">
        <f>"9780415326933"</f>
        <v>9780415326933</v>
      </c>
      <c r="D3690" t="str">
        <f>"9780203390573"</f>
        <v>9780203390573</v>
      </c>
      <c r="E3690" t="s">
        <v>15</v>
      </c>
      <c r="F3690" t="s">
        <v>16</v>
      </c>
      <c r="G3690" s="1">
        <v>39316</v>
      </c>
      <c r="H3690" s="1">
        <v>39703</v>
      </c>
      <c r="I3690" t="s">
        <v>12</v>
      </c>
      <c r="J3690" t="s">
        <v>14460</v>
      </c>
    </row>
    <row r="3691" spans="1:10" x14ac:dyDescent="0.25">
      <c r="A3691">
        <v>308532</v>
      </c>
      <c r="B3691" t="s">
        <v>3860</v>
      </c>
      <c r="C3691" t="str">
        <f>"9780415371490"</f>
        <v>9780415371490</v>
      </c>
      <c r="D3691" t="str">
        <f>"9780203960967"</f>
        <v>9780203960967</v>
      </c>
      <c r="E3691" t="s">
        <v>15</v>
      </c>
      <c r="F3691" t="s">
        <v>16</v>
      </c>
      <c r="G3691" s="1">
        <v>39316</v>
      </c>
      <c r="H3691" s="1">
        <v>39703</v>
      </c>
      <c r="I3691" t="s">
        <v>12</v>
      </c>
      <c r="J3691" t="s">
        <v>14461</v>
      </c>
    </row>
    <row r="3692" spans="1:10" x14ac:dyDescent="0.25">
      <c r="A3692">
        <v>308533</v>
      </c>
      <c r="B3692" t="s">
        <v>3861</v>
      </c>
      <c r="C3692" t="str">
        <f>"9780415355025"</f>
        <v>9780415355025</v>
      </c>
      <c r="D3692" t="str">
        <f>"9780203001592"</f>
        <v>9780203001592</v>
      </c>
      <c r="E3692" t="s">
        <v>15</v>
      </c>
      <c r="F3692" t="s">
        <v>16</v>
      </c>
      <c r="G3692" s="1">
        <v>39322</v>
      </c>
      <c r="H3692" s="1">
        <v>39346</v>
      </c>
      <c r="I3692" t="s">
        <v>12</v>
      </c>
      <c r="J3692" t="s">
        <v>14462</v>
      </c>
    </row>
    <row r="3693" spans="1:10" x14ac:dyDescent="0.25">
      <c r="A3693">
        <v>308534</v>
      </c>
      <c r="B3693" t="s">
        <v>3862</v>
      </c>
      <c r="C3693" t="str">
        <f>"9780415422048"</f>
        <v>9780415422048</v>
      </c>
      <c r="D3693" t="str">
        <f>"9780203961858"</f>
        <v>9780203961858</v>
      </c>
      <c r="E3693" t="s">
        <v>15</v>
      </c>
      <c r="F3693" t="s">
        <v>16</v>
      </c>
      <c r="G3693" s="1">
        <v>39251</v>
      </c>
      <c r="H3693" s="1">
        <v>39326</v>
      </c>
      <c r="I3693" t="s">
        <v>12</v>
      </c>
      <c r="J3693" t="s">
        <v>14463</v>
      </c>
    </row>
    <row r="3694" spans="1:10" x14ac:dyDescent="0.25">
      <c r="A3694">
        <v>308539</v>
      </c>
      <c r="B3694" t="s">
        <v>3863</v>
      </c>
      <c r="C3694" t="str">
        <f>"9780415414586"</f>
        <v>9780415414586</v>
      </c>
      <c r="D3694" t="str">
        <f>"9780203946534"</f>
        <v>9780203946534</v>
      </c>
      <c r="E3694" t="s">
        <v>16</v>
      </c>
      <c r="F3694" t="s">
        <v>16</v>
      </c>
      <c r="G3694" s="1">
        <v>39203</v>
      </c>
      <c r="H3694" s="1">
        <v>39706</v>
      </c>
      <c r="I3694" t="s">
        <v>12</v>
      </c>
      <c r="J3694" t="s">
        <v>14464</v>
      </c>
    </row>
    <row r="3695" spans="1:10" x14ac:dyDescent="0.25">
      <c r="A3695">
        <v>308546</v>
      </c>
      <c r="B3695" t="s">
        <v>3864</v>
      </c>
      <c r="C3695" t="str">
        <f>"9780415342568"</f>
        <v>9780415342568</v>
      </c>
      <c r="D3695" t="str">
        <f>"9780203481677"</f>
        <v>9780203481677</v>
      </c>
      <c r="E3695" t="s">
        <v>15</v>
      </c>
      <c r="F3695" t="s">
        <v>16</v>
      </c>
      <c r="G3695" s="1">
        <v>38646</v>
      </c>
      <c r="H3695" s="1">
        <v>41052</v>
      </c>
      <c r="I3695" t="s">
        <v>12</v>
      </c>
      <c r="J3695" t="s">
        <v>14465</v>
      </c>
    </row>
    <row r="3696" spans="1:10" x14ac:dyDescent="0.25">
      <c r="A3696">
        <v>308547</v>
      </c>
      <c r="B3696" t="s">
        <v>3865</v>
      </c>
      <c r="C3696" t="str">
        <f>"9780415412131"</f>
        <v>9780415412131</v>
      </c>
      <c r="D3696" t="str">
        <f>"9780203961292"</f>
        <v>9780203961292</v>
      </c>
      <c r="E3696" t="s">
        <v>15</v>
      </c>
      <c r="F3696" t="s">
        <v>16</v>
      </c>
      <c r="G3696" s="1">
        <v>39248</v>
      </c>
      <c r="H3696" s="1">
        <v>39318</v>
      </c>
      <c r="I3696" t="s">
        <v>12</v>
      </c>
      <c r="J3696" t="s">
        <v>14466</v>
      </c>
    </row>
    <row r="3697" spans="1:10" x14ac:dyDescent="0.25">
      <c r="A3697">
        <v>308550</v>
      </c>
      <c r="B3697" t="s">
        <v>3866</v>
      </c>
      <c r="C3697" t="str">
        <f>"9780415261999"</f>
        <v>9780415261999</v>
      </c>
      <c r="D3697" t="str">
        <f>"9780203962633"</f>
        <v>9780203962633</v>
      </c>
      <c r="E3697" t="s">
        <v>15</v>
      </c>
      <c r="F3697" t="s">
        <v>16</v>
      </c>
      <c r="G3697" s="1">
        <v>38702</v>
      </c>
      <c r="H3697" s="1">
        <v>39491</v>
      </c>
      <c r="I3697" t="s">
        <v>12</v>
      </c>
      <c r="J3697" t="s">
        <v>14467</v>
      </c>
    </row>
    <row r="3698" spans="1:10" x14ac:dyDescent="0.25">
      <c r="A3698">
        <v>308551</v>
      </c>
      <c r="B3698" t="s">
        <v>3867</v>
      </c>
      <c r="C3698" t="str">
        <f>"9780415411646"</f>
        <v>9780415411646</v>
      </c>
      <c r="D3698" t="str">
        <f>"9780203947098"</f>
        <v>9780203947098</v>
      </c>
      <c r="E3698" t="s">
        <v>15</v>
      </c>
      <c r="F3698" t="s">
        <v>16</v>
      </c>
      <c r="G3698" s="1">
        <v>39269</v>
      </c>
      <c r="H3698" s="1">
        <v>39706</v>
      </c>
      <c r="I3698" t="s">
        <v>12</v>
      </c>
      <c r="J3698" t="s">
        <v>14468</v>
      </c>
    </row>
    <row r="3699" spans="1:10" x14ac:dyDescent="0.25">
      <c r="A3699">
        <v>308556</v>
      </c>
      <c r="B3699" t="s">
        <v>3868</v>
      </c>
      <c r="C3699" t="str">
        <f>"9780415359450"</f>
        <v>9780415359450</v>
      </c>
      <c r="D3699" t="str">
        <f>"9780203007471"</f>
        <v>9780203007471</v>
      </c>
      <c r="E3699" t="s">
        <v>15</v>
      </c>
      <c r="F3699" t="s">
        <v>16</v>
      </c>
      <c r="G3699" s="1">
        <v>39255</v>
      </c>
      <c r="H3699" s="1">
        <v>39471</v>
      </c>
      <c r="I3699" t="s">
        <v>12</v>
      </c>
      <c r="J3699" t="s">
        <v>14469</v>
      </c>
    </row>
    <row r="3700" spans="1:10" x14ac:dyDescent="0.25">
      <c r="A3700">
        <v>308557</v>
      </c>
      <c r="B3700" t="s">
        <v>3869</v>
      </c>
      <c r="C3700" t="str">
        <f>"9780415422833"</f>
        <v>9780415422833</v>
      </c>
      <c r="D3700" t="str">
        <f>"9780203962596"</f>
        <v>9780203962596</v>
      </c>
      <c r="E3700" t="s">
        <v>15</v>
      </c>
      <c r="F3700" t="s">
        <v>16</v>
      </c>
      <c r="G3700" s="1">
        <v>39251</v>
      </c>
      <c r="H3700" s="1">
        <v>39326</v>
      </c>
      <c r="I3700" t="s">
        <v>12</v>
      </c>
      <c r="J3700" t="s">
        <v>14470</v>
      </c>
    </row>
    <row r="3701" spans="1:10" x14ac:dyDescent="0.25">
      <c r="A3701">
        <v>308558</v>
      </c>
      <c r="B3701" t="s">
        <v>3870</v>
      </c>
      <c r="C3701" t="str">
        <f>"9780415223379"</f>
        <v>9780415223379</v>
      </c>
      <c r="D3701" t="str">
        <f>"9780203946701"</f>
        <v>9780203946701</v>
      </c>
      <c r="E3701" t="s">
        <v>15</v>
      </c>
      <c r="F3701" t="s">
        <v>16</v>
      </c>
      <c r="G3701" s="1">
        <v>39314</v>
      </c>
      <c r="H3701" s="1">
        <v>39346</v>
      </c>
      <c r="I3701" t="s">
        <v>12</v>
      </c>
      <c r="J3701" t="s">
        <v>14471</v>
      </c>
    </row>
    <row r="3702" spans="1:10" x14ac:dyDescent="0.25">
      <c r="A3702">
        <v>308562</v>
      </c>
      <c r="B3702" t="s">
        <v>3871</v>
      </c>
      <c r="C3702" t="str">
        <f>"9780415399937"</f>
        <v>9780415399937</v>
      </c>
      <c r="D3702" t="str">
        <f>"9780203936108"</f>
        <v>9780203936108</v>
      </c>
      <c r="E3702" t="s">
        <v>15</v>
      </c>
      <c r="F3702" t="s">
        <v>16</v>
      </c>
      <c r="G3702" s="1">
        <v>39308</v>
      </c>
      <c r="H3702" s="1">
        <v>39706</v>
      </c>
      <c r="I3702" t="s">
        <v>12</v>
      </c>
      <c r="J3702" t="s">
        <v>14472</v>
      </c>
    </row>
    <row r="3703" spans="1:10" x14ac:dyDescent="0.25">
      <c r="A3703">
        <v>308566</v>
      </c>
      <c r="B3703" t="s">
        <v>3872</v>
      </c>
      <c r="C3703" t="str">
        <f>"9780415413831"</f>
        <v>9780415413831</v>
      </c>
      <c r="D3703" t="str">
        <f>"9780203946152"</f>
        <v>9780203946152</v>
      </c>
      <c r="E3703" t="s">
        <v>15</v>
      </c>
      <c r="F3703" t="s">
        <v>16</v>
      </c>
      <c r="G3703" s="1">
        <v>39323</v>
      </c>
      <c r="H3703" s="1">
        <v>39346</v>
      </c>
      <c r="I3703" t="s">
        <v>12</v>
      </c>
      <c r="J3703" t="s">
        <v>14473</v>
      </c>
    </row>
    <row r="3704" spans="1:10" x14ac:dyDescent="0.25">
      <c r="A3704">
        <v>308568</v>
      </c>
      <c r="B3704" t="s">
        <v>3873</v>
      </c>
      <c r="C3704" t="str">
        <f>"9780415324557"</f>
        <v>9780415324557</v>
      </c>
      <c r="D3704" t="str">
        <f>"9780203356944"</f>
        <v>9780203356944</v>
      </c>
      <c r="E3704" t="s">
        <v>15</v>
      </c>
      <c r="F3704" t="s">
        <v>16</v>
      </c>
      <c r="G3704" s="1">
        <v>38737</v>
      </c>
      <c r="H3704" s="1">
        <v>39491</v>
      </c>
      <c r="I3704" t="s">
        <v>12</v>
      </c>
      <c r="J3704" t="s">
        <v>14474</v>
      </c>
    </row>
    <row r="3705" spans="1:10" x14ac:dyDescent="0.25">
      <c r="A3705">
        <v>308576</v>
      </c>
      <c r="B3705" t="s">
        <v>3874</v>
      </c>
      <c r="C3705" t="str">
        <f>"9780415417006"</f>
        <v>9780415417006</v>
      </c>
      <c r="D3705" t="str">
        <f>"9780203944912"</f>
        <v>9780203944912</v>
      </c>
      <c r="E3705" t="s">
        <v>15</v>
      </c>
      <c r="F3705" t="s">
        <v>16</v>
      </c>
      <c r="G3705" s="1">
        <v>39279</v>
      </c>
      <c r="H3705" s="1">
        <v>39706</v>
      </c>
      <c r="I3705" t="s">
        <v>12</v>
      </c>
      <c r="J3705" t="s">
        <v>14475</v>
      </c>
    </row>
    <row r="3706" spans="1:10" x14ac:dyDescent="0.25">
      <c r="A3706">
        <v>308577</v>
      </c>
      <c r="B3706" t="s">
        <v>3875</v>
      </c>
      <c r="C3706" t="str">
        <f>"9780415340953"</f>
        <v>9780415340953</v>
      </c>
      <c r="D3706" t="str">
        <f>"9780203463345"</f>
        <v>9780203463345</v>
      </c>
      <c r="E3706" t="s">
        <v>15</v>
      </c>
      <c r="F3706" t="s">
        <v>16</v>
      </c>
      <c r="G3706" s="1">
        <v>39269</v>
      </c>
      <c r="H3706" s="1">
        <v>39703</v>
      </c>
      <c r="I3706" t="s">
        <v>12</v>
      </c>
      <c r="J3706" t="s">
        <v>14476</v>
      </c>
    </row>
    <row r="3707" spans="1:10" x14ac:dyDescent="0.25">
      <c r="A3707">
        <v>308578</v>
      </c>
      <c r="B3707" t="s">
        <v>3876</v>
      </c>
      <c r="C3707" t="str">
        <f>"9780415415736"</f>
        <v>9780415415736</v>
      </c>
      <c r="D3707" t="str">
        <f>"9780203945858"</f>
        <v>9780203945858</v>
      </c>
      <c r="E3707" t="s">
        <v>15</v>
      </c>
      <c r="F3707" t="s">
        <v>16</v>
      </c>
      <c r="G3707" s="1">
        <v>39314</v>
      </c>
      <c r="H3707" s="1">
        <v>39703</v>
      </c>
      <c r="I3707" t="s">
        <v>12</v>
      </c>
      <c r="J3707" t="s">
        <v>14477</v>
      </c>
    </row>
    <row r="3708" spans="1:10" x14ac:dyDescent="0.25">
      <c r="A3708">
        <v>308584</v>
      </c>
      <c r="B3708" t="s">
        <v>3877</v>
      </c>
      <c r="C3708" t="str">
        <f>"9780415414104"</f>
        <v>9780415414104</v>
      </c>
      <c r="D3708" t="str">
        <f>"9780203946800"</f>
        <v>9780203946800</v>
      </c>
      <c r="E3708" t="s">
        <v>15</v>
      </c>
      <c r="F3708" t="s">
        <v>16</v>
      </c>
      <c r="G3708" s="1">
        <v>39317</v>
      </c>
      <c r="H3708" s="1">
        <v>39346</v>
      </c>
      <c r="I3708" t="s">
        <v>12</v>
      </c>
      <c r="J3708" t="s">
        <v>14478</v>
      </c>
    </row>
    <row r="3709" spans="1:10" x14ac:dyDescent="0.25">
      <c r="A3709">
        <v>308585</v>
      </c>
      <c r="B3709" t="s">
        <v>3878</v>
      </c>
      <c r="C3709" t="str">
        <f>"9780415332781"</f>
        <v>9780415332781</v>
      </c>
      <c r="D3709" t="str">
        <f>"9780203401378"</f>
        <v>9780203401378</v>
      </c>
      <c r="E3709" t="s">
        <v>15</v>
      </c>
      <c r="F3709" t="s">
        <v>16</v>
      </c>
      <c r="G3709" s="1">
        <v>39077</v>
      </c>
      <c r="H3709" s="1">
        <v>39318</v>
      </c>
      <c r="I3709" t="s">
        <v>12</v>
      </c>
      <c r="J3709" t="s">
        <v>14479</v>
      </c>
    </row>
    <row r="3710" spans="1:10" x14ac:dyDescent="0.25">
      <c r="A3710">
        <v>308589</v>
      </c>
      <c r="B3710" t="s">
        <v>3879</v>
      </c>
      <c r="C3710" t="str">
        <f>"9780415417365"</f>
        <v>9780415417365</v>
      </c>
      <c r="D3710" t="str">
        <f>"9780203961926"</f>
        <v>9780203961926</v>
      </c>
      <c r="E3710" t="s">
        <v>15</v>
      </c>
      <c r="F3710" t="s">
        <v>16</v>
      </c>
      <c r="G3710" s="1">
        <v>39205</v>
      </c>
      <c r="H3710" s="1">
        <v>39318</v>
      </c>
      <c r="I3710" t="s">
        <v>12</v>
      </c>
      <c r="J3710" t="s">
        <v>14480</v>
      </c>
    </row>
    <row r="3711" spans="1:10" x14ac:dyDescent="0.25">
      <c r="A3711">
        <v>308599</v>
      </c>
      <c r="B3711" t="s">
        <v>3880</v>
      </c>
      <c r="C3711" t="str">
        <f>"9781583918081"</f>
        <v>9781583918081</v>
      </c>
      <c r="D3711" t="str">
        <f>"9780203960882"</f>
        <v>9780203960882</v>
      </c>
      <c r="E3711" t="s">
        <v>15</v>
      </c>
      <c r="F3711" t="s">
        <v>16</v>
      </c>
      <c r="G3711" s="1">
        <v>39314</v>
      </c>
      <c r="H3711" s="1">
        <v>39703</v>
      </c>
      <c r="I3711" t="s">
        <v>12</v>
      </c>
      <c r="J3711" t="s">
        <v>14481</v>
      </c>
    </row>
    <row r="3712" spans="1:10" x14ac:dyDescent="0.25">
      <c r="A3712">
        <v>308603</v>
      </c>
      <c r="B3712" t="s">
        <v>3881</v>
      </c>
      <c r="C3712" t="str">
        <f>"9780415392846"</f>
        <v>9780415392846</v>
      </c>
      <c r="D3712" t="str">
        <f>"9780203956939"</f>
        <v>9780203956939</v>
      </c>
      <c r="E3712" t="s">
        <v>15</v>
      </c>
      <c r="F3712" t="s">
        <v>16</v>
      </c>
      <c r="G3712" s="1">
        <v>39297</v>
      </c>
      <c r="H3712" s="1">
        <v>39703</v>
      </c>
      <c r="I3712" t="s">
        <v>12</v>
      </c>
      <c r="J3712" t="s">
        <v>14482</v>
      </c>
    </row>
    <row r="3713" spans="1:10" x14ac:dyDescent="0.25">
      <c r="A3713">
        <v>308609</v>
      </c>
      <c r="B3713" t="s">
        <v>3882</v>
      </c>
      <c r="C3713" t="str">
        <f>"9780415331159"</f>
        <v>9780415331159</v>
      </c>
      <c r="D3713" t="str">
        <f>"9780203392362"</f>
        <v>9780203392362</v>
      </c>
      <c r="E3713" t="s">
        <v>15</v>
      </c>
      <c r="F3713" t="s">
        <v>16</v>
      </c>
      <c r="G3713" s="1">
        <v>38604</v>
      </c>
      <c r="H3713" s="1">
        <v>41052</v>
      </c>
      <c r="I3713" t="s">
        <v>12</v>
      </c>
      <c r="J3713" t="s">
        <v>14483</v>
      </c>
    </row>
    <row r="3714" spans="1:10" x14ac:dyDescent="0.25">
      <c r="A3714">
        <v>308611</v>
      </c>
      <c r="B3714" t="s">
        <v>3883</v>
      </c>
      <c r="C3714" t="str">
        <f>"9780415396622"</f>
        <v>9780415396622</v>
      </c>
      <c r="D3714" t="str">
        <f>"9780203939550"</f>
        <v>9780203939550</v>
      </c>
      <c r="E3714" t="s">
        <v>15</v>
      </c>
      <c r="F3714" t="s">
        <v>16</v>
      </c>
      <c r="G3714" s="1">
        <v>39175</v>
      </c>
      <c r="H3714" s="1">
        <v>39318</v>
      </c>
      <c r="I3714" t="s">
        <v>12</v>
      </c>
      <c r="J3714" t="s">
        <v>14484</v>
      </c>
    </row>
    <row r="3715" spans="1:10" x14ac:dyDescent="0.25">
      <c r="A3715">
        <v>308617</v>
      </c>
      <c r="B3715" t="s">
        <v>3884</v>
      </c>
      <c r="C3715" t="str">
        <f>"9780415421027"</f>
        <v>9780415421027</v>
      </c>
      <c r="D3715" t="str">
        <f>"9780203946220"</f>
        <v>9780203946220</v>
      </c>
      <c r="E3715" t="s">
        <v>15</v>
      </c>
      <c r="F3715" t="s">
        <v>16</v>
      </c>
      <c r="G3715" s="1">
        <v>39323</v>
      </c>
      <c r="H3715" s="1">
        <v>39706</v>
      </c>
      <c r="I3715" t="s">
        <v>12</v>
      </c>
      <c r="J3715" t="s">
        <v>14485</v>
      </c>
    </row>
    <row r="3716" spans="1:10" x14ac:dyDescent="0.25">
      <c r="A3716">
        <v>308619</v>
      </c>
      <c r="B3716" t="s">
        <v>3885</v>
      </c>
      <c r="C3716" t="str">
        <f>"9780415379052"</f>
        <v>9780415379052</v>
      </c>
      <c r="D3716" t="str">
        <f>"9780203946268"</f>
        <v>9780203946268</v>
      </c>
      <c r="E3716" t="s">
        <v>16</v>
      </c>
      <c r="F3716" t="s">
        <v>16</v>
      </c>
      <c r="G3716" s="1">
        <v>39300</v>
      </c>
      <c r="H3716" s="1">
        <v>39706</v>
      </c>
      <c r="I3716" t="s">
        <v>12</v>
      </c>
      <c r="J3716" t="s">
        <v>14486</v>
      </c>
    </row>
    <row r="3717" spans="1:10" x14ac:dyDescent="0.25">
      <c r="A3717">
        <v>308631</v>
      </c>
      <c r="B3717" t="s">
        <v>3886</v>
      </c>
      <c r="C3717" t="str">
        <f>"9780415411868"</f>
        <v>9780415411868</v>
      </c>
      <c r="D3717" t="str">
        <f>"9780203960899"</f>
        <v>9780203960899</v>
      </c>
      <c r="E3717" t="s">
        <v>15</v>
      </c>
      <c r="F3717" t="s">
        <v>16</v>
      </c>
      <c r="G3717" s="1">
        <v>39239</v>
      </c>
      <c r="H3717" s="1">
        <v>39318</v>
      </c>
      <c r="I3717" t="s">
        <v>12</v>
      </c>
      <c r="J3717" t="s">
        <v>14487</v>
      </c>
    </row>
    <row r="3718" spans="1:10" x14ac:dyDescent="0.25">
      <c r="A3718">
        <v>308641</v>
      </c>
      <c r="B3718" t="s">
        <v>3887</v>
      </c>
      <c r="C3718" t="str">
        <f>"9780415412575"</f>
        <v>9780415412575</v>
      </c>
      <c r="D3718" t="str">
        <f>"9780203964392"</f>
        <v>9780203964392</v>
      </c>
      <c r="E3718" t="s">
        <v>15</v>
      </c>
      <c r="F3718" t="s">
        <v>16</v>
      </c>
      <c r="G3718" s="1">
        <v>39188</v>
      </c>
      <c r="H3718" s="1">
        <v>39318</v>
      </c>
      <c r="I3718" t="s">
        <v>12</v>
      </c>
      <c r="J3718" t="s">
        <v>14488</v>
      </c>
    </row>
    <row r="3719" spans="1:10" x14ac:dyDescent="0.25">
      <c r="A3719">
        <v>308642</v>
      </c>
      <c r="B3719" t="s">
        <v>3888</v>
      </c>
      <c r="C3719" t="str">
        <f>"9780415402699"</f>
        <v>9780415402699</v>
      </c>
      <c r="D3719" t="str">
        <f>"9780203947463"</f>
        <v>9780203947463</v>
      </c>
      <c r="E3719" t="s">
        <v>15</v>
      </c>
      <c r="F3719" t="s">
        <v>16</v>
      </c>
      <c r="G3719" s="1">
        <v>39254</v>
      </c>
      <c r="H3719" s="1">
        <v>39318</v>
      </c>
      <c r="I3719" t="s">
        <v>12</v>
      </c>
      <c r="J3719" t="s">
        <v>14489</v>
      </c>
    </row>
    <row r="3720" spans="1:10" x14ac:dyDescent="0.25">
      <c r="A3720">
        <v>308645</v>
      </c>
      <c r="B3720" t="s">
        <v>3889</v>
      </c>
      <c r="C3720" t="str">
        <f>"9780415431347"</f>
        <v>9780415431347</v>
      </c>
      <c r="D3720" t="str">
        <f>"9780203960981"</f>
        <v>9780203960981</v>
      </c>
      <c r="E3720" t="s">
        <v>15</v>
      </c>
      <c r="F3720" t="s">
        <v>16</v>
      </c>
      <c r="G3720" s="1">
        <v>39279</v>
      </c>
      <c r="H3720" s="1">
        <v>39703</v>
      </c>
      <c r="I3720" t="s">
        <v>12</v>
      </c>
      <c r="J3720" t="s">
        <v>14490</v>
      </c>
    </row>
    <row r="3721" spans="1:10" x14ac:dyDescent="0.25">
      <c r="A3721">
        <v>308646</v>
      </c>
      <c r="B3721" t="s">
        <v>3890</v>
      </c>
      <c r="C3721" t="str">
        <f>"9780415424004"</f>
        <v>9780415424004</v>
      </c>
      <c r="D3721" t="str">
        <f>"9780203963661"</f>
        <v>9780203963661</v>
      </c>
      <c r="E3721" t="s">
        <v>15</v>
      </c>
      <c r="F3721" t="s">
        <v>16</v>
      </c>
      <c r="G3721" s="1">
        <v>39225</v>
      </c>
      <c r="H3721" s="1">
        <v>39703</v>
      </c>
      <c r="I3721" t="s">
        <v>12</v>
      </c>
      <c r="J3721" t="s">
        <v>14491</v>
      </c>
    </row>
    <row r="3722" spans="1:10" x14ac:dyDescent="0.25">
      <c r="A3722">
        <v>308648</v>
      </c>
      <c r="B3722" t="s">
        <v>3891</v>
      </c>
      <c r="C3722" t="str">
        <f>"9780415339841"</f>
        <v>9780415339841</v>
      </c>
      <c r="D3722" t="str">
        <f>"9780203461884"</f>
        <v>9780203461884</v>
      </c>
      <c r="E3722" t="s">
        <v>15</v>
      </c>
      <c r="F3722" t="s">
        <v>16</v>
      </c>
      <c r="G3722" s="1">
        <v>39343</v>
      </c>
      <c r="H3722" s="1">
        <v>39921</v>
      </c>
      <c r="I3722" t="s">
        <v>12</v>
      </c>
      <c r="J3722" t="s">
        <v>14492</v>
      </c>
    </row>
    <row r="3723" spans="1:10" x14ac:dyDescent="0.25">
      <c r="A3723">
        <v>308655</v>
      </c>
      <c r="B3723" t="s">
        <v>3892</v>
      </c>
      <c r="C3723" t="str">
        <f>"9780415403603"</f>
        <v>9780415403603</v>
      </c>
      <c r="D3723" t="str">
        <f>"9780203961322"</f>
        <v>9780203961322</v>
      </c>
      <c r="E3723" t="s">
        <v>15</v>
      </c>
      <c r="F3723" t="s">
        <v>16</v>
      </c>
      <c r="G3723" s="1">
        <v>39247</v>
      </c>
      <c r="H3723" s="1">
        <v>39326</v>
      </c>
      <c r="I3723" t="s">
        <v>12</v>
      </c>
      <c r="J3723" t="s">
        <v>14493</v>
      </c>
    </row>
    <row r="3724" spans="1:10" x14ac:dyDescent="0.25">
      <c r="A3724">
        <v>308658</v>
      </c>
      <c r="B3724" t="s">
        <v>3893</v>
      </c>
      <c r="C3724" t="str">
        <f>"9780415097550"</f>
        <v>9780415097550</v>
      </c>
      <c r="D3724" t="str">
        <f>"9780203967546"</f>
        <v>9780203967546</v>
      </c>
      <c r="E3724" t="s">
        <v>15</v>
      </c>
      <c r="F3724" t="s">
        <v>16</v>
      </c>
      <c r="G3724" s="1">
        <v>39248</v>
      </c>
      <c r="H3724" s="1">
        <v>39318</v>
      </c>
      <c r="I3724" t="s">
        <v>12</v>
      </c>
      <c r="J3724" t="s">
        <v>14494</v>
      </c>
    </row>
    <row r="3725" spans="1:10" x14ac:dyDescent="0.25">
      <c r="A3725">
        <v>308660</v>
      </c>
      <c r="B3725" t="s">
        <v>3894</v>
      </c>
      <c r="C3725" t="str">
        <f>"9780415772198"</f>
        <v>9780415772198</v>
      </c>
      <c r="D3725" t="str">
        <f>"9780203946992"</f>
        <v>9780203946992</v>
      </c>
      <c r="E3725" t="s">
        <v>15</v>
      </c>
      <c r="F3725" t="s">
        <v>16</v>
      </c>
      <c r="G3725" s="1">
        <v>39280</v>
      </c>
      <c r="H3725" s="1">
        <v>39318</v>
      </c>
      <c r="I3725" t="s">
        <v>12</v>
      </c>
      <c r="J3725" t="s">
        <v>14495</v>
      </c>
    </row>
    <row r="3726" spans="1:10" x14ac:dyDescent="0.25">
      <c r="A3726">
        <v>308665</v>
      </c>
      <c r="B3726" t="s">
        <v>3895</v>
      </c>
      <c r="C3726" t="str">
        <f>"9780415359719"</f>
        <v>9780415359719</v>
      </c>
      <c r="D3726" t="str">
        <f>"9780203945957"</f>
        <v>9780203945957</v>
      </c>
      <c r="E3726" t="s">
        <v>15</v>
      </c>
      <c r="F3726" t="s">
        <v>16</v>
      </c>
      <c r="G3726" s="1">
        <v>39308</v>
      </c>
      <c r="H3726" s="1">
        <v>39706</v>
      </c>
      <c r="I3726" t="s">
        <v>12</v>
      </c>
      <c r="J3726" t="s">
        <v>14496</v>
      </c>
    </row>
    <row r="3727" spans="1:10" x14ac:dyDescent="0.25">
      <c r="A3727">
        <v>308666</v>
      </c>
      <c r="B3727" t="s">
        <v>3896</v>
      </c>
      <c r="C3727" t="str">
        <f>"9780415391689"</f>
        <v>9780415391689</v>
      </c>
      <c r="D3727" t="str">
        <f>"9780203967522"</f>
        <v>9780203967522</v>
      </c>
      <c r="E3727" t="s">
        <v>15</v>
      </c>
      <c r="F3727" t="s">
        <v>16</v>
      </c>
      <c r="G3727" s="1">
        <v>39314</v>
      </c>
      <c r="H3727" s="1">
        <v>39703</v>
      </c>
      <c r="I3727" t="s">
        <v>12</v>
      </c>
      <c r="J3727" t="s">
        <v>14497</v>
      </c>
    </row>
    <row r="3728" spans="1:10" x14ac:dyDescent="0.25">
      <c r="A3728">
        <v>308673</v>
      </c>
      <c r="B3728" t="s">
        <v>3897</v>
      </c>
      <c r="C3728" t="str">
        <f>"9780415424943"</f>
        <v>9780415424943</v>
      </c>
      <c r="D3728" t="str">
        <f>"9780203945292"</f>
        <v>9780203945292</v>
      </c>
      <c r="E3728" t="s">
        <v>15</v>
      </c>
      <c r="F3728" t="s">
        <v>16</v>
      </c>
      <c r="G3728" s="1">
        <v>39282</v>
      </c>
      <c r="H3728" s="1">
        <v>39703</v>
      </c>
      <c r="I3728" t="s">
        <v>12</v>
      </c>
      <c r="J3728" t="s">
        <v>14498</v>
      </c>
    </row>
    <row r="3729" spans="1:10" x14ac:dyDescent="0.25">
      <c r="A3729">
        <v>308674</v>
      </c>
      <c r="B3729" t="s">
        <v>3898</v>
      </c>
      <c r="C3729" t="str">
        <f>"9780415401395"</f>
        <v>9780415401395</v>
      </c>
      <c r="D3729" t="str">
        <f>"9780203966549"</f>
        <v>9780203966549</v>
      </c>
      <c r="E3729" t="s">
        <v>15</v>
      </c>
      <c r="F3729" t="s">
        <v>16</v>
      </c>
      <c r="G3729" s="1">
        <v>39297</v>
      </c>
      <c r="H3729" s="1">
        <v>39706</v>
      </c>
      <c r="I3729" t="s">
        <v>12</v>
      </c>
      <c r="J3729" t="s">
        <v>14499</v>
      </c>
    </row>
    <row r="3730" spans="1:10" x14ac:dyDescent="0.25">
      <c r="A3730">
        <v>308675</v>
      </c>
      <c r="B3730" t="s">
        <v>3899</v>
      </c>
      <c r="C3730" t="str">
        <f>"9780415413374"</f>
        <v>9780415413374</v>
      </c>
      <c r="D3730" t="str">
        <f>"9780203946930"</f>
        <v>9780203946930</v>
      </c>
      <c r="E3730" t="s">
        <v>15</v>
      </c>
      <c r="F3730" t="s">
        <v>16</v>
      </c>
      <c r="G3730" s="1">
        <v>39308</v>
      </c>
      <c r="H3730" s="1">
        <v>39703</v>
      </c>
      <c r="I3730" t="s">
        <v>12</v>
      </c>
      <c r="J3730" t="s">
        <v>14500</v>
      </c>
    </row>
    <row r="3731" spans="1:10" x14ac:dyDescent="0.25">
      <c r="A3731">
        <v>308676</v>
      </c>
      <c r="B3731" t="s">
        <v>3900</v>
      </c>
      <c r="C3731" t="str">
        <f>"9780415366847"</f>
        <v>9780415366847</v>
      </c>
      <c r="D3731" t="str">
        <f>"9780203019450"</f>
        <v>9780203019450</v>
      </c>
      <c r="E3731" t="s">
        <v>15</v>
      </c>
      <c r="F3731" t="s">
        <v>16</v>
      </c>
      <c r="G3731" s="1">
        <v>39325</v>
      </c>
      <c r="H3731" s="1">
        <v>39346</v>
      </c>
      <c r="I3731" t="s">
        <v>12</v>
      </c>
      <c r="J3731" t="s">
        <v>14501</v>
      </c>
    </row>
    <row r="3732" spans="1:10" x14ac:dyDescent="0.25">
      <c r="A3732">
        <v>308678</v>
      </c>
      <c r="B3732" t="s">
        <v>3901</v>
      </c>
      <c r="C3732" t="str">
        <f>"9780415363211"</f>
        <v>9780415363211</v>
      </c>
      <c r="D3732" t="str">
        <f>"9780203013595"</f>
        <v>9780203013595</v>
      </c>
      <c r="E3732" t="s">
        <v>15</v>
      </c>
      <c r="F3732" t="s">
        <v>16</v>
      </c>
      <c r="G3732" s="1">
        <v>39349</v>
      </c>
      <c r="H3732" s="1">
        <v>39346</v>
      </c>
      <c r="I3732" t="s">
        <v>12</v>
      </c>
      <c r="J3732" t="s">
        <v>14502</v>
      </c>
    </row>
    <row r="3733" spans="1:10" x14ac:dyDescent="0.25">
      <c r="A3733">
        <v>308679</v>
      </c>
      <c r="B3733" t="s">
        <v>3902</v>
      </c>
      <c r="C3733" t="str">
        <f>"9781583917855"</f>
        <v>9781583917855</v>
      </c>
      <c r="D3733" t="str">
        <f>"9780203086025"</f>
        <v>9780203086025</v>
      </c>
      <c r="E3733" t="s">
        <v>15</v>
      </c>
      <c r="F3733" t="s">
        <v>16</v>
      </c>
      <c r="G3733" s="1">
        <v>38702</v>
      </c>
      <c r="H3733" s="1">
        <v>39491</v>
      </c>
      <c r="I3733" t="s">
        <v>12</v>
      </c>
      <c r="J3733" t="s">
        <v>14503</v>
      </c>
    </row>
    <row r="3734" spans="1:10" x14ac:dyDescent="0.25">
      <c r="A3734">
        <v>308681</v>
      </c>
      <c r="B3734" t="s">
        <v>3903</v>
      </c>
      <c r="C3734" t="str">
        <f>"9780415362559"</f>
        <v>9780415362559</v>
      </c>
      <c r="D3734" t="str">
        <f>"9780203012888"</f>
        <v>9780203012888</v>
      </c>
      <c r="E3734" t="s">
        <v>15</v>
      </c>
      <c r="F3734" t="s">
        <v>139</v>
      </c>
      <c r="G3734" s="1">
        <v>39255</v>
      </c>
      <c r="H3734" s="1">
        <v>39318</v>
      </c>
      <c r="I3734" t="s">
        <v>12</v>
      </c>
      <c r="J3734" t="s">
        <v>14504</v>
      </c>
    </row>
    <row r="3735" spans="1:10" x14ac:dyDescent="0.25">
      <c r="A3735">
        <v>308685</v>
      </c>
      <c r="B3735" t="s">
        <v>3904</v>
      </c>
      <c r="C3735" t="str">
        <f>"9780415408738"</f>
        <v>9780415408738</v>
      </c>
      <c r="D3735" t="str">
        <f>"9780203961681"</f>
        <v>9780203961681</v>
      </c>
      <c r="E3735" t="s">
        <v>15</v>
      </c>
      <c r="F3735" t="s">
        <v>16</v>
      </c>
      <c r="G3735" s="1">
        <v>39191</v>
      </c>
      <c r="H3735" s="1">
        <v>39326</v>
      </c>
      <c r="I3735" t="s">
        <v>12</v>
      </c>
      <c r="J3735" t="s">
        <v>14505</v>
      </c>
    </row>
    <row r="3736" spans="1:10" x14ac:dyDescent="0.25">
      <c r="A3736">
        <v>308686</v>
      </c>
      <c r="B3736" t="s">
        <v>3905</v>
      </c>
      <c r="C3736" t="str">
        <f>"9780415374101"</f>
        <v>9780415374101</v>
      </c>
      <c r="D3736" t="str">
        <f>"9780203029053"</f>
        <v>9780203029053</v>
      </c>
      <c r="E3736" t="s">
        <v>15</v>
      </c>
      <c r="F3736" t="s">
        <v>16</v>
      </c>
      <c r="G3736" s="1">
        <v>39209</v>
      </c>
      <c r="H3736" s="1">
        <v>39318</v>
      </c>
      <c r="I3736" t="s">
        <v>12</v>
      </c>
      <c r="J3736" t="s">
        <v>14506</v>
      </c>
    </row>
    <row r="3737" spans="1:10" x14ac:dyDescent="0.25">
      <c r="A3737">
        <v>308687</v>
      </c>
      <c r="B3737" t="s">
        <v>3906</v>
      </c>
      <c r="C3737" t="str">
        <f>"9780415396042"</f>
        <v>9780415396042</v>
      </c>
      <c r="D3737" t="str">
        <f>"9780203944769"</f>
        <v>9780203944769</v>
      </c>
      <c r="E3737" t="s">
        <v>16</v>
      </c>
      <c r="F3737" t="s">
        <v>16</v>
      </c>
      <c r="G3737" s="1">
        <v>39259</v>
      </c>
      <c r="H3737" s="1">
        <v>39703</v>
      </c>
      <c r="I3737" t="s">
        <v>12</v>
      </c>
      <c r="J3737" t="s">
        <v>14507</v>
      </c>
    </row>
    <row r="3738" spans="1:10" x14ac:dyDescent="0.25">
      <c r="A3738">
        <v>308693</v>
      </c>
      <c r="B3738" t="s">
        <v>3907</v>
      </c>
      <c r="C3738" t="str">
        <f>"9780415390835"</f>
        <v>9780415390835</v>
      </c>
      <c r="D3738" t="str">
        <f>"9780203947111"</f>
        <v>9780203947111</v>
      </c>
      <c r="E3738" t="s">
        <v>16</v>
      </c>
      <c r="F3738" t="s">
        <v>16</v>
      </c>
      <c r="G3738" s="1">
        <v>39252</v>
      </c>
      <c r="H3738" s="1">
        <v>39377</v>
      </c>
      <c r="I3738" t="s">
        <v>12</v>
      </c>
      <c r="J3738" t="s">
        <v>14508</v>
      </c>
    </row>
    <row r="3739" spans="1:10" x14ac:dyDescent="0.25">
      <c r="A3739">
        <v>308695</v>
      </c>
      <c r="B3739" t="s">
        <v>3908</v>
      </c>
      <c r="C3739" t="str">
        <f>"9781904385325"</f>
        <v>9781904385325</v>
      </c>
      <c r="D3739" t="str">
        <f>"9780203945148"</f>
        <v>9780203945148</v>
      </c>
      <c r="E3739" t="s">
        <v>15</v>
      </c>
      <c r="F3739" t="s">
        <v>1019</v>
      </c>
      <c r="G3739" s="1">
        <v>39300</v>
      </c>
      <c r="H3739" s="1">
        <v>39703</v>
      </c>
      <c r="I3739" t="s">
        <v>12</v>
      </c>
      <c r="J3739" t="s">
        <v>14509</v>
      </c>
    </row>
    <row r="3740" spans="1:10" x14ac:dyDescent="0.25">
      <c r="A3740">
        <v>308696</v>
      </c>
      <c r="B3740" t="s">
        <v>3909</v>
      </c>
      <c r="C3740" t="str">
        <f>"9781904385455"</f>
        <v>9781904385455</v>
      </c>
      <c r="D3740" t="str">
        <f>"9780203945186"</f>
        <v>9780203945186</v>
      </c>
      <c r="E3740" t="s">
        <v>15</v>
      </c>
      <c r="F3740" t="s">
        <v>1019</v>
      </c>
      <c r="G3740" s="1">
        <v>39189</v>
      </c>
      <c r="H3740" s="1">
        <v>39318</v>
      </c>
      <c r="I3740" t="s">
        <v>12</v>
      </c>
      <c r="J3740" t="s">
        <v>14510</v>
      </c>
    </row>
    <row r="3741" spans="1:10" x14ac:dyDescent="0.25">
      <c r="A3741">
        <v>308697</v>
      </c>
      <c r="B3741" t="s">
        <v>3910</v>
      </c>
      <c r="C3741" t="str">
        <f>"9780415430654"</f>
        <v>9780415430654</v>
      </c>
      <c r="D3741" t="str">
        <f>"9780203945810"</f>
        <v>9780203945810</v>
      </c>
      <c r="E3741" t="s">
        <v>15</v>
      </c>
      <c r="F3741" t="s">
        <v>139</v>
      </c>
      <c r="G3741" s="1">
        <v>39020</v>
      </c>
      <c r="H3741" s="1">
        <v>39326</v>
      </c>
      <c r="I3741" t="s">
        <v>12</v>
      </c>
      <c r="J3741" t="s">
        <v>14511</v>
      </c>
    </row>
    <row r="3742" spans="1:10" x14ac:dyDescent="0.25">
      <c r="A3742">
        <v>308698</v>
      </c>
      <c r="B3742" t="s">
        <v>3911</v>
      </c>
      <c r="C3742" t="str">
        <f>"9780415348683"</f>
        <v>9780415348683</v>
      </c>
      <c r="D3742" t="str">
        <f>"9780203640982"</f>
        <v>9780203640982</v>
      </c>
      <c r="E3742" t="s">
        <v>144</v>
      </c>
      <c r="F3742" t="s">
        <v>153</v>
      </c>
      <c r="G3742" s="1">
        <v>38706</v>
      </c>
      <c r="H3742" s="1">
        <v>40999</v>
      </c>
      <c r="I3742" t="s">
        <v>12</v>
      </c>
      <c r="J3742" t="s">
        <v>14512</v>
      </c>
    </row>
    <row r="3743" spans="1:10" x14ac:dyDescent="0.25">
      <c r="A3743">
        <v>308699</v>
      </c>
      <c r="B3743" t="s">
        <v>3912</v>
      </c>
      <c r="C3743" t="str">
        <f>"9780415416986"</f>
        <v>9780415416986</v>
      </c>
      <c r="D3743" t="str">
        <f>"9780203946855"</f>
        <v>9780203946855</v>
      </c>
      <c r="E3743" t="s">
        <v>15</v>
      </c>
      <c r="F3743" t="s">
        <v>16</v>
      </c>
      <c r="G3743" s="1">
        <v>39314</v>
      </c>
      <c r="H3743" s="1">
        <v>39703</v>
      </c>
      <c r="I3743" t="s">
        <v>12</v>
      </c>
      <c r="J3743" t="s">
        <v>14513</v>
      </c>
    </row>
    <row r="3744" spans="1:10" x14ac:dyDescent="0.25">
      <c r="A3744">
        <v>308707</v>
      </c>
      <c r="B3744" t="s">
        <v>3913</v>
      </c>
      <c r="C3744" t="str">
        <f>"9781841696607"</f>
        <v>9781841696607</v>
      </c>
      <c r="D3744" t="str">
        <f>"9780203947487"</f>
        <v>9780203947487</v>
      </c>
      <c r="E3744" t="s">
        <v>15</v>
      </c>
      <c r="F3744" t="s">
        <v>55</v>
      </c>
      <c r="G3744" s="1">
        <v>39264</v>
      </c>
      <c r="H3744" s="1">
        <v>39706</v>
      </c>
      <c r="I3744" t="s">
        <v>12</v>
      </c>
      <c r="J3744" t="s">
        <v>14514</v>
      </c>
    </row>
    <row r="3745" spans="1:10" x14ac:dyDescent="0.25">
      <c r="A3745">
        <v>308708</v>
      </c>
      <c r="B3745" t="s">
        <v>3914</v>
      </c>
      <c r="C3745" t="str">
        <f>"9781841695884"</f>
        <v>9781841695884</v>
      </c>
      <c r="D3745" t="str">
        <f>"9780203960837"</f>
        <v>9780203960837</v>
      </c>
      <c r="E3745" t="s">
        <v>15</v>
      </c>
      <c r="F3745" t="s">
        <v>55</v>
      </c>
      <c r="G3745" s="1">
        <v>39234</v>
      </c>
      <c r="H3745" s="1">
        <v>39703</v>
      </c>
      <c r="I3745" t="s">
        <v>12</v>
      </c>
      <c r="J3745" t="s">
        <v>14515</v>
      </c>
    </row>
    <row r="3746" spans="1:10" x14ac:dyDescent="0.25">
      <c r="A3746">
        <v>308709</v>
      </c>
      <c r="B3746" t="s">
        <v>3915</v>
      </c>
      <c r="C3746" t="str">
        <f>"9780419258308"</f>
        <v>9780419258308</v>
      </c>
      <c r="D3746" t="str">
        <f>"9781135801939"</f>
        <v>9781135801939</v>
      </c>
      <c r="E3746" t="s">
        <v>15</v>
      </c>
      <c r="F3746" t="s">
        <v>139</v>
      </c>
      <c r="G3746" s="1">
        <v>39337</v>
      </c>
      <c r="H3746" s="1">
        <v>39703</v>
      </c>
      <c r="I3746" t="s">
        <v>12</v>
      </c>
      <c r="J3746" t="s">
        <v>14516</v>
      </c>
    </row>
    <row r="3747" spans="1:10" x14ac:dyDescent="0.25">
      <c r="A3747">
        <v>308710</v>
      </c>
      <c r="B3747" t="s">
        <v>3916</v>
      </c>
      <c r="C3747" t="str">
        <f>"9780415772778"</f>
        <v>9780415772778</v>
      </c>
      <c r="D3747" t="str">
        <f>"9780203946480"</f>
        <v>9780203946480</v>
      </c>
      <c r="E3747" t="s">
        <v>15</v>
      </c>
      <c r="F3747" t="s">
        <v>16</v>
      </c>
      <c r="G3747" s="1">
        <v>35845</v>
      </c>
      <c r="H3747" s="1">
        <v>42059</v>
      </c>
      <c r="I3747" t="s">
        <v>12</v>
      </c>
      <c r="J3747" t="s">
        <v>14517</v>
      </c>
    </row>
    <row r="3748" spans="1:10" x14ac:dyDescent="0.25">
      <c r="A3748">
        <v>308713</v>
      </c>
      <c r="B3748" t="s">
        <v>3917</v>
      </c>
      <c r="C3748" t="str">
        <f>"9780415400633"</f>
        <v>9780415400633</v>
      </c>
      <c r="D3748" t="str">
        <f>"9780203940648"</f>
        <v>9780203940648</v>
      </c>
      <c r="E3748" t="s">
        <v>15</v>
      </c>
      <c r="F3748" t="s">
        <v>16</v>
      </c>
      <c r="G3748" s="1">
        <v>39323</v>
      </c>
      <c r="H3748" s="1">
        <v>41877</v>
      </c>
      <c r="I3748" t="s">
        <v>12</v>
      </c>
      <c r="J3748" t="s">
        <v>14518</v>
      </c>
    </row>
    <row r="3749" spans="1:10" x14ac:dyDescent="0.25">
      <c r="A3749">
        <v>308718</v>
      </c>
      <c r="B3749" t="s">
        <v>3918</v>
      </c>
      <c r="C3749" t="str">
        <f>"9780415322164"</f>
        <v>9780415322164</v>
      </c>
      <c r="D3749" t="str">
        <f>"9780203417034"</f>
        <v>9780203417034</v>
      </c>
      <c r="E3749" t="s">
        <v>15</v>
      </c>
      <c r="F3749" t="s">
        <v>16</v>
      </c>
      <c r="G3749" s="1">
        <v>39219</v>
      </c>
      <c r="H3749" s="1">
        <v>39318</v>
      </c>
      <c r="I3749" t="s">
        <v>12</v>
      </c>
      <c r="J3749" t="s">
        <v>14519</v>
      </c>
    </row>
    <row r="3750" spans="1:10" x14ac:dyDescent="0.25">
      <c r="A3750">
        <v>308719</v>
      </c>
      <c r="B3750" t="s">
        <v>3919</v>
      </c>
      <c r="C3750" t="str">
        <f>"9780415385756"</f>
        <v>9780415385756</v>
      </c>
      <c r="D3750" t="str">
        <f>"9780203966075"</f>
        <v>9780203966075</v>
      </c>
      <c r="E3750" t="s">
        <v>15</v>
      </c>
      <c r="F3750" t="s">
        <v>16</v>
      </c>
      <c r="G3750" s="1">
        <v>39252</v>
      </c>
      <c r="H3750" s="1">
        <v>39318</v>
      </c>
      <c r="I3750" t="s">
        <v>12</v>
      </c>
      <c r="J3750" t="s">
        <v>14520</v>
      </c>
    </row>
    <row r="3751" spans="1:10" x14ac:dyDescent="0.25">
      <c r="A3751">
        <v>308721</v>
      </c>
      <c r="B3751" t="s">
        <v>3920</v>
      </c>
      <c r="C3751" t="str">
        <f>"9780415307369"</f>
        <v>9780415307369</v>
      </c>
      <c r="D3751" t="str">
        <f>"9780203622995"</f>
        <v>9780203622995</v>
      </c>
      <c r="E3751" t="s">
        <v>15</v>
      </c>
      <c r="F3751" t="s">
        <v>16</v>
      </c>
      <c r="G3751" s="1">
        <v>39414</v>
      </c>
      <c r="H3751" s="1">
        <v>39346</v>
      </c>
      <c r="I3751" t="s">
        <v>12</v>
      </c>
      <c r="J3751" t="s">
        <v>14521</v>
      </c>
    </row>
    <row r="3752" spans="1:10" x14ac:dyDescent="0.25">
      <c r="A3752">
        <v>308725</v>
      </c>
      <c r="B3752" t="s">
        <v>3921</v>
      </c>
      <c r="C3752" t="str">
        <f>"9780415426039"</f>
        <v>9780415426039</v>
      </c>
      <c r="D3752" t="str">
        <f>"9780203946299"</f>
        <v>9780203946299</v>
      </c>
      <c r="E3752" t="s">
        <v>144</v>
      </c>
      <c r="F3752" t="s">
        <v>144</v>
      </c>
      <c r="G3752" s="1">
        <v>39212</v>
      </c>
      <c r="H3752" s="1">
        <v>39326</v>
      </c>
      <c r="I3752" t="s">
        <v>12</v>
      </c>
      <c r="J3752" t="s">
        <v>14522</v>
      </c>
    </row>
    <row r="3753" spans="1:10" x14ac:dyDescent="0.25">
      <c r="A3753">
        <v>308726</v>
      </c>
      <c r="B3753" t="s">
        <v>3922</v>
      </c>
      <c r="C3753" t="str">
        <f>"9781841695792"</f>
        <v>9781841695792</v>
      </c>
      <c r="D3753" t="str">
        <f>"9780203018774"</f>
        <v>9780203018774</v>
      </c>
      <c r="E3753" t="s">
        <v>15</v>
      </c>
      <c r="F3753" t="s">
        <v>55</v>
      </c>
      <c r="G3753" s="1">
        <v>39147</v>
      </c>
      <c r="H3753" s="1">
        <v>39318</v>
      </c>
      <c r="I3753" t="s">
        <v>12</v>
      </c>
      <c r="J3753" t="s">
        <v>14523</v>
      </c>
    </row>
    <row r="3754" spans="1:10" x14ac:dyDescent="0.25">
      <c r="A3754">
        <v>308732</v>
      </c>
      <c r="B3754" t="s">
        <v>3923</v>
      </c>
      <c r="C3754" t="str">
        <f>"9780415359603"</f>
        <v>9780415359603</v>
      </c>
      <c r="D3754" t="str">
        <f>"9780203007518"</f>
        <v>9780203007518</v>
      </c>
      <c r="E3754" t="s">
        <v>15</v>
      </c>
      <c r="F3754" t="s">
        <v>16</v>
      </c>
      <c r="G3754" s="1">
        <v>38552</v>
      </c>
      <c r="H3754" s="1">
        <v>39491</v>
      </c>
      <c r="I3754" t="s">
        <v>12</v>
      </c>
      <c r="J3754" t="s">
        <v>14524</v>
      </c>
    </row>
    <row r="3755" spans="1:10" x14ac:dyDescent="0.25">
      <c r="A3755">
        <v>308739</v>
      </c>
      <c r="B3755" t="s">
        <v>3924</v>
      </c>
      <c r="C3755" t="str">
        <f>"9780415365772"</f>
        <v>9780415365772</v>
      </c>
      <c r="D3755" t="str">
        <f>"9780203963197"</f>
        <v>9780203963197</v>
      </c>
      <c r="E3755" t="s">
        <v>15</v>
      </c>
      <c r="F3755" t="s">
        <v>16</v>
      </c>
      <c r="G3755" s="1">
        <v>39255</v>
      </c>
      <c r="H3755" s="1">
        <v>39703</v>
      </c>
      <c r="I3755" t="s">
        <v>12</v>
      </c>
      <c r="J3755" t="s">
        <v>14525</v>
      </c>
    </row>
    <row r="3756" spans="1:10" x14ac:dyDescent="0.25">
      <c r="A3756">
        <v>308746</v>
      </c>
      <c r="B3756" t="s">
        <v>3925</v>
      </c>
      <c r="C3756" t="str">
        <f>"9780415384032"</f>
        <v>9780415384032</v>
      </c>
      <c r="D3756" t="str">
        <f>"9780203099964"</f>
        <v>9780203099964</v>
      </c>
      <c r="E3756" t="s">
        <v>15</v>
      </c>
      <c r="F3756" t="s">
        <v>16</v>
      </c>
      <c r="G3756" s="1">
        <v>39234</v>
      </c>
      <c r="H3756" s="1">
        <v>41877</v>
      </c>
      <c r="I3756" t="s">
        <v>12</v>
      </c>
      <c r="J3756" t="s">
        <v>14526</v>
      </c>
    </row>
    <row r="3757" spans="1:10" x14ac:dyDescent="0.25">
      <c r="A3757">
        <v>308747</v>
      </c>
      <c r="B3757" t="s">
        <v>3926</v>
      </c>
      <c r="C3757" t="str">
        <f>"9780415254519"</f>
        <v>9780415254519</v>
      </c>
      <c r="D3757" t="str">
        <f>"9780203962060"</f>
        <v>9780203962060</v>
      </c>
      <c r="E3757" t="s">
        <v>15</v>
      </c>
      <c r="F3757" t="s">
        <v>139</v>
      </c>
      <c r="G3757" s="1">
        <v>39251</v>
      </c>
      <c r="H3757" s="1">
        <v>39318</v>
      </c>
      <c r="I3757" t="s">
        <v>12</v>
      </c>
      <c r="J3757" t="s">
        <v>14527</v>
      </c>
    </row>
    <row r="3758" spans="1:10" x14ac:dyDescent="0.25">
      <c r="A3758">
        <v>308748</v>
      </c>
      <c r="B3758" t="s">
        <v>3927</v>
      </c>
      <c r="C3758" t="str">
        <f>"9780415399333"</f>
        <v>9780415399333</v>
      </c>
      <c r="D3758" t="str">
        <f>"9780203961896"</f>
        <v>9780203961896</v>
      </c>
      <c r="E3758" t="s">
        <v>15</v>
      </c>
      <c r="F3758" t="s">
        <v>16</v>
      </c>
      <c r="G3758" s="1">
        <v>39239</v>
      </c>
      <c r="H3758" s="1">
        <v>39318</v>
      </c>
      <c r="I3758" t="s">
        <v>12</v>
      </c>
      <c r="J3758" t="s">
        <v>14528</v>
      </c>
    </row>
    <row r="3759" spans="1:10" x14ac:dyDescent="0.25">
      <c r="A3759">
        <v>308750</v>
      </c>
      <c r="B3759" t="s">
        <v>3928</v>
      </c>
      <c r="C3759" t="str">
        <f>"9780415420143"</f>
        <v>9780415420143</v>
      </c>
      <c r="D3759" t="str">
        <f>"9780203963210"</f>
        <v>9780203963210</v>
      </c>
      <c r="E3759" t="s">
        <v>15</v>
      </c>
      <c r="F3759" t="s">
        <v>16</v>
      </c>
      <c r="G3759" s="1">
        <v>39226</v>
      </c>
      <c r="H3759" s="1">
        <v>39326</v>
      </c>
      <c r="I3759" t="s">
        <v>12</v>
      </c>
      <c r="J3759" t="s">
        <v>14529</v>
      </c>
    </row>
    <row r="3760" spans="1:10" x14ac:dyDescent="0.25">
      <c r="A3760">
        <v>308757</v>
      </c>
      <c r="B3760" t="s">
        <v>3929</v>
      </c>
      <c r="C3760" t="str">
        <f>"9780415322416"</f>
        <v>9780415322416</v>
      </c>
      <c r="D3760" t="str">
        <f>"9780203963784"</f>
        <v>9780203963784</v>
      </c>
      <c r="E3760" t="s">
        <v>15</v>
      </c>
      <c r="F3760" t="s">
        <v>16</v>
      </c>
      <c r="G3760" s="1">
        <v>38617</v>
      </c>
      <c r="H3760" s="1">
        <v>39491</v>
      </c>
      <c r="I3760" t="s">
        <v>12</v>
      </c>
      <c r="J3760" t="s">
        <v>14530</v>
      </c>
    </row>
    <row r="3761" spans="1:10" x14ac:dyDescent="0.25">
      <c r="A3761">
        <v>308761</v>
      </c>
      <c r="B3761" t="s">
        <v>3930</v>
      </c>
      <c r="C3761" t="str">
        <f>"9780415322553"</f>
        <v>9780415322553</v>
      </c>
      <c r="D3761" t="str">
        <f>"9780203300404"</f>
        <v>9780203300404</v>
      </c>
      <c r="E3761" t="s">
        <v>15</v>
      </c>
      <c r="F3761" t="s">
        <v>16</v>
      </c>
      <c r="G3761" s="1">
        <v>39219</v>
      </c>
      <c r="H3761" s="1">
        <v>39432</v>
      </c>
      <c r="I3761" t="s">
        <v>12</v>
      </c>
      <c r="J3761" t="s">
        <v>14531</v>
      </c>
    </row>
    <row r="3762" spans="1:10" x14ac:dyDescent="0.25">
      <c r="A3762">
        <v>308763</v>
      </c>
      <c r="B3762" t="s">
        <v>3931</v>
      </c>
      <c r="C3762" t="str">
        <f>"9780415375184"</f>
        <v>9780415375184</v>
      </c>
      <c r="D3762" t="str">
        <f>"9780203934104"</f>
        <v>9780203934104</v>
      </c>
      <c r="E3762" t="s">
        <v>15</v>
      </c>
      <c r="F3762" t="s">
        <v>16</v>
      </c>
      <c r="G3762" s="1">
        <v>39219</v>
      </c>
      <c r="H3762" s="1">
        <v>39318</v>
      </c>
      <c r="I3762" t="s">
        <v>12</v>
      </c>
      <c r="J3762" t="s">
        <v>14532</v>
      </c>
    </row>
    <row r="3763" spans="1:10" x14ac:dyDescent="0.25">
      <c r="A3763">
        <v>308766</v>
      </c>
      <c r="B3763" t="s">
        <v>3932</v>
      </c>
      <c r="C3763" t="str">
        <f>"9780415425292"</f>
        <v>9780415425292</v>
      </c>
      <c r="D3763" t="str">
        <f>"9780203947029"</f>
        <v>9780203947029</v>
      </c>
      <c r="E3763" t="s">
        <v>15</v>
      </c>
      <c r="F3763" t="s">
        <v>16</v>
      </c>
      <c r="G3763" s="1">
        <v>39255</v>
      </c>
      <c r="H3763" s="1">
        <v>39419</v>
      </c>
      <c r="I3763" t="s">
        <v>12</v>
      </c>
      <c r="J3763" t="s">
        <v>14533</v>
      </c>
    </row>
    <row r="3764" spans="1:10" x14ac:dyDescent="0.25">
      <c r="A3764">
        <v>308767</v>
      </c>
      <c r="B3764" t="s">
        <v>3933</v>
      </c>
      <c r="C3764" t="str">
        <f>"9780415413947"</f>
        <v>9780415413947</v>
      </c>
      <c r="D3764" t="str">
        <f>"9780203960929"</f>
        <v>9780203960929</v>
      </c>
      <c r="E3764" t="s">
        <v>15</v>
      </c>
      <c r="F3764" t="s">
        <v>16</v>
      </c>
      <c r="G3764" s="1">
        <v>39273</v>
      </c>
      <c r="H3764" s="1">
        <v>39318</v>
      </c>
      <c r="I3764" t="s">
        <v>12</v>
      </c>
      <c r="J3764" t="s">
        <v>14534</v>
      </c>
    </row>
    <row r="3765" spans="1:10" x14ac:dyDescent="0.25">
      <c r="A3765">
        <v>308768</v>
      </c>
      <c r="B3765" t="s">
        <v>3934</v>
      </c>
      <c r="C3765" t="str">
        <f>"9780415420068"</f>
        <v>9780415420068</v>
      </c>
      <c r="D3765" t="str">
        <f>"9780203946596"</f>
        <v>9780203946596</v>
      </c>
      <c r="E3765" t="s">
        <v>15</v>
      </c>
      <c r="F3765" t="s">
        <v>16</v>
      </c>
      <c r="G3765" s="1">
        <v>39288</v>
      </c>
      <c r="H3765" s="1">
        <v>39706</v>
      </c>
      <c r="I3765" t="s">
        <v>12</v>
      </c>
      <c r="J3765" t="s">
        <v>14535</v>
      </c>
    </row>
    <row r="3766" spans="1:10" x14ac:dyDescent="0.25">
      <c r="A3766">
        <v>308769</v>
      </c>
      <c r="B3766" t="s">
        <v>3935</v>
      </c>
      <c r="C3766" t="str">
        <f>"9780415771245"</f>
        <v>9780415771245</v>
      </c>
      <c r="D3766" t="str">
        <f>"9780203945636"</f>
        <v>9780203945636</v>
      </c>
      <c r="E3766" t="s">
        <v>15</v>
      </c>
      <c r="F3766" t="s">
        <v>16</v>
      </c>
      <c r="G3766" s="1">
        <v>39303</v>
      </c>
      <c r="H3766" s="1">
        <v>41877</v>
      </c>
      <c r="I3766" t="s">
        <v>12</v>
      </c>
      <c r="J3766" t="s">
        <v>14536</v>
      </c>
    </row>
    <row r="3767" spans="1:10" x14ac:dyDescent="0.25">
      <c r="A3767">
        <v>308773</v>
      </c>
      <c r="B3767" t="s">
        <v>3936</v>
      </c>
      <c r="C3767" t="str">
        <f>"9781845680497"</f>
        <v>9781845680497</v>
      </c>
      <c r="D3767" t="str">
        <f>"9780203945032"</f>
        <v>9780203945032</v>
      </c>
      <c r="E3767" t="s">
        <v>15</v>
      </c>
      <c r="F3767" t="s">
        <v>1019</v>
      </c>
      <c r="G3767" s="1">
        <v>39128</v>
      </c>
      <c r="H3767" s="1">
        <v>39706</v>
      </c>
      <c r="I3767" t="s">
        <v>12</v>
      </c>
      <c r="J3767" t="s">
        <v>14537</v>
      </c>
    </row>
    <row r="3768" spans="1:10" x14ac:dyDescent="0.25">
      <c r="A3768">
        <v>308774</v>
      </c>
      <c r="B3768" t="s">
        <v>3937</v>
      </c>
      <c r="C3768" t="str">
        <f>"9780415423014"</f>
        <v>9780415423014</v>
      </c>
      <c r="D3768" t="str">
        <f>"9780203944974"</f>
        <v>9780203944974</v>
      </c>
      <c r="E3768" t="s">
        <v>15</v>
      </c>
      <c r="F3768" t="s">
        <v>1019</v>
      </c>
      <c r="G3768" s="1">
        <v>39308</v>
      </c>
      <c r="H3768" s="1">
        <v>39703</v>
      </c>
      <c r="I3768" t="s">
        <v>12</v>
      </c>
      <c r="J3768" t="s">
        <v>14538</v>
      </c>
    </row>
    <row r="3769" spans="1:10" x14ac:dyDescent="0.25">
      <c r="A3769">
        <v>308786</v>
      </c>
      <c r="B3769" t="s">
        <v>3938</v>
      </c>
      <c r="C3769" t="str">
        <f>"9780415396134"</f>
        <v>9780415396134</v>
      </c>
      <c r="D3769" t="str">
        <f>"9780203964668"</f>
        <v>9780203964668</v>
      </c>
      <c r="E3769" t="s">
        <v>15</v>
      </c>
      <c r="F3769" t="s">
        <v>16</v>
      </c>
      <c r="G3769" s="1">
        <v>39237</v>
      </c>
      <c r="H3769" s="1">
        <v>39318</v>
      </c>
      <c r="I3769" t="s">
        <v>12</v>
      </c>
      <c r="J3769" t="s">
        <v>14539</v>
      </c>
    </row>
    <row r="3770" spans="1:10" x14ac:dyDescent="0.25">
      <c r="A3770">
        <v>308794</v>
      </c>
      <c r="B3770" t="s">
        <v>3939</v>
      </c>
      <c r="C3770" t="str">
        <f>"9780415384568"</f>
        <v>9780415384568</v>
      </c>
      <c r="D3770" t="str">
        <f>"9780203960851"</f>
        <v>9780203960851</v>
      </c>
      <c r="E3770" t="s">
        <v>15</v>
      </c>
      <c r="F3770" t="s">
        <v>16</v>
      </c>
      <c r="G3770" s="1">
        <v>39274</v>
      </c>
      <c r="H3770" s="1">
        <v>39703</v>
      </c>
      <c r="I3770" t="s">
        <v>12</v>
      </c>
      <c r="J3770" t="s">
        <v>14540</v>
      </c>
    </row>
    <row r="3771" spans="1:10" x14ac:dyDescent="0.25">
      <c r="A3771">
        <v>308796</v>
      </c>
      <c r="B3771" t="s">
        <v>3940</v>
      </c>
      <c r="C3771" t="str">
        <f>"9780415358538"</f>
        <v>9780415358538</v>
      </c>
      <c r="D3771" t="str">
        <f>"9780203004739"</f>
        <v>9780203004739</v>
      </c>
      <c r="E3771" t="s">
        <v>15</v>
      </c>
      <c r="F3771" t="s">
        <v>16</v>
      </c>
      <c r="G3771" s="1">
        <v>39281</v>
      </c>
      <c r="H3771" s="1">
        <v>41877</v>
      </c>
      <c r="I3771" t="s">
        <v>12</v>
      </c>
      <c r="J3771" t="s">
        <v>14541</v>
      </c>
    </row>
    <row r="3772" spans="1:10" x14ac:dyDescent="0.25">
      <c r="A3772">
        <v>308801</v>
      </c>
      <c r="B3772" t="s">
        <v>3941</v>
      </c>
      <c r="C3772" t="str">
        <f>"9780415770866"</f>
        <v>9780415770866</v>
      </c>
      <c r="D3772" t="str">
        <f>"9780203946817"</f>
        <v>9780203946817</v>
      </c>
      <c r="E3772" t="s">
        <v>15</v>
      </c>
      <c r="F3772" t="s">
        <v>16</v>
      </c>
      <c r="G3772" s="1">
        <v>39317</v>
      </c>
      <c r="H3772" s="1">
        <v>39346</v>
      </c>
      <c r="I3772" t="s">
        <v>12</v>
      </c>
      <c r="J3772" t="s">
        <v>14542</v>
      </c>
    </row>
    <row r="3773" spans="1:10" x14ac:dyDescent="0.25">
      <c r="A3773">
        <v>308807</v>
      </c>
      <c r="B3773" t="s">
        <v>3942</v>
      </c>
      <c r="C3773" t="str">
        <f>"9780415348706"</f>
        <v>9780415348706</v>
      </c>
      <c r="D3773" t="str">
        <f>"9780203640913"</f>
        <v>9780203640913</v>
      </c>
      <c r="E3773" t="s">
        <v>16</v>
      </c>
      <c r="F3773" t="s">
        <v>16</v>
      </c>
      <c r="G3773" s="1">
        <v>39209</v>
      </c>
      <c r="H3773" s="1">
        <v>39318</v>
      </c>
      <c r="I3773" t="s">
        <v>12</v>
      </c>
      <c r="J3773" t="s">
        <v>14543</v>
      </c>
    </row>
    <row r="3774" spans="1:10" x14ac:dyDescent="0.25">
      <c r="A3774">
        <v>308811</v>
      </c>
      <c r="B3774" t="s">
        <v>3943</v>
      </c>
      <c r="C3774" t="str">
        <f>"9780415425513"</f>
        <v>9780415425513</v>
      </c>
      <c r="D3774" t="str">
        <f>"9780203962398"</f>
        <v>9780203962398</v>
      </c>
      <c r="E3774" t="s">
        <v>15</v>
      </c>
      <c r="F3774" t="s">
        <v>16</v>
      </c>
      <c r="G3774" s="1">
        <v>39203</v>
      </c>
      <c r="H3774" s="1">
        <v>39326</v>
      </c>
      <c r="I3774" t="s">
        <v>12</v>
      </c>
      <c r="J3774" t="s">
        <v>14544</v>
      </c>
    </row>
    <row r="3775" spans="1:10" x14ac:dyDescent="0.25">
      <c r="A3775">
        <v>308821</v>
      </c>
      <c r="B3775" t="s">
        <v>3944</v>
      </c>
      <c r="C3775" t="str">
        <f>"9780415423472"</f>
        <v>9780415423472</v>
      </c>
      <c r="D3775" t="str">
        <f>"9780203962237"</f>
        <v>9780203962237</v>
      </c>
      <c r="E3775" t="s">
        <v>15</v>
      </c>
      <c r="F3775" t="s">
        <v>16</v>
      </c>
      <c r="G3775" s="1">
        <v>39280</v>
      </c>
      <c r="H3775" s="1">
        <v>39326</v>
      </c>
      <c r="I3775" t="s">
        <v>12</v>
      </c>
      <c r="J3775" t="s">
        <v>14545</v>
      </c>
    </row>
    <row r="3776" spans="1:10" x14ac:dyDescent="0.25">
      <c r="A3776">
        <v>308824</v>
      </c>
      <c r="B3776" t="s">
        <v>3945</v>
      </c>
      <c r="C3776" t="str">
        <f>"9780415770651"</f>
        <v>9780415770651</v>
      </c>
      <c r="D3776" t="str">
        <f>"9780203934036"</f>
        <v>9780203934036</v>
      </c>
      <c r="E3776" t="s">
        <v>15</v>
      </c>
      <c r="F3776" t="s">
        <v>16</v>
      </c>
      <c r="G3776" s="1">
        <v>39223</v>
      </c>
      <c r="H3776" s="1">
        <v>39326</v>
      </c>
      <c r="I3776" t="s">
        <v>12</v>
      </c>
      <c r="J3776" t="s">
        <v>14546</v>
      </c>
    </row>
    <row r="3777" spans="1:10" x14ac:dyDescent="0.25">
      <c r="A3777">
        <v>308825</v>
      </c>
      <c r="B3777" t="s">
        <v>3946</v>
      </c>
      <c r="C3777" t="str">
        <f>"9780415418683"</f>
        <v>9780415418683</v>
      </c>
      <c r="D3777" t="str">
        <f>"9780203961704"</f>
        <v>9780203961704</v>
      </c>
      <c r="E3777" t="s">
        <v>15</v>
      </c>
      <c r="F3777" t="s">
        <v>16</v>
      </c>
      <c r="G3777" s="1">
        <v>39279</v>
      </c>
      <c r="H3777" s="1">
        <v>39318</v>
      </c>
      <c r="I3777" t="s">
        <v>12</v>
      </c>
      <c r="J3777" t="s">
        <v>14547</v>
      </c>
    </row>
    <row r="3778" spans="1:10" x14ac:dyDescent="0.25">
      <c r="A3778">
        <v>308829</v>
      </c>
      <c r="B3778" t="s">
        <v>3947</v>
      </c>
      <c r="C3778" t="str">
        <f>"9780415427814"</f>
        <v>9780415427814</v>
      </c>
      <c r="D3778" t="str">
        <f>"9780203961278"</f>
        <v>9780203961278</v>
      </c>
      <c r="E3778" t="s">
        <v>15</v>
      </c>
      <c r="F3778" t="s">
        <v>16</v>
      </c>
      <c r="G3778" s="1">
        <v>39300</v>
      </c>
      <c r="H3778" s="1">
        <v>39703</v>
      </c>
      <c r="I3778" t="s">
        <v>12</v>
      </c>
      <c r="J3778" t="s">
        <v>14548</v>
      </c>
    </row>
    <row r="3779" spans="1:10" x14ac:dyDescent="0.25">
      <c r="A3779">
        <v>308831</v>
      </c>
      <c r="B3779" t="s">
        <v>3948</v>
      </c>
      <c r="C3779" t="str">
        <f>"9780415405485"</f>
        <v>9780415405485</v>
      </c>
      <c r="D3779" t="str">
        <f>"9780203500682"</f>
        <v>9780203500682</v>
      </c>
      <c r="E3779" t="s">
        <v>15</v>
      </c>
      <c r="F3779" t="s">
        <v>16</v>
      </c>
      <c r="G3779" s="1">
        <v>39251</v>
      </c>
      <c r="H3779" s="1">
        <v>39703</v>
      </c>
      <c r="I3779" t="s">
        <v>12</v>
      </c>
      <c r="J3779" t="s">
        <v>14549</v>
      </c>
    </row>
    <row r="3780" spans="1:10" x14ac:dyDescent="0.25">
      <c r="A3780">
        <v>308833</v>
      </c>
      <c r="B3780" t="s">
        <v>3949</v>
      </c>
      <c r="C3780" t="str">
        <f>"9780415425704"</f>
        <v>9780415425704</v>
      </c>
      <c r="D3780" t="str">
        <f>"9780203946763"</f>
        <v>9780203946763</v>
      </c>
      <c r="E3780" t="s">
        <v>15</v>
      </c>
      <c r="F3780" t="s">
        <v>16</v>
      </c>
      <c r="G3780" s="1">
        <v>39314</v>
      </c>
      <c r="H3780" s="1">
        <v>39706</v>
      </c>
      <c r="I3780" t="s">
        <v>12</v>
      </c>
      <c r="J3780" t="s">
        <v>14550</v>
      </c>
    </row>
    <row r="3781" spans="1:10" x14ac:dyDescent="0.25">
      <c r="A3781">
        <v>308834</v>
      </c>
      <c r="B3781" t="s">
        <v>3950</v>
      </c>
      <c r="C3781" t="str">
        <f>"9780415428804"</f>
        <v>9780415428804</v>
      </c>
      <c r="D3781" t="str">
        <f>"9780203945520"</f>
        <v>9780203945520</v>
      </c>
      <c r="E3781" t="s">
        <v>15</v>
      </c>
      <c r="F3781" t="s">
        <v>16</v>
      </c>
      <c r="G3781" s="1">
        <v>39314</v>
      </c>
      <c r="H3781" s="1">
        <v>41877</v>
      </c>
      <c r="I3781" t="s">
        <v>12</v>
      </c>
      <c r="J3781" t="s">
        <v>14551</v>
      </c>
    </row>
    <row r="3782" spans="1:10" x14ac:dyDescent="0.25">
      <c r="A3782">
        <v>308836</v>
      </c>
      <c r="B3782" t="s">
        <v>3951</v>
      </c>
      <c r="C3782" t="str">
        <f>"9780415424622"</f>
        <v>9780415424622</v>
      </c>
      <c r="D3782" t="str">
        <f>"9780203961650"</f>
        <v>9780203961650</v>
      </c>
      <c r="E3782" t="s">
        <v>15</v>
      </c>
      <c r="F3782" t="s">
        <v>16</v>
      </c>
      <c r="G3782" s="1">
        <v>39324</v>
      </c>
      <c r="H3782" s="1">
        <v>39346</v>
      </c>
      <c r="I3782" t="s">
        <v>12</v>
      </c>
      <c r="J3782" t="s">
        <v>14552</v>
      </c>
    </row>
    <row r="3783" spans="1:10" x14ac:dyDescent="0.25">
      <c r="A3783">
        <v>308837</v>
      </c>
      <c r="B3783" t="s">
        <v>3952</v>
      </c>
      <c r="C3783" t="str">
        <f>"9780415422529"</f>
        <v>9780415422529</v>
      </c>
      <c r="D3783" t="str">
        <f>"9780203946978"</f>
        <v>9780203946978</v>
      </c>
      <c r="E3783" t="s">
        <v>15</v>
      </c>
      <c r="F3783" t="s">
        <v>16</v>
      </c>
      <c r="G3783" s="1">
        <v>39308</v>
      </c>
      <c r="H3783" s="1">
        <v>39346</v>
      </c>
      <c r="I3783" t="s">
        <v>12</v>
      </c>
      <c r="J3783" t="s">
        <v>14553</v>
      </c>
    </row>
    <row r="3784" spans="1:10" x14ac:dyDescent="0.25">
      <c r="A3784">
        <v>308847</v>
      </c>
      <c r="B3784" t="s">
        <v>3953</v>
      </c>
      <c r="C3784" t="str">
        <f>"9780415417648"</f>
        <v>9780415417648</v>
      </c>
      <c r="D3784" t="str">
        <f>"9780203962091"</f>
        <v>9780203962091</v>
      </c>
      <c r="E3784" t="s">
        <v>15</v>
      </c>
      <c r="F3784" t="s">
        <v>16</v>
      </c>
      <c r="G3784" s="1">
        <v>39247</v>
      </c>
      <c r="H3784" s="1">
        <v>39318</v>
      </c>
      <c r="I3784" t="s">
        <v>12</v>
      </c>
      <c r="J3784" t="s">
        <v>14554</v>
      </c>
    </row>
    <row r="3785" spans="1:10" x14ac:dyDescent="0.25">
      <c r="A3785">
        <v>308848</v>
      </c>
      <c r="B3785" t="s">
        <v>3954</v>
      </c>
      <c r="C3785" t="str">
        <f>"9780415771184"</f>
        <v>9780415771184</v>
      </c>
      <c r="D3785" t="str">
        <f>"9780203961667"</f>
        <v>9780203961667</v>
      </c>
      <c r="E3785" t="s">
        <v>15</v>
      </c>
      <c r="F3785" t="s">
        <v>16</v>
      </c>
      <c r="G3785" s="1">
        <v>39255</v>
      </c>
      <c r="H3785" s="1">
        <v>41877</v>
      </c>
      <c r="I3785" t="s">
        <v>12</v>
      </c>
      <c r="J3785" t="s">
        <v>14555</v>
      </c>
    </row>
    <row r="3786" spans="1:10" x14ac:dyDescent="0.25">
      <c r="A3786">
        <v>308862</v>
      </c>
      <c r="B3786" t="s">
        <v>3955</v>
      </c>
      <c r="C3786" t="str">
        <f>"9780415385886"</f>
        <v>9780415385886</v>
      </c>
      <c r="D3786" t="str">
        <f>"9781482265767"</f>
        <v>9781482265767</v>
      </c>
      <c r="E3786" t="s">
        <v>15</v>
      </c>
      <c r="F3786" t="s">
        <v>139</v>
      </c>
      <c r="G3786" s="1">
        <v>39314</v>
      </c>
      <c r="H3786" s="1">
        <v>39703</v>
      </c>
      <c r="I3786" t="s">
        <v>12</v>
      </c>
      <c r="J3786" t="s">
        <v>14556</v>
      </c>
    </row>
    <row r="3787" spans="1:10" x14ac:dyDescent="0.25">
      <c r="A3787">
        <v>308924</v>
      </c>
      <c r="B3787" t="s">
        <v>3956</v>
      </c>
      <c r="C3787" t="str">
        <f>"9781854183330"</f>
        <v>9781854183330</v>
      </c>
      <c r="D3787" t="str">
        <f>"9781854184078"</f>
        <v>9781854184078</v>
      </c>
      <c r="E3787" t="s">
        <v>3957</v>
      </c>
      <c r="F3787" t="s">
        <v>3957</v>
      </c>
      <c r="G3787" s="1">
        <v>38869</v>
      </c>
      <c r="H3787" s="1">
        <v>39313</v>
      </c>
      <c r="I3787" t="s">
        <v>12</v>
      </c>
      <c r="J3787" t="s">
        <v>14557</v>
      </c>
    </row>
    <row r="3788" spans="1:10" x14ac:dyDescent="0.25">
      <c r="A3788">
        <v>308931</v>
      </c>
      <c r="B3788" t="s">
        <v>3958</v>
      </c>
      <c r="C3788" t="str">
        <f>"9781854183941"</f>
        <v>9781854183941</v>
      </c>
      <c r="D3788" t="str">
        <f>"9781854184191"</f>
        <v>9781854184191</v>
      </c>
      <c r="E3788" t="s">
        <v>3957</v>
      </c>
      <c r="F3788" t="s">
        <v>3957</v>
      </c>
      <c r="G3788" s="1">
        <v>39173</v>
      </c>
      <c r="H3788" s="1">
        <v>39313</v>
      </c>
      <c r="I3788" t="s">
        <v>12</v>
      </c>
      <c r="J3788" t="s">
        <v>14558</v>
      </c>
    </row>
    <row r="3789" spans="1:10" x14ac:dyDescent="0.25">
      <c r="A3789">
        <v>308932</v>
      </c>
      <c r="B3789" t="s">
        <v>3959</v>
      </c>
      <c r="C3789" t="str">
        <f>"9781854182715"</f>
        <v>9781854182715</v>
      </c>
      <c r="D3789" t="str">
        <f>"9781854184412"</f>
        <v>9781854184412</v>
      </c>
      <c r="E3789" t="s">
        <v>3957</v>
      </c>
      <c r="F3789" t="s">
        <v>3957</v>
      </c>
      <c r="G3789" s="1">
        <v>38412</v>
      </c>
      <c r="H3789" s="1">
        <v>39316</v>
      </c>
      <c r="I3789" t="s">
        <v>12</v>
      </c>
      <c r="J3789" t="s">
        <v>14559</v>
      </c>
    </row>
    <row r="3790" spans="1:10" x14ac:dyDescent="0.25">
      <c r="A3790">
        <v>308997</v>
      </c>
      <c r="B3790" t="s">
        <v>3960</v>
      </c>
      <c r="C3790" t="str">
        <f>"9781854183286"</f>
        <v>9781854183286</v>
      </c>
      <c r="D3790" t="str">
        <f>"9781854184344"</f>
        <v>9781854184344</v>
      </c>
      <c r="E3790" t="s">
        <v>3957</v>
      </c>
      <c r="F3790" t="s">
        <v>3957</v>
      </c>
      <c r="G3790" s="1">
        <v>39114</v>
      </c>
      <c r="H3790" s="1">
        <v>39366</v>
      </c>
      <c r="I3790" t="s">
        <v>12</v>
      </c>
      <c r="J3790" t="s">
        <v>14560</v>
      </c>
    </row>
    <row r="3791" spans="1:10" x14ac:dyDescent="0.25">
      <c r="A3791">
        <v>309007</v>
      </c>
      <c r="B3791" t="s">
        <v>3961</v>
      </c>
      <c r="C3791" t="str">
        <f>"9781854184832"</f>
        <v>9781854184832</v>
      </c>
      <c r="D3791" t="str">
        <f>"9781854186331"</f>
        <v>9781854186331</v>
      </c>
      <c r="E3791" t="s">
        <v>3957</v>
      </c>
      <c r="F3791" t="s">
        <v>3957</v>
      </c>
      <c r="G3791" s="1">
        <v>39052</v>
      </c>
      <c r="H3791" s="1">
        <v>39636</v>
      </c>
      <c r="I3791" t="s">
        <v>12</v>
      </c>
      <c r="J3791" t="s">
        <v>14561</v>
      </c>
    </row>
    <row r="3792" spans="1:10" x14ac:dyDescent="0.25">
      <c r="A3792">
        <v>309024</v>
      </c>
      <c r="B3792" t="s">
        <v>3962</v>
      </c>
      <c r="C3792" t="str">
        <f>"9781854183880"</f>
        <v>9781854183880</v>
      </c>
      <c r="D3792" t="str">
        <f>"9781854184825"</f>
        <v>9781854184825</v>
      </c>
      <c r="E3792" t="s">
        <v>3957</v>
      </c>
      <c r="F3792" t="s">
        <v>3957</v>
      </c>
      <c r="G3792" s="1">
        <v>38869</v>
      </c>
      <c r="H3792" s="1">
        <v>39313</v>
      </c>
      <c r="I3792" t="s">
        <v>12</v>
      </c>
      <c r="J3792" t="s">
        <v>14562</v>
      </c>
    </row>
    <row r="3793" spans="1:10" x14ac:dyDescent="0.25">
      <c r="A3793">
        <v>309060</v>
      </c>
      <c r="B3793" t="s">
        <v>3963</v>
      </c>
      <c r="C3793" t="str">
        <f>"9781854183095"</f>
        <v>9781854183095</v>
      </c>
      <c r="D3793" t="str">
        <f>"9781854184863"</f>
        <v>9781854184863</v>
      </c>
      <c r="E3793" t="s">
        <v>3957</v>
      </c>
      <c r="F3793" t="s">
        <v>3957</v>
      </c>
      <c r="G3793" s="1">
        <v>37438</v>
      </c>
      <c r="H3793" s="1">
        <v>39366</v>
      </c>
      <c r="I3793" t="s">
        <v>12</v>
      </c>
      <c r="J3793" t="s">
        <v>14563</v>
      </c>
    </row>
    <row r="3794" spans="1:10" x14ac:dyDescent="0.25">
      <c r="A3794">
        <v>309079</v>
      </c>
      <c r="B3794" t="s">
        <v>3964</v>
      </c>
      <c r="C3794" t="str">
        <f>"9781854183651"</f>
        <v>9781854183651</v>
      </c>
      <c r="D3794" t="str">
        <f>"9781854184047"</f>
        <v>9781854184047</v>
      </c>
      <c r="E3794" t="s">
        <v>3957</v>
      </c>
      <c r="F3794" t="s">
        <v>3957</v>
      </c>
      <c r="G3794" s="1">
        <v>38718</v>
      </c>
      <c r="H3794" s="1">
        <v>39313</v>
      </c>
      <c r="I3794" t="s">
        <v>12</v>
      </c>
      <c r="J3794" t="s">
        <v>14564</v>
      </c>
    </row>
    <row r="3795" spans="1:10" x14ac:dyDescent="0.25">
      <c r="A3795">
        <v>309088</v>
      </c>
      <c r="B3795" t="s">
        <v>3965</v>
      </c>
      <c r="C3795" t="str">
        <f>"9781854183262"</f>
        <v>9781854183262</v>
      </c>
      <c r="D3795" t="str">
        <f>"9781854184726"</f>
        <v>9781854184726</v>
      </c>
      <c r="E3795" t="s">
        <v>3957</v>
      </c>
      <c r="F3795" t="s">
        <v>3957</v>
      </c>
      <c r="G3795" s="1">
        <v>38473</v>
      </c>
      <c r="H3795" s="1">
        <v>39366</v>
      </c>
      <c r="I3795" t="s">
        <v>12</v>
      </c>
      <c r="J3795" t="s">
        <v>14565</v>
      </c>
    </row>
    <row r="3796" spans="1:10" x14ac:dyDescent="0.25">
      <c r="A3796">
        <v>309094</v>
      </c>
      <c r="B3796" t="s">
        <v>3966</v>
      </c>
      <c r="C3796" t="str">
        <f>"9781854183316"</f>
        <v>9781854183316</v>
      </c>
      <c r="D3796" t="str">
        <f>"9781854184764"</f>
        <v>9781854184764</v>
      </c>
      <c r="E3796" t="s">
        <v>3957</v>
      </c>
      <c r="F3796" t="s">
        <v>3957</v>
      </c>
      <c r="G3796" s="1">
        <v>38473</v>
      </c>
      <c r="H3796" s="1">
        <v>39366</v>
      </c>
      <c r="I3796" t="s">
        <v>12</v>
      </c>
      <c r="J3796" t="s">
        <v>14566</v>
      </c>
    </row>
    <row r="3797" spans="1:10" x14ac:dyDescent="0.25">
      <c r="A3797">
        <v>309875</v>
      </c>
      <c r="B3797" t="s">
        <v>3967</v>
      </c>
      <c r="C3797" t="str">
        <f>"9782868838063"</f>
        <v>9782868838063</v>
      </c>
      <c r="D3797" t="str">
        <f>"9782759801831"</f>
        <v>9782759801831</v>
      </c>
      <c r="E3797" t="s">
        <v>3968</v>
      </c>
      <c r="F3797" t="s">
        <v>3968</v>
      </c>
      <c r="G3797" s="1">
        <v>39447</v>
      </c>
      <c r="H3797" s="1">
        <v>39419</v>
      </c>
      <c r="I3797" t="s">
        <v>12</v>
      </c>
      <c r="J3797" t="s">
        <v>14567</v>
      </c>
    </row>
    <row r="3798" spans="1:10" x14ac:dyDescent="0.25">
      <c r="A3798">
        <v>310763</v>
      </c>
      <c r="B3798" t="s">
        <v>3969</v>
      </c>
      <c r="C3798" t="str">
        <f>"9780816647408"</f>
        <v>9780816647408</v>
      </c>
      <c r="D3798" t="str">
        <f>"9780816698127"</f>
        <v>9780816698127</v>
      </c>
      <c r="E3798" t="s">
        <v>3970</v>
      </c>
      <c r="F3798" t="s">
        <v>3970</v>
      </c>
      <c r="G3798" s="1">
        <v>39080</v>
      </c>
      <c r="H3798" s="1">
        <v>39333</v>
      </c>
      <c r="I3798" t="s">
        <v>12</v>
      </c>
      <c r="J3798" t="s">
        <v>14568</v>
      </c>
    </row>
    <row r="3799" spans="1:10" x14ac:dyDescent="0.25">
      <c r="A3799">
        <v>310767</v>
      </c>
      <c r="B3799" t="s">
        <v>3971</v>
      </c>
      <c r="C3799" t="str">
        <f>"9780816647224"</f>
        <v>9780816647224</v>
      </c>
      <c r="D3799" t="str">
        <f>"9780816698035"</f>
        <v>9780816698035</v>
      </c>
      <c r="E3799" t="s">
        <v>3970</v>
      </c>
      <c r="F3799" t="s">
        <v>3970</v>
      </c>
      <c r="G3799" s="1">
        <v>39162</v>
      </c>
      <c r="H3799" s="1">
        <v>39333</v>
      </c>
      <c r="I3799" t="s">
        <v>12</v>
      </c>
      <c r="J3799" t="s">
        <v>14569</v>
      </c>
    </row>
    <row r="3800" spans="1:10" x14ac:dyDescent="0.25">
      <c r="A3800">
        <v>311233</v>
      </c>
      <c r="B3800" t="s">
        <v>3972</v>
      </c>
      <c r="C3800" t="str">
        <f>"9780521848992"</f>
        <v>9780521848992</v>
      </c>
      <c r="D3800" t="str">
        <f>"9780511288647"</f>
        <v>9780511288647</v>
      </c>
      <c r="E3800" t="s">
        <v>18</v>
      </c>
      <c r="F3800" t="s">
        <v>18</v>
      </c>
      <c r="G3800" s="1">
        <v>39181</v>
      </c>
      <c r="H3800" s="1">
        <v>39334</v>
      </c>
      <c r="I3800" t="s">
        <v>12</v>
      </c>
      <c r="J3800" t="s">
        <v>14570</v>
      </c>
    </row>
    <row r="3801" spans="1:10" x14ac:dyDescent="0.25">
      <c r="A3801">
        <v>311253</v>
      </c>
      <c r="B3801" t="s">
        <v>3973</v>
      </c>
      <c r="C3801" t="str">
        <f>"9780521865814"</f>
        <v>9780521865814</v>
      </c>
      <c r="D3801" t="str">
        <f>"9780511288418"</f>
        <v>9780511288418</v>
      </c>
      <c r="E3801" t="s">
        <v>18</v>
      </c>
      <c r="F3801" t="s">
        <v>18</v>
      </c>
      <c r="G3801" s="1">
        <v>39233</v>
      </c>
      <c r="H3801" s="1">
        <v>39334</v>
      </c>
      <c r="I3801" t="s">
        <v>12</v>
      </c>
      <c r="J3801" t="s">
        <v>14571</v>
      </c>
    </row>
    <row r="3802" spans="1:10" x14ac:dyDescent="0.25">
      <c r="A3802">
        <v>311254</v>
      </c>
      <c r="B3802" t="s">
        <v>3974</v>
      </c>
      <c r="C3802" t="str">
        <f>"9780521867351"</f>
        <v>9780521867351</v>
      </c>
      <c r="D3802" t="str">
        <f>"9780511288760"</f>
        <v>9780511288760</v>
      </c>
      <c r="E3802" t="s">
        <v>18</v>
      </c>
      <c r="F3802" t="s">
        <v>18</v>
      </c>
      <c r="G3802" s="1">
        <v>39244</v>
      </c>
      <c r="H3802" s="1">
        <v>39334</v>
      </c>
      <c r="I3802" t="s">
        <v>12</v>
      </c>
      <c r="J3802" t="s">
        <v>14572</v>
      </c>
    </row>
    <row r="3803" spans="1:10" x14ac:dyDescent="0.25">
      <c r="A3803">
        <v>311255</v>
      </c>
      <c r="B3803" t="s">
        <v>3975</v>
      </c>
      <c r="C3803" t="str">
        <f>"9780521869300"</f>
        <v>9780521869300</v>
      </c>
      <c r="D3803" t="str">
        <f>"9780511288289"</f>
        <v>9780511288289</v>
      </c>
      <c r="E3803" t="s">
        <v>18</v>
      </c>
      <c r="F3803" t="s">
        <v>18</v>
      </c>
      <c r="G3803" s="1">
        <v>39417</v>
      </c>
      <c r="H3803" s="1">
        <v>39334</v>
      </c>
      <c r="I3803" t="s">
        <v>12</v>
      </c>
      <c r="J3803" t="s">
        <v>14573</v>
      </c>
    </row>
    <row r="3804" spans="1:10" x14ac:dyDescent="0.25">
      <c r="A3804">
        <v>311259</v>
      </c>
      <c r="B3804" t="s">
        <v>3976</v>
      </c>
      <c r="C3804" t="str">
        <f>"9780521870474"</f>
        <v>9780521870474</v>
      </c>
      <c r="D3804" t="str">
        <f>"9780511288586"</f>
        <v>9780511288586</v>
      </c>
      <c r="E3804" t="s">
        <v>18</v>
      </c>
      <c r="F3804" t="s">
        <v>18</v>
      </c>
      <c r="G3804" s="1">
        <v>39173</v>
      </c>
      <c r="H3804" s="1">
        <v>39334</v>
      </c>
      <c r="I3804" t="s">
        <v>12</v>
      </c>
      <c r="J3804" t="s">
        <v>14574</v>
      </c>
    </row>
    <row r="3805" spans="1:10" x14ac:dyDescent="0.25">
      <c r="A3805">
        <v>311322</v>
      </c>
      <c r="B3805" t="s">
        <v>3977</v>
      </c>
      <c r="C3805" t="str">
        <f>"9780240808567"</f>
        <v>9780240808567</v>
      </c>
      <c r="D3805" t="str">
        <f>"9780080550732"</f>
        <v>9780080550732</v>
      </c>
      <c r="E3805" t="s">
        <v>15</v>
      </c>
      <c r="F3805" t="s">
        <v>16</v>
      </c>
      <c r="G3805" s="1">
        <v>39274</v>
      </c>
      <c r="H3805" s="1">
        <v>39540</v>
      </c>
      <c r="I3805" t="s">
        <v>12</v>
      </c>
      <c r="J3805" t="s">
        <v>14575</v>
      </c>
    </row>
    <row r="3806" spans="1:10" x14ac:dyDescent="0.25">
      <c r="A3806">
        <v>311430</v>
      </c>
      <c r="B3806" t="s">
        <v>3978</v>
      </c>
      <c r="C3806" t="str">
        <f>"9780750684224"</f>
        <v>9780750684224</v>
      </c>
      <c r="D3806" t="str">
        <f>"9780080550466"</f>
        <v>9780080550466</v>
      </c>
      <c r="E3806" t="s">
        <v>1119</v>
      </c>
      <c r="F3806" t="s">
        <v>1147</v>
      </c>
      <c r="G3806" s="1">
        <v>39293</v>
      </c>
      <c r="H3806" s="1">
        <v>39341</v>
      </c>
      <c r="I3806" t="s">
        <v>12</v>
      </c>
      <c r="J3806" t="s">
        <v>14576</v>
      </c>
    </row>
    <row r="3807" spans="1:10" x14ac:dyDescent="0.25">
      <c r="A3807">
        <v>311431</v>
      </c>
      <c r="B3807" t="s">
        <v>3979</v>
      </c>
      <c r="C3807" t="str">
        <f>"9780750685597"</f>
        <v>9780750685597</v>
      </c>
      <c r="D3807" t="str">
        <f>"9780080551234"</f>
        <v>9780080551234</v>
      </c>
      <c r="E3807" t="s">
        <v>1119</v>
      </c>
      <c r="F3807" t="s">
        <v>1147</v>
      </c>
      <c r="G3807" s="1">
        <v>39290</v>
      </c>
      <c r="H3807" s="1">
        <v>40568</v>
      </c>
      <c r="I3807" t="s">
        <v>12</v>
      </c>
      <c r="J3807" t="s">
        <v>14577</v>
      </c>
    </row>
    <row r="3808" spans="1:10" x14ac:dyDescent="0.25">
      <c r="A3808">
        <v>311432</v>
      </c>
      <c r="B3808" t="s">
        <v>3980</v>
      </c>
      <c r="C3808" t="str">
        <f>"9780240520216"</f>
        <v>9780240520216</v>
      </c>
      <c r="D3808" t="str">
        <f>"9780080551067"</f>
        <v>9780080551067</v>
      </c>
      <c r="E3808" t="s">
        <v>15</v>
      </c>
      <c r="F3808" t="s">
        <v>1122</v>
      </c>
      <c r="G3808" s="1">
        <v>41773</v>
      </c>
      <c r="H3808" s="1">
        <v>39933</v>
      </c>
      <c r="I3808" t="s">
        <v>12</v>
      </c>
      <c r="J3808" t="s">
        <v>14578</v>
      </c>
    </row>
    <row r="3809" spans="1:10" x14ac:dyDescent="0.25">
      <c r="A3809">
        <v>311442</v>
      </c>
      <c r="B3809" t="s">
        <v>3981</v>
      </c>
      <c r="C3809" t="str">
        <f>"9780123708687"</f>
        <v>9780123708687</v>
      </c>
      <c r="D3809" t="str">
        <f>"9780080550985"</f>
        <v>9780080550985</v>
      </c>
      <c r="E3809" t="s">
        <v>1119</v>
      </c>
      <c r="F3809" t="s">
        <v>2125</v>
      </c>
      <c r="G3809" s="1">
        <v>39360</v>
      </c>
      <c r="H3809" s="1">
        <v>39340</v>
      </c>
      <c r="I3809" t="s">
        <v>12</v>
      </c>
      <c r="J3809" t="s">
        <v>14579</v>
      </c>
    </row>
    <row r="3810" spans="1:10" x14ac:dyDescent="0.25">
      <c r="A3810">
        <v>312247</v>
      </c>
      <c r="B3810" t="s">
        <v>3982</v>
      </c>
      <c r="C3810" t="str">
        <f>"9789810240790"</f>
        <v>9789810240790</v>
      </c>
      <c r="D3810" t="str">
        <f>"9789812706652"</f>
        <v>9789812706652</v>
      </c>
      <c r="E3810" t="s">
        <v>1042</v>
      </c>
      <c r="F3810" t="s">
        <v>1043</v>
      </c>
      <c r="G3810" s="1">
        <v>38991</v>
      </c>
      <c r="H3810" s="1">
        <v>39351</v>
      </c>
      <c r="I3810" t="s">
        <v>12</v>
      </c>
      <c r="J3810" t="s">
        <v>14580</v>
      </c>
    </row>
    <row r="3811" spans="1:10" x14ac:dyDescent="0.25">
      <c r="A3811">
        <v>312250</v>
      </c>
      <c r="B3811" t="s">
        <v>3983</v>
      </c>
      <c r="C3811" t="str">
        <f>"9789812568908"</f>
        <v>9789812568908</v>
      </c>
      <c r="D3811" t="str">
        <f>"9789812706720"</f>
        <v>9789812706720</v>
      </c>
      <c r="E3811" t="s">
        <v>1042</v>
      </c>
      <c r="F3811" t="s">
        <v>1043</v>
      </c>
      <c r="G3811" s="1">
        <v>39083</v>
      </c>
      <c r="H3811" s="1">
        <v>39351</v>
      </c>
      <c r="I3811" t="s">
        <v>12</v>
      </c>
      <c r="J3811" t="s">
        <v>14581</v>
      </c>
    </row>
    <row r="3812" spans="1:10" x14ac:dyDescent="0.25">
      <c r="A3812">
        <v>312251</v>
      </c>
      <c r="B3812" t="s">
        <v>3984</v>
      </c>
      <c r="C3812" t="str">
        <f>"9789812705402"</f>
        <v>9789812705402</v>
      </c>
      <c r="D3812" t="str">
        <f>"9789812706744"</f>
        <v>9789812706744</v>
      </c>
      <c r="E3812" t="s">
        <v>1042</v>
      </c>
      <c r="F3812" t="s">
        <v>1043</v>
      </c>
      <c r="G3812" s="1">
        <v>39173</v>
      </c>
      <c r="H3812" s="1">
        <v>39351</v>
      </c>
      <c r="I3812" t="s">
        <v>12</v>
      </c>
      <c r="J3812" t="s">
        <v>14582</v>
      </c>
    </row>
    <row r="3813" spans="1:10" x14ac:dyDescent="0.25">
      <c r="A3813">
        <v>312253</v>
      </c>
      <c r="B3813" t="s">
        <v>3985</v>
      </c>
      <c r="C3813" t="str">
        <f>"9781860946714"</f>
        <v>9781860946714</v>
      </c>
      <c r="D3813" t="str">
        <f>"9781860947988"</f>
        <v>9781860947988</v>
      </c>
      <c r="E3813" t="s">
        <v>1042</v>
      </c>
      <c r="F3813" t="s">
        <v>3986</v>
      </c>
      <c r="G3813" s="1">
        <v>39086</v>
      </c>
      <c r="H3813" s="1">
        <v>39351</v>
      </c>
      <c r="I3813" t="s">
        <v>12</v>
      </c>
      <c r="J3813" t="s">
        <v>14583</v>
      </c>
    </row>
    <row r="3814" spans="1:10" x14ac:dyDescent="0.25">
      <c r="A3814">
        <v>312268</v>
      </c>
      <c r="B3814" t="s">
        <v>3987</v>
      </c>
      <c r="C3814" t="str">
        <f>"9789812703729"</f>
        <v>9789812703729</v>
      </c>
      <c r="D3814" t="str">
        <f>"9789812706843"</f>
        <v>9789812706843</v>
      </c>
      <c r="E3814" t="s">
        <v>1042</v>
      </c>
      <c r="F3814" t="s">
        <v>1043</v>
      </c>
      <c r="G3814" s="1">
        <v>39087</v>
      </c>
      <c r="H3814" s="1">
        <v>39351</v>
      </c>
      <c r="I3814" t="s">
        <v>12</v>
      </c>
      <c r="J3814" t="s">
        <v>14584</v>
      </c>
    </row>
    <row r="3815" spans="1:10" x14ac:dyDescent="0.25">
      <c r="A3815">
        <v>312277</v>
      </c>
      <c r="B3815" t="s">
        <v>3988</v>
      </c>
      <c r="C3815" t="str">
        <f>"9789812704511"</f>
        <v>9789812704511</v>
      </c>
      <c r="D3815" t="str">
        <f>"9789812707482"</f>
        <v>9789812707482</v>
      </c>
      <c r="E3815" t="s">
        <v>1056</v>
      </c>
      <c r="F3815" t="s">
        <v>1056</v>
      </c>
      <c r="G3815" s="1">
        <v>39417</v>
      </c>
      <c r="H3815" s="1">
        <v>39351</v>
      </c>
      <c r="I3815" t="s">
        <v>12</v>
      </c>
      <c r="J3815" t="s">
        <v>14585</v>
      </c>
    </row>
    <row r="3816" spans="1:10" x14ac:dyDescent="0.25">
      <c r="A3816">
        <v>312281</v>
      </c>
      <c r="B3816" t="s">
        <v>3989</v>
      </c>
      <c r="C3816" t="str">
        <f>"9789812566966"</f>
        <v>9789812566966</v>
      </c>
      <c r="D3816" t="str">
        <f>"9789812707611"</f>
        <v>9789812707611</v>
      </c>
      <c r="E3816" t="s">
        <v>1042</v>
      </c>
      <c r="F3816" t="s">
        <v>1043</v>
      </c>
      <c r="G3816" s="1">
        <v>39128</v>
      </c>
      <c r="H3816" s="1">
        <v>39351</v>
      </c>
      <c r="I3816" t="s">
        <v>12</v>
      </c>
      <c r="J3816" t="s">
        <v>14586</v>
      </c>
    </row>
    <row r="3817" spans="1:10" x14ac:dyDescent="0.25">
      <c r="A3817">
        <v>312282</v>
      </c>
      <c r="B3817" t="s">
        <v>3990</v>
      </c>
      <c r="C3817" t="str">
        <f>"9789812564788"</f>
        <v>9789812564788</v>
      </c>
      <c r="D3817" t="str">
        <f>"9789812707628"</f>
        <v>9789812707628</v>
      </c>
      <c r="E3817" t="s">
        <v>1042</v>
      </c>
      <c r="F3817" t="s">
        <v>1043</v>
      </c>
      <c r="G3817" s="1">
        <v>39140</v>
      </c>
      <c r="H3817" s="1">
        <v>39351</v>
      </c>
      <c r="I3817" t="s">
        <v>12</v>
      </c>
      <c r="J3817" t="s">
        <v>14587</v>
      </c>
    </row>
    <row r="3818" spans="1:10" x14ac:dyDescent="0.25">
      <c r="A3818">
        <v>312284</v>
      </c>
      <c r="B3818" t="s">
        <v>3991</v>
      </c>
      <c r="C3818" t="str">
        <f>"9789812705051"</f>
        <v>9789812705051</v>
      </c>
      <c r="D3818" t="str">
        <f>"9789812707437"</f>
        <v>9789812707437</v>
      </c>
      <c r="E3818" t="s">
        <v>1042</v>
      </c>
      <c r="F3818" t="s">
        <v>1043</v>
      </c>
      <c r="G3818" s="1">
        <v>39141</v>
      </c>
      <c r="H3818" s="1">
        <v>39351</v>
      </c>
      <c r="I3818" t="s">
        <v>12</v>
      </c>
      <c r="J3818" t="s">
        <v>14588</v>
      </c>
    </row>
    <row r="3819" spans="1:10" x14ac:dyDescent="0.25">
      <c r="A3819">
        <v>312287</v>
      </c>
      <c r="B3819" t="s">
        <v>3992</v>
      </c>
      <c r="C3819" t="str">
        <f>"9789812706393"</f>
        <v>9789812706393</v>
      </c>
      <c r="D3819" t="str">
        <f>"9789812707413"</f>
        <v>9789812707413</v>
      </c>
      <c r="E3819" t="s">
        <v>1056</v>
      </c>
      <c r="F3819" t="s">
        <v>1056</v>
      </c>
      <c r="G3819" s="1">
        <v>39141</v>
      </c>
      <c r="H3819" s="1">
        <v>39351</v>
      </c>
      <c r="I3819" t="s">
        <v>12</v>
      </c>
      <c r="J3819" t="s">
        <v>14589</v>
      </c>
    </row>
    <row r="3820" spans="1:10" x14ac:dyDescent="0.25">
      <c r="A3820">
        <v>312288</v>
      </c>
      <c r="B3820" t="s">
        <v>3993</v>
      </c>
      <c r="C3820" t="str">
        <f>"9789812568106"</f>
        <v>9789812568106</v>
      </c>
      <c r="D3820" t="str">
        <f>"9789812707598"</f>
        <v>9789812707598</v>
      </c>
      <c r="E3820" t="s">
        <v>1056</v>
      </c>
      <c r="F3820" t="s">
        <v>1056</v>
      </c>
      <c r="G3820" s="1">
        <v>39140</v>
      </c>
      <c r="H3820" s="1">
        <v>39351</v>
      </c>
      <c r="I3820" t="s">
        <v>12</v>
      </c>
      <c r="J3820" t="s">
        <v>14590</v>
      </c>
    </row>
    <row r="3821" spans="1:10" x14ac:dyDescent="0.25">
      <c r="A3821">
        <v>312292</v>
      </c>
      <c r="B3821" t="s">
        <v>3994</v>
      </c>
      <c r="C3821" t="str">
        <f>"9789812700469"</f>
        <v>9789812700469</v>
      </c>
      <c r="D3821" t="str">
        <f>"9789812707512"</f>
        <v>9789812707512</v>
      </c>
      <c r="E3821" t="s">
        <v>1056</v>
      </c>
      <c r="F3821" t="s">
        <v>1056</v>
      </c>
      <c r="G3821" s="1">
        <v>39203</v>
      </c>
      <c r="H3821" s="1">
        <v>39351</v>
      </c>
      <c r="I3821" t="s">
        <v>12</v>
      </c>
      <c r="J3821" t="s">
        <v>14591</v>
      </c>
    </row>
    <row r="3822" spans="1:10" x14ac:dyDescent="0.25">
      <c r="A3822">
        <v>312294</v>
      </c>
      <c r="B3822" t="s">
        <v>3995</v>
      </c>
      <c r="C3822" t="str">
        <f>"9789812567475"</f>
        <v>9789812567475</v>
      </c>
      <c r="D3822" t="str">
        <f>"9789812707604"</f>
        <v>9789812707604</v>
      </c>
      <c r="E3822" t="s">
        <v>1042</v>
      </c>
      <c r="F3822" t="s">
        <v>1043</v>
      </c>
      <c r="G3822" s="1">
        <v>39121</v>
      </c>
      <c r="H3822" s="1">
        <v>39351</v>
      </c>
      <c r="I3822" t="s">
        <v>12</v>
      </c>
      <c r="J3822" t="s">
        <v>14592</v>
      </c>
    </row>
    <row r="3823" spans="1:10" x14ac:dyDescent="0.25">
      <c r="A3823">
        <v>312303</v>
      </c>
      <c r="B3823" t="s">
        <v>3996</v>
      </c>
      <c r="C3823" t="str">
        <f>"9789812704351"</f>
        <v>9789812704351</v>
      </c>
      <c r="D3823" t="str">
        <f>"9789812708274"</f>
        <v>9789812708274</v>
      </c>
      <c r="E3823" t="s">
        <v>1056</v>
      </c>
      <c r="F3823" t="s">
        <v>1056</v>
      </c>
      <c r="G3823" s="1">
        <v>39417</v>
      </c>
      <c r="H3823" s="1">
        <v>39351</v>
      </c>
      <c r="I3823" t="s">
        <v>12</v>
      </c>
      <c r="J3823" t="s">
        <v>14593</v>
      </c>
    </row>
    <row r="3824" spans="1:10" x14ac:dyDescent="0.25">
      <c r="A3824">
        <v>312305</v>
      </c>
      <c r="B3824" t="s">
        <v>3997</v>
      </c>
      <c r="C3824" t="str">
        <f>"9789810244248"</f>
        <v>9789810244248</v>
      </c>
      <c r="D3824" t="str">
        <f>"9789812708472"</f>
        <v>9789812708472</v>
      </c>
      <c r="E3824" t="s">
        <v>1056</v>
      </c>
      <c r="F3824" t="s">
        <v>1056</v>
      </c>
      <c r="G3824" s="1">
        <v>36770</v>
      </c>
      <c r="H3824" s="1">
        <v>39351</v>
      </c>
      <c r="I3824" t="s">
        <v>12</v>
      </c>
      <c r="J3824" t="s">
        <v>14594</v>
      </c>
    </row>
    <row r="3825" spans="1:10" x14ac:dyDescent="0.25">
      <c r="A3825">
        <v>312312</v>
      </c>
      <c r="B3825" t="s">
        <v>3998</v>
      </c>
      <c r="C3825" t="str">
        <f>"9789812566522"</f>
        <v>9789812566522</v>
      </c>
      <c r="D3825" t="str">
        <f>"9789812708441"</f>
        <v>9789812708441</v>
      </c>
      <c r="E3825" t="s">
        <v>1042</v>
      </c>
      <c r="F3825" t="s">
        <v>1043</v>
      </c>
      <c r="G3825" s="1">
        <v>39163</v>
      </c>
      <c r="H3825" s="1">
        <v>39351</v>
      </c>
      <c r="I3825" t="s">
        <v>12</v>
      </c>
      <c r="J3825" t="s">
        <v>14595</v>
      </c>
    </row>
    <row r="3826" spans="1:10" x14ac:dyDescent="0.25">
      <c r="A3826">
        <v>312316</v>
      </c>
      <c r="B3826" t="s">
        <v>3999</v>
      </c>
      <c r="C3826" t="str">
        <f>"9789812700414"</f>
        <v>9789812700414</v>
      </c>
      <c r="D3826" t="str">
        <f>"9789812708328"</f>
        <v>9789812708328</v>
      </c>
      <c r="E3826" t="s">
        <v>1056</v>
      </c>
      <c r="F3826" t="s">
        <v>1056</v>
      </c>
      <c r="G3826" s="1">
        <v>39203</v>
      </c>
      <c r="H3826" s="1">
        <v>39351</v>
      </c>
      <c r="I3826" t="s">
        <v>12</v>
      </c>
      <c r="J3826" t="s">
        <v>14596</v>
      </c>
    </row>
    <row r="3827" spans="1:10" x14ac:dyDescent="0.25">
      <c r="A3827">
        <v>312318</v>
      </c>
      <c r="B3827" t="s">
        <v>4000</v>
      </c>
      <c r="C3827" t="str">
        <f>"9789812569493"</f>
        <v>9789812569493</v>
      </c>
      <c r="D3827" t="str">
        <f>"9789812708373"</f>
        <v>9789812708373</v>
      </c>
      <c r="E3827" t="s">
        <v>1042</v>
      </c>
      <c r="F3827" t="s">
        <v>1043</v>
      </c>
      <c r="G3827" s="1">
        <v>39203</v>
      </c>
      <c r="H3827" s="1">
        <v>39351</v>
      </c>
      <c r="I3827" t="s">
        <v>12</v>
      </c>
      <c r="J3827" t="s">
        <v>14597</v>
      </c>
    </row>
    <row r="3828" spans="1:10" x14ac:dyDescent="0.25">
      <c r="A3828">
        <v>312319</v>
      </c>
      <c r="B3828" t="s">
        <v>4001</v>
      </c>
      <c r="C3828" t="str">
        <f>"9789812566782"</f>
        <v>9789812566782</v>
      </c>
      <c r="D3828" t="str">
        <f>"9789812708434"</f>
        <v>9789812708434</v>
      </c>
      <c r="E3828" t="s">
        <v>1042</v>
      </c>
      <c r="F3828" t="s">
        <v>1043</v>
      </c>
      <c r="G3828" s="1">
        <v>39203</v>
      </c>
      <c r="H3828" s="1">
        <v>39351</v>
      </c>
      <c r="I3828" t="s">
        <v>12</v>
      </c>
      <c r="J3828" t="s">
        <v>14598</v>
      </c>
    </row>
    <row r="3829" spans="1:10" x14ac:dyDescent="0.25">
      <c r="A3829">
        <v>312321</v>
      </c>
      <c r="B3829" t="s">
        <v>4002</v>
      </c>
      <c r="C3829" t="str">
        <f>"9789812706928"</f>
        <v>9789812706928</v>
      </c>
      <c r="D3829" t="str">
        <f>"9789812708205"</f>
        <v>9789812708205</v>
      </c>
      <c r="E3829" t="s">
        <v>1042</v>
      </c>
      <c r="F3829" t="s">
        <v>1043</v>
      </c>
      <c r="G3829" s="1">
        <v>39156</v>
      </c>
      <c r="H3829" s="1">
        <v>39351</v>
      </c>
      <c r="I3829" t="s">
        <v>12</v>
      </c>
      <c r="J3829" t="s">
        <v>14599</v>
      </c>
    </row>
    <row r="3830" spans="1:10" x14ac:dyDescent="0.25">
      <c r="A3830">
        <v>312323</v>
      </c>
      <c r="B3830" t="s">
        <v>4003</v>
      </c>
      <c r="C3830" t="str">
        <f>"9781860946622"</f>
        <v>9781860946622</v>
      </c>
      <c r="D3830" t="str">
        <f>"9781860948572"</f>
        <v>9781860948572</v>
      </c>
      <c r="E3830" t="s">
        <v>1042</v>
      </c>
      <c r="F3830" t="s">
        <v>3986</v>
      </c>
      <c r="G3830" s="1">
        <v>39052</v>
      </c>
      <c r="H3830" s="1">
        <v>39351</v>
      </c>
      <c r="I3830" t="s">
        <v>12</v>
      </c>
      <c r="J3830" t="s">
        <v>14600</v>
      </c>
    </row>
    <row r="3831" spans="1:10" x14ac:dyDescent="0.25">
      <c r="A3831">
        <v>312328</v>
      </c>
      <c r="B3831" t="s">
        <v>4004</v>
      </c>
      <c r="C3831" t="str">
        <f>"9789812704139"</f>
        <v>9789812704139</v>
      </c>
      <c r="D3831" t="str">
        <f>"9789812770448"</f>
        <v>9789812770448</v>
      </c>
      <c r="E3831" t="s">
        <v>1056</v>
      </c>
      <c r="F3831" t="s">
        <v>1056</v>
      </c>
      <c r="G3831" s="1">
        <v>39052</v>
      </c>
      <c r="H3831" s="1">
        <v>39351</v>
      </c>
      <c r="I3831" t="s">
        <v>12</v>
      </c>
      <c r="J3831" t="s">
        <v>14601</v>
      </c>
    </row>
    <row r="3832" spans="1:10" x14ac:dyDescent="0.25">
      <c r="A3832">
        <v>312337</v>
      </c>
      <c r="B3832" t="s">
        <v>4005</v>
      </c>
      <c r="C3832" t="str">
        <f>"9789812706249"</f>
        <v>9789812706249</v>
      </c>
      <c r="D3832" t="str">
        <f>"9789812770578"</f>
        <v>9789812770578</v>
      </c>
      <c r="E3832" t="s">
        <v>1056</v>
      </c>
      <c r="F3832" t="s">
        <v>1056</v>
      </c>
      <c r="G3832" s="1">
        <v>39177</v>
      </c>
      <c r="H3832" s="1">
        <v>39351</v>
      </c>
      <c r="I3832" t="s">
        <v>12</v>
      </c>
      <c r="J3832" t="s">
        <v>14602</v>
      </c>
    </row>
    <row r="3833" spans="1:10" x14ac:dyDescent="0.25">
      <c r="A3833">
        <v>312338</v>
      </c>
      <c r="B3833" t="s">
        <v>4006</v>
      </c>
      <c r="C3833" t="str">
        <f>"9789812706492"</f>
        <v>9789812706492</v>
      </c>
      <c r="D3833" t="str">
        <f>"9789812770622"</f>
        <v>9789812770622</v>
      </c>
      <c r="E3833" t="s">
        <v>1056</v>
      </c>
      <c r="F3833" t="s">
        <v>1056</v>
      </c>
      <c r="G3833" s="1">
        <v>39196</v>
      </c>
      <c r="H3833" s="1">
        <v>39351</v>
      </c>
      <c r="I3833" t="s">
        <v>12</v>
      </c>
      <c r="J3833" t="s">
        <v>14603</v>
      </c>
    </row>
    <row r="3834" spans="1:10" x14ac:dyDescent="0.25">
      <c r="A3834">
        <v>312342</v>
      </c>
      <c r="B3834" t="s">
        <v>4007</v>
      </c>
      <c r="C3834" t="str">
        <f>"9789812705860"</f>
        <v>9789812705860</v>
      </c>
      <c r="D3834" t="str">
        <f>"9789812770516"</f>
        <v>9789812770516</v>
      </c>
      <c r="E3834" t="s">
        <v>1056</v>
      </c>
      <c r="F3834" t="s">
        <v>1056</v>
      </c>
      <c r="G3834" s="1">
        <v>39264</v>
      </c>
      <c r="H3834" s="1">
        <v>39351</v>
      </c>
      <c r="I3834" t="s">
        <v>12</v>
      </c>
      <c r="J3834" t="s">
        <v>14604</v>
      </c>
    </row>
    <row r="3835" spans="1:10" x14ac:dyDescent="0.25">
      <c r="A3835">
        <v>312343</v>
      </c>
      <c r="B3835" t="s">
        <v>4008</v>
      </c>
      <c r="C3835" t="str">
        <f>"9789812706119"</f>
        <v>9789812706119</v>
      </c>
      <c r="D3835" t="str">
        <f>"9789812770554"</f>
        <v>9789812770554</v>
      </c>
      <c r="E3835" t="s">
        <v>1042</v>
      </c>
      <c r="F3835" t="s">
        <v>1043</v>
      </c>
      <c r="G3835" s="1">
        <v>39202</v>
      </c>
      <c r="H3835" s="1">
        <v>39351</v>
      </c>
      <c r="I3835" t="s">
        <v>12</v>
      </c>
      <c r="J3835" t="s">
        <v>14605</v>
      </c>
    </row>
    <row r="3836" spans="1:10" x14ac:dyDescent="0.25">
      <c r="A3836">
        <v>312348</v>
      </c>
      <c r="B3836" t="s">
        <v>4009</v>
      </c>
      <c r="C3836" t="str">
        <f>"9789810217280"</f>
        <v>9789810217280</v>
      </c>
      <c r="D3836" t="str">
        <f>"9789812770387"</f>
        <v>9789812770387</v>
      </c>
      <c r="E3836" t="s">
        <v>1056</v>
      </c>
      <c r="F3836" t="s">
        <v>1056</v>
      </c>
      <c r="G3836" s="1">
        <v>39190</v>
      </c>
      <c r="H3836" s="1">
        <v>39351</v>
      </c>
      <c r="I3836" t="s">
        <v>12</v>
      </c>
      <c r="J3836" t="s">
        <v>14606</v>
      </c>
    </row>
    <row r="3837" spans="1:10" x14ac:dyDescent="0.25">
      <c r="A3837">
        <v>312349</v>
      </c>
      <c r="B3837" t="s">
        <v>4010</v>
      </c>
      <c r="C3837" t="str">
        <f>"9789812704733"</f>
        <v>9789812704733</v>
      </c>
      <c r="D3837" t="str">
        <f>"9789812770424"</f>
        <v>9789812770424</v>
      </c>
      <c r="E3837" t="s">
        <v>1056</v>
      </c>
      <c r="F3837" t="s">
        <v>1056</v>
      </c>
      <c r="G3837" s="1">
        <v>39234</v>
      </c>
      <c r="H3837" s="1">
        <v>39351</v>
      </c>
      <c r="I3837" t="s">
        <v>12</v>
      </c>
      <c r="J3837" t="s">
        <v>14607</v>
      </c>
    </row>
    <row r="3838" spans="1:10" x14ac:dyDescent="0.25">
      <c r="A3838">
        <v>312355</v>
      </c>
      <c r="B3838" t="s">
        <v>4011</v>
      </c>
      <c r="C3838" t="str">
        <f>"9789812569080"</f>
        <v>9789812569080</v>
      </c>
      <c r="D3838" t="str">
        <f>"9789812770677"</f>
        <v>9789812770677</v>
      </c>
      <c r="E3838" t="s">
        <v>1056</v>
      </c>
      <c r="F3838" t="s">
        <v>1056</v>
      </c>
      <c r="G3838" s="1">
        <v>39417</v>
      </c>
      <c r="H3838" s="1">
        <v>39351</v>
      </c>
      <c r="I3838" t="s">
        <v>12</v>
      </c>
      <c r="J3838" t="s">
        <v>14608</v>
      </c>
    </row>
    <row r="3839" spans="1:10" x14ac:dyDescent="0.25">
      <c r="A3839">
        <v>312360</v>
      </c>
      <c r="B3839" t="s">
        <v>4012</v>
      </c>
      <c r="C3839" t="str">
        <f>"9789812707734"</f>
        <v>9789812707734</v>
      </c>
      <c r="D3839" t="str">
        <f>"9789812708823"</f>
        <v>9789812708823</v>
      </c>
      <c r="E3839" t="s">
        <v>1056</v>
      </c>
      <c r="F3839" t="s">
        <v>1056</v>
      </c>
      <c r="G3839" s="1">
        <v>39417</v>
      </c>
      <c r="H3839" s="1">
        <v>39351</v>
      </c>
      <c r="I3839" t="s">
        <v>12</v>
      </c>
      <c r="J3839" t="s">
        <v>14609</v>
      </c>
    </row>
    <row r="3840" spans="1:10" x14ac:dyDescent="0.25">
      <c r="A3840">
        <v>312363</v>
      </c>
      <c r="B3840" t="s">
        <v>4013</v>
      </c>
      <c r="C3840" t="str">
        <f>"9789812569585"</f>
        <v>9789812569585</v>
      </c>
      <c r="D3840" t="str">
        <f>"9789812770868"</f>
        <v>9789812770868</v>
      </c>
      <c r="E3840" t="s">
        <v>1042</v>
      </c>
      <c r="F3840" t="s">
        <v>1043</v>
      </c>
      <c r="G3840" s="1">
        <v>39356</v>
      </c>
      <c r="H3840" s="1">
        <v>39351</v>
      </c>
      <c r="I3840" t="s">
        <v>12</v>
      </c>
      <c r="J3840" t="s">
        <v>14610</v>
      </c>
    </row>
    <row r="3841" spans="1:10" x14ac:dyDescent="0.25">
      <c r="A3841">
        <v>312368</v>
      </c>
      <c r="B3841" t="s">
        <v>4014</v>
      </c>
      <c r="C3841" t="str">
        <f>"9789812703668"</f>
        <v>9789812703668</v>
      </c>
      <c r="D3841" t="str">
        <f>"9789812770776"</f>
        <v>9789812770776</v>
      </c>
      <c r="E3841" t="s">
        <v>1042</v>
      </c>
      <c r="F3841" t="s">
        <v>1043</v>
      </c>
      <c r="G3841" s="1">
        <v>39203</v>
      </c>
      <c r="H3841" s="1">
        <v>39351</v>
      </c>
      <c r="I3841" t="s">
        <v>12</v>
      </c>
      <c r="J3841" t="s">
        <v>14611</v>
      </c>
    </row>
    <row r="3842" spans="1:10" x14ac:dyDescent="0.25">
      <c r="A3842">
        <v>312384</v>
      </c>
      <c r="B3842" t="s">
        <v>4015</v>
      </c>
      <c r="C3842" t="str">
        <f>"9789812707369"</f>
        <v>9789812707369</v>
      </c>
      <c r="D3842" t="str">
        <f>"9789812708687"</f>
        <v>9789812708687</v>
      </c>
      <c r="E3842" t="s">
        <v>1056</v>
      </c>
      <c r="F3842" t="s">
        <v>1056</v>
      </c>
      <c r="G3842" s="1">
        <v>39417</v>
      </c>
      <c r="H3842" s="1">
        <v>39351</v>
      </c>
      <c r="I3842" t="s">
        <v>12</v>
      </c>
      <c r="J3842" t="s">
        <v>14612</v>
      </c>
    </row>
    <row r="3843" spans="1:10" x14ac:dyDescent="0.25">
      <c r="A3843">
        <v>312388</v>
      </c>
      <c r="B3843" t="s">
        <v>4016</v>
      </c>
      <c r="C3843" t="str">
        <f>"9789812708588"</f>
        <v>9789812708588</v>
      </c>
      <c r="D3843" t="str">
        <f>"9789812770332"</f>
        <v>9789812770332</v>
      </c>
      <c r="E3843" t="s">
        <v>1056</v>
      </c>
      <c r="F3843" t="s">
        <v>1056</v>
      </c>
      <c r="G3843" s="1">
        <v>39417</v>
      </c>
      <c r="H3843" s="1">
        <v>39351</v>
      </c>
      <c r="I3843" t="s">
        <v>12</v>
      </c>
      <c r="J3843" t="s">
        <v>14613</v>
      </c>
    </row>
    <row r="3844" spans="1:10" x14ac:dyDescent="0.25">
      <c r="A3844">
        <v>312395</v>
      </c>
      <c r="B3844" t="s">
        <v>4017</v>
      </c>
      <c r="C3844" t="str">
        <f>"9789812705624"</f>
        <v>9789812705624</v>
      </c>
      <c r="D3844" t="str">
        <f>"9789812771698"</f>
        <v>9789812771698</v>
      </c>
      <c r="E3844" t="s">
        <v>1056</v>
      </c>
      <c r="F3844" t="s">
        <v>1056</v>
      </c>
      <c r="G3844" s="1">
        <v>39417</v>
      </c>
      <c r="H3844" s="1">
        <v>39351</v>
      </c>
      <c r="I3844" t="s">
        <v>12</v>
      </c>
      <c r="J3844" t="s">
        <v>14614</v>
      </c>
    </row>
    <row r="3845" spans="1:10" x14ac:dyDescent="0.25">
      <c r="A3845">
        <v>312397</v>
      </c>
      <c r="B3845" t="s">
        <v>4018</v>
      </c>
      <c r="C3845" t="str">
        <f>"9781860946967"</f>
        <v>9781860946967</v>
      </c>
      <c r="D3845" t="str">
        <f>"9781860948640"</f>
        <v>9781860948640</v>
      </c>
      <c r="E3845" t="s">
        <v>1042</v>
      </c>
      <c r="F3845" t="s">
        <v>3986</v>
      </c>
      <c r="G3845" s="1">
        <v>39237</v>
      </c>
      <c r="H3845" s="1">
        <v>39351</v>
      </c>
      <c r="I3845" t="s">
        <v>12</v>
      </c>
      <c r="J3845" t="s">
        <v>14615</v>
      </c>
    </row>
    <row r="3846" spans="1:10" x14ac:dyDescent="0.25">
      <c r="A3846">
        <v>312631</v>
      </c>
      <c r="B3846" t="s">
        <v>4019</v>
      </c>
      <c r="C3846" t="str">
        <f>"9780954804558"</f>
        <v>9780954804558</v>
      </c>
      <c r="D3846" t="str">
        <f>"9781433710919"</f>
        <v>9781433710919</v>
      </c>
      <c r="E3846" t="s">
        <v>889</v>
      </c>
      <c r="F3846" t="s">
        <v>889</v>
      </c>
      <c r="G3846" s="1">
        <v>39336</v>
      </c>
      <c r="H3846" s="1">
        <v>39471</v>
      </c>
      <c r="I3846" t="s">
        <v>12</v>
      </c>
      <c r="J3846" t="s">
        <v>14616</v>
      </c>
    </row>
    <row r="3847" spans="1:10" x14ac:dyDescent="0.25">
      <c r="A3847">
        <v>312698</v>
      </c>
      <c r="B3847" t="s">
        <v>4020</v>
      </c>
      <c r="C3847" t="str">
        <f>"9780937004128"</f>
        <v>9780937004128</v>
      </c>
      <c r="D3847" t="str">
        <f>"9781605570181"</f>
        <v>9781605570181</v>
      </c>
      <c r="E3847" t="s">
        <v>4021</v>
      </c>
      <c r="F3847" t="s">
        <v>4021</v>
      </c>
      <c r="G3847" s="1">
        <v>36039</v>
      </c>
      <c r="H3847" s="1">
        <v>38169</v>
      </c>
      <c r="I3847" t="s">
        <v>12</v>
      </c>
      <c r="J3847" t="s">
        <v>14617</v>
      </c>
    </row>
    <row r="3848" spans="1:10" x14ac:dyDescent="0.25">
      <c r="A3848">
        <v>312699</v>
      </c>
      <c r="B3848" t="s">
        <v>4022</v>
      </c>
      <c r="C3848" t="str">
        <f>"9781425937386"</f>
        <v>9781425937386</v>
      </c>
      <c r="D3848" t="str">
        <f>"9781605570228"</f>
        <v>9781605570228</v>
      </c>
      <c r="E3848" t="s">
        <v>4021</v>
      </c>
      <c r="F3848" t="s">
        <v>4021</v>
      </c>
      <c r="G3848" s="1">
        <v>38957</v>
      </c>
      <c r="H3848" s="1">
        <v>38169</v>
      </c>
      <c r="I3848" t="s">
        <v>12</v>
      </c>
      <c r="J3848" t="s">
        <v>14618</v>
      </c>
    </row>
    <row r="3849" spans="1:10" x14ac:dyDescent="0.25">
      <c r="A3849">
        <v>312701</v>
      </c>
      <c r="B3849" t="s">
        <v>4023</v>
      </c>
      <c r="C3849" t="str">
        <f>"9781580629232"</f>
        <v>9781580629232</v>
      </c>
      <c r="D3849" t="str">
        <f>"9781605570242"</f>
        <v>9781605570242</v>
      </c>
      <c r="E3849" t="s">
        <v>4021</v>
      </c>
      <c r="F3849" t="s">
        <v>4021</v>
      </c>
      <c r="G3849" s="1">
        <v>37956</v>
      </c>
      <c r="H3849" s="1">
        <v>38169</v>
      </c>
      <c r="I3849" t="s">
        <v>12</v>
      </c>
      <c r="J3849" t="s">
        <v>14619</v>
      </c>
    </row>
    <row r="3850" spans="1:10" x14ac:dyDescent="0.25">
      <c r="A3850">
        <v>312715</v>
      </c>
      <c r="B3850" t="s">
        <v>4024</v>
      </c>
      <c r="C3850" t="str">
        <f>"9780080436456"</f>
        <v>9780080436456</v>
      </c>
      <c r="D3850" t="str">
        <f>"9780080540023"</f>
        <v>9780080540023</v>
      </c>
      <c r="E3850" t="s">
        <v>1119</v>
      </c>
      <c r="F3850" t="s">
        <v>3623</v>
      </c>
      <c r="G3850" s="1">
        <v>36572</v>
      </c>
      <c r="H3850" s="1">
        <v>42341</v>
      </c>
      <c r="I3850" t="s">
        <v>12</v>
      </c>
      <c r="J3850" t="s">
        <v>14620</v>
      </c>
    </row>
    <row r="3851" spans="1:10" x14ac:dyDescent="0.25">
      <c r="A3851">
        <v>312774</v>
      </c>
      <c r="B3851" t="s">
        <v>4025</v>
      </c>
      <c r="C3851" t="str">
        <f>"9780240520506"</f>
        <v>9780240520506</v>
      </c>
      <c r="D3851" t="str">
        <f>"9780080551340"</f>
        <v>9780080551340</v>
      </c>
      <c r="E3851" t="s">
        <v>15</v>
      </c>
      <c r="F3851" t="s">
        <v>1122</v>
      </c>
      <c r="G3851" s="1">
        <v>39240</v>
      </c>
      <c r="H3851" s="1">
        <v>39340</v>
      </c>
      <c r="I3851" t="s">
        <v>12</v>
      </c>
      <c r="J3851" t="s">
        <v>14621</v>
      </c>
    </row>
    <row r="3852" spans="1:10" x14ac:dyDescent="0.25">
      <c r="A3852">
        <v>312852</v>
      </c>
      <c r="B3852" t="s">
        <v>4026</v>
      </c>
      <c r="C3852" t="str">
        <f>"9780750685887"</f>
        <v>9780750685887</v>
      </c>
      <c r="D3852" t="str">
        <f>"9780080551296"</f>
        <v>9780080551296</v>
      </c>
      <c r="E3852" t="s">
        <v>15</v>
      </c>
      <c r="F3852" t="s">
        <v>16</v>
      </c>
      <c r="G3852" s="1">
        <v>40737</v>
      </c>
      <c r="H3852" s="1">
        <v>39341</v>
      </c>
      <c r="I3852" t="s">
        <v>12</v>
      </c>
      <c r="J3852" t="s">
        <v>14622</v>
      </c>
    </row>
    <row r="3853" spans="1:10" x14ac:dyDescent="0.25">
      <c r="A3853">
        <v>312875</v>
      </c>
      <c r="B3853" t="s">
        <v>4027</v>
      </c>
      <c r="C3853" t="str">
        <f>"9781845932084"</f>
        <v>9781845932084</v>
      </c>
      <c r="D3853" t="str">
        <f>"9781845932107"</f>
        <v>9781845932107</v>
      </c>
      <c r="E3853" t="s">
        <v>2878</v>
      </c>
      <c r="F3853" t="s">
        <v>2879</v>
      </c>
      <c r="G3853" s="1">
        <v>39173</v>
      </c>
      <c r="H3853" s="1">
        <v>39339</v>
      </c>
      <c r="I3853" t="s">
        <v>12</v>
      </c>
      <c r="J3853" t="s">
        <v>14623</v>
      </c>
    </row>
    <row r="3854" spans="1:10" x14ac:dyDescent="0.25">
      <c r="A3854">
        <v>312876</v>
      </c>
      <c r="B3854" t="s">
        <v>4028</v>
      </c>
      <c r="C3854" t="str">
        <f>"9781845932237"</f>
        <v>9781845932237</v>
      </c>
      <c r="D3854" t="str">
        <f>"9781845932244"</f>
        <v>9781845932244</v>
      </c>
      <c r="E3854" t="s">
        <v>2878</v>
      </c>
      <c r="F3854" t="s">
        <v>2879</v>
      </c>
      <c r="G3854" s="1">
        <v>39234</v>
      </c>
      <c r="H3854" s="1">
        <v>39339</v>
      </c>
      <c r="I3854" t="s">
        <v>12</v>
      </c>
      <c r="J3854" t="s">
        <v>14624</v>
      </c>
    </row>
    <row r="3855" spans="1:10" x14ac:dyDescent="0.25">
      <c r="A3855">
        <v>312877</v>
      </c>
      <c r="B3855" t="s">
        <v>4029</v>
      </c>
      <c r="C3855" t="str">
        <f>"9781845932527"</f>
        <v>9781845932527</v>
      </c>
      <c r="D3855" t="str">
        <f>"9781845932534"</f>
        <v>9781845932534</v>
      </c>
      <c r="E3855" t="s">
        <v>2878</v>
      </c>
      <c r="F3855" t="s">
        <v>2879</v>
      </c>
      <c r="G3855" s="1">
        <v>39234</v>
      </c>
      <c r="H3855" s="1">
        <v>39339</v>
      </c>
      <c r="I3855" t="s">
        <v>12</v>
      </c>
      <c r="J3855" t="s">
        <v>14625</v>
      </c>
    </row>
    <row r="3856" spans="1:10" x14ac:dyDescent="0.25">
      <c r="A3856">
        <v>312878</v>
      </c>
      <c r="B3856" t="s">
        <v>4030</v>
      </c>
      <c r="C3856" t="str">
        <f>"9781845932695"</f>
        <v>9781845932695</v>
      </c>
      <c r="D3856" t="str">
        <f>"9781845932701"</f>
        <v>9781845932701</v>
      </c>
      <c r="E3856" t="s">
        <v>2878</v>
      </c>
      <c r="F3856" t="s">
        <v>2879</v>
      </c>
      <c r="G3856" s="1">
        <v>39264</v>
      </c>
      <c r="H3856" s="1">
        <v>39339</v>
      </c>
      <c r="I3856" t="s">
        <v>12</v>
      </c>
      <c r="J3856" t="s">
        <v>14626</v>
      </c>
    </row>
    <row r="3857" spans="1:10" x14ac:dyDescent="0.25">
      <c r="A3857">
        <v>312897</v>
      </c>
      <c r="B3857" t="s">
        <v>4031</v>
      </c>
      <c r="C3857" t="str">
        <f>"9781593854560"</f>
        <v>9781593854560</v>
      </c>
      <c r="D3857" t="str">
        <f>"9781593856564"</f>
        <v>9781593856564</v>
      </c>
      <c r="E3857" t="s">
        <v>3740</v>
      </c>
      <c r="F3857" t="s">
        <v>3741</v>
      </c>
      <c r="G3857" s="1">
        <v>39147</v>
      </c>
      <c r="H3857" s="1">
        <v>39371</v>
      </c>
      <c r="I3857" t="s">
        <v>12</v>
      </c>
      <c r="J3857" t="s">
        <v>14627</v>
      </c>
    </row>
    <row r="3858" spans="1:10" x14ac:dyDescent="0.25">
      <c r="A3858">
        <v>312898</v>
      </c>
      <c r="B3858" t="s">
        <v>4032</v>
      </c>
      <c r="C3858" t="str">
        <f>"9781593854485"</f>
        <v>9781593854485</v>
      </c>
      <c r="D3858" t="str">
        <f>"9781593856571"</f>
        <v>9781593856571</v>
      </c>
      <c r="E3858" t="s">
        <v>3740</v>
      </c>
      <c r="F3858" t="s">
        <v>3741</v>
      </c>
      <c r="G3858" s="1">
        <v>39149</v>
      </c>
      <c r="H3858" s="1">
        <v>39371</v>
      </c>
      <c r="I3858" t="s">
        <v>12</v>
      </c>
      <c r="J3858" t="s">
        <v>14628</v>
      </c>
    </row>
    <row r="3859" spans="1:10" x14ac:dyDescent="0.25">
      <c r="A3859">
        <v>312900</v>
      </c>
      <c r="B3859" t="s">
        <v>4033</v>
      </c>
      <c r="C3859" t="str">
        <f>"9781593854331"</f>
        <v>9781593854331</v>
      </c>
      <c r="D3859" t="str">
        <f>"9781593856595"</f>
        <v>9781593856595</v>
      </c>
      <c r="E3859" t="s">
        <v>3740</v>
      </c>
      <c r="F3859" t="s">
        <v>3754</v>
      </c>
      <c r="G3859" s="1">
        <v>41352</v>
      </c>
      <c r="H3859" s="1">
        <v>39371</v>
      </c>
      <c r="I3859" t="s">
        <v>12</v>
      </c>
      <c r="J3859" t="s">
        <v>14629</v>
      </c>
    </row>
    <row r="3860" spans="1:10" x14ac:dyDescent="0.25">
      <c r="A3860">
        <v>312901</v>
      </c>
      <c r="B3860" t="s">
        <v>4034</v>
      </c>
      <c r="C3860" t="str">
        <f>"9781593854430"</f>
        <v>9781593854430</v>
      </c>
      <c r="D3860" t="str">
        <f>"9781593856601"</f>
        <v>9781593856601</v>
      </c>
      <c r="E3860" t="s">
        <v>3740</v>
      </c>
      <c r="F3860" t="s">
        <v>3741</v>
      </c>
      <c r="G3860" s="1">
        <v>39143</v>
      </c>
      <c r="H3860" s="1">
        <v>39371</v>
      </c>
      <c r="I3860" t="s">
        <v>12</v>
      </c>
      <c r="J3860" t="s">
        <v>14630</v>
      </c>
    </row>
    <row r="3861" spans="1:10" x14ac:dyDescent="0.25">
      <c r="A3861">
        <v>312903</v>
      </c>
      <c r="B3861" t="s">
        <v>4035</v>
      </c>
      <c r="C3861" t="str">
        <f>"9781593854089"</f>
        <v>9781593854089</v>
      </c>
      <c r="D3861" t="str">
        <f>"9781593856625"</f>
        <v>9781593856625</v>
      </c>
      <c r="E3861" t="s">
        <v>3740</v>
      </c>
      <c r="F3861" t="s">
        <v>3741</v>
      </c>
      <c r="G3861" s="1">
        <v>39108</v>
      </c>
      <c r="H3861" s="1">
        <v>39371</v>
      </c>
      <c r="I3861" t="s">
        <v>12</v>
      </c>
      <c r="J3861" t="s">
        <v>14631</v>
      </c>
    </row>
    <row r="3862" spans="1:10" x14ac:dyDescent="0.25">
      <c r="A3862">
        <v>312906</v>
      </c>
      <c r="B3862" t="s">
        <v>4036</v>
      </c>
      <c r="C3862" t="str">
        <f>"9781593851361"</f>
        <v>9781593851361</v>
      </c>
      <c r="D3862" t="str">
        <f>"9781593856663"</f>
        <v>9781593856663</v>
      </c>
      <c r="E3862" t="s">
        <v>3740</v>
      </c>
      <c r="F3862" t="s">
        <v>3741</v>
      </c>
      <c r="G3862" s="1">
        <v>39196</v>
      </c>
      <c r="H3862" s="1">
        <v>39371</v>
      </c>
      <c r="I3862" t="s">
        <v>12</v>
      </c>
      <c r="J3862" t="s">
        <v>14632</v>
      </c>
    </row>
    <row r="3863" spans="1:10" x14ac:dyDescent="0.25">
      <c r="A3863">
        <v>312908</v>
      </c>
      <c r="B3863" t="s">
        <v>4037</v>
      </c>
      <c r="C3863" t="str">
        <f>"9781593854027"</f>
        <v>9781593854027</v>
      </c>
      <c r="D3863" t="str">
        <f>"9781593856687"</f>
        <v>9781593856687</v>
      </c>
      <c r="E3863" t="s">
        <v>3740</v>
      </c>
      <c r="F3863" t="s">
        <v>3741</v>
      </c>
      <c r="G3863" s="1">
        <v>39087</v>
      </c>
      <c r="H3863" s="1">
        <v>39371</v>
      </c>
      <c r="I3863" t="s">
        <v>12</v>
      </c>
      <c r="J3863" t="s">
        <v>14633</v>
      </c>
    </row>
    <row r="3864" spans="1:10" x14ac:dyDescent="0.25">
      <c r="A3864">
        <v>312909</v>
      </c>
      <c r="B3864" t="s">
        <v>4038</v>
      </c>
      <c r="C3864" t="str">
        <f>"9781593853624"</f>
        <v>9781593853624</v>
      </c>
      <c r="D3864" t="str">
        <f>"9781593856694"</f>
        <v>9781593856694</v>
      </c>
      <c r="E3864" t="s">
        <v>3740</v>
      </c>
      <c r="F3864" t="s">
        <v>3741</v>
      </c>
      <c r="G3864" s="1">
        <v>39134</v>
      </c>
      <c r="H3864" s="1">
        <v>39371</v>
      </c>
      <c r="I3864" t="s">
        <v>12</v>
      </c>
      <c r="J3864" t="s">
        <v>14634</v>
      </c>
    </row>
    <row r="3865" spans="1:10" x14ac:dyDescent="0.25">
      <c r="A3865">
        <v>312959</v>
      </c>
      <c r="B3865" t="s">
        <v>4039</v>
      </c>
      <c r="C3865" t="str">
        <f>"9781845932770"</f>
        <v>9781845932770</v>
      </c>
      <c r="D3865" t="str">
        <f>"9781845932787"</f>
        <v>9781845932787</v>
      </c>
      <c r="E3865" t="s">
        <v>2878</v>
      </c>
      <c r="F3865" t="s">
        <v>2879</v>
      </c>
      <c r="G3865" s="1">
        <v>39326</v>
      </c>
      <c r="H3865" s="1">
        <v>39341</v>
      </c>
      <c r="I3865" t="s">
        <v>12</v>
      </c>
      <c r="J3865" t="s">
        <v>14635</v>
      </c>
    </row>
    <row r="3866" spans="1:10" x14ac:dyDescent="0.25">
      <c r="A3866">
        <v>312960</v>
      </c>
      <c r="B3866" t="s">
        <v>4040</v>
      </c>
      <c r="C3866" t="str">
        <f>"9781845932671"</f>
        <v>9781845932671</v>
      </c>
      <c r="D3866" t="str">
        <f>"9781845932688"</f>
        <v>9781845932688</v>
      </c>
      <c r="E3866" t="s">
        <v>2878</v>
      </c>
      <c r="F3866" t="s">
        <v>2879</v>
      </c>
      <c r="G3866" s="1">
        <v>39264</v>
      </c>
      <c r="H3866" s="1">
        <v>39341</v>
      </c>
      <c r="I3866" t="s">
        <v>12</v>
      </c>
      <c r="J3866" t="s">
        <v>14636</v>
      </c>
    </row>
    <row r="3867" spans="1:10" x14ac:dyDescent="0.25">
      <c r="A3867">
        <v>312961</v>
      </c>
      <c r="B3867" t="s">
        <v>4041</v>
      </c>
      <c r="C3867" t="str">
        <f>"9780954804589"</f>
        <v>9780954804589</v>
      </c>
      <c r="D3867" t="str">
        <f>"9781433710940"</f>
        <v>9781433710940</v>
      </c>
      <c r="E3867" t="s">
        <v>889</v>
      </c>
      <c r="F3867" t="s">
        <v>889</v>
      </c>
      <c r="G3867" s="1">
        <v>39338</v>
      </c>
      <c r="H3867" s="1">
        <v>39471</v>
      </c>
      <c r="I3867" t="s">
        <v>12</v>
      </c>
      <c r="J3867" t="s">
        <v>14637</v>
      </c>
    </row>
    <row r="3868" spans="1:10" x14ac:dyDescent="0.25">
      <c r="A3868">
        <v>313055</v>
      </c>
      <c r="B3868" t="s">
        <v>4042</v>
      </c>
      <c r="C3868" t="str">
        <f>"9780750655293"</f>
        <v>9780750655293</v>
      </c>
      <c r="D3868" t="str">
        <f>"9780080512396"</f>
        <v>9780080512396</v>
      </c>
      <c r="E3868" t="s">
        <v>1119</v>
      </c>
      <c r="F3868" t="s">
        <v>4043</v>
      </c>
      <c r="G3868" s="1">
        <v>39814</v>
      </c>
      <c r="H3868" s="1">
        <v>40577</v>
      </c>
      <c r="I3868" t="s">
        <v>12</v>
      </c>
      <c r="J3868" t="s">
        <v>14638</v>
      </c>
    </row>
    <row r="3869" spans="1:10" x14ac:dyDescent="0.25">
      <c r="A3869">
        <v>313057</v>
      </c>
      <c r="B3869" t="s">
        <v>4044</v>
      </c>
      <c r="C3869" t="str">
        <f>"9780954804503"</f>
        <v>9780954804503</v>
      </c>
      <c r="D3869" t="str">
        <f>"9781433710957"</f>
        <v>9781433710957</v>
      </c>
      <c r="E3869" t="s">
        <v>889</v>
      </c>
      <c r="F3869" t="s">
        <v>889</v>
      </c>
      <c r="G3869" s="1">
        <v>39339</v>
      </c>
      <c r="H3869" s="1">
        <v>39471</v>
      </c>
      <c r="I3869" t="s">
        <v>12</v>
      </c>
      <c r="J3869" t="s">
        <v>14639</v>
      </c>
    </row>
    <row r="3870" spans="1:10" x14ac:dyDescent="0.25">
      <c r="A3870">
        <v>313180</v>
      </c>
      <c r="B3870" t="s">
        <v>4045</v>
      </c>
      <c r="C3870" t="str">
        <f>"9781841501734"</f>
        <v>9781841501734</v>
      </c>
      <c r="D3870" t="str">
        <f>"9781841509822"</f>
        <v>9781841509822</v>
      </c>
      <c r="E3870" t="s">
        <v>2646</v>
      </c>
      <c r="F3870" t="s">
        <v>2647</v>
      </c>
      <c r="G3870" s="1">
        <v>39356</v>
      </c>
      <c r="H3870" s="1">
        <v>39636</v>
      </c>
      <c r="I3870" t="s">
        <v>12</v>
      </c>
      <c r="J3870" t="s">
        <v>14640</v>
      </c>
    </row>
    <row r="3871" spans="1:10" x14ac:dyDescent="0.25">
      <c r="A3871">
        <v>313181</v>
      </c>
      <c r="B3871" t="s">
        <v>4046</v>
      </c>
      <c r="C3871" t="str">
        <f>"9780748613762"</f>
        <v>9780748613762</v>
      </c>
      <c r="D3871" t="str">
        <f>"9780748628261"</f>
        <v>9780748628261</v>
      </c>
      <c r="E3871" t="s">
        <v>1942</v>
      </c>
      <c r="F3871" t="s">
        <v>1942</v>
      </c>
      <c r="G3871" s="1">
        <v>39275</v>
      </c>
      <c r="H3871" s="1">
        <v>39345</v>
      </c>
      <c r="I3871" t="s">
        <v>12</v>
      </c>
      <c r="J3871" t="s">
        <v>14641</v>
      </c>
    </row>
    <row r="3872" spans="1:10" x14ac:dyDescent="0.25">
      <c r="A3872">
        <v>313182</v>
      </c>
      <c r="B3872" t="s">
        <v>4047</v>
      </c>
      <c r="C3872" t="str">
        <f>"9780748633548"</f>
        <v>9780748633548</v>
      </c>
      <c r="D3872" t="str">
        <f>"9780748633562"</f>
        <v>9780748633562</v>
      </c>
      <c r="E3872" t="s">
        <v>1942</v>
      </c>
      <c r="F3872" t="s">
        <v>1942</v>
      </c>
      <c r="G3872" s="1">
        <v>39264</v>
      </c>
      <c r="H3872" s="1">
        <v>39345</v>
      </c>
      <c r="I3872" t="s">
        <v>12</v>
      </c>
      <c r="J3872" t="s">
        <v>14642</v>
      </c>
    </row>
    <row r="3873" spans="1:10" x14ac:dyDescent="0.25">
      <c r="A3873">
        <v>313183</v>
      </c>
      <c r="B3873" t="s">
        <v>4048</v>
      </c>
      <c r="C3873" t="str">
        <f>"9780748625444"</f>
        <v>9780748625444</v>
      </c>
      <c r="D3873" t="str">
        <f>"9780748630967"</f>
        <v>9780748630967</v>
      </c>
      <c r="E3873" t="s">
        <v>1942</v>
      </c>
      <c r="F3873" t="s">
        <v>1942</v>
      </c>
      <c r="G3873" s="1">
        <v>39295</v>
      </c>
      <c r="H3873" s="1">
        <v>39345</v>
      </c>
      <c r="I3873" t="s">
        <v>12</v>
      </c>
      <c r="J3873" t="s">
        <v>14643</v>
      </c>
    </row>
    <row r="3874" spans="1:10" x14ac:dyDescent="0.25">
      <c r="A3874">
        <v>313184</v>
      </c>
      <c r="B3874" t="s">
        <v>4049</v>
      </c>
      <c r="C3874" t="str">
        <f>"9780748625314"</f>
        <v>9780748625314</v>
      </c>
      <c r="D3874" t="str">
        <f>"9780748630899"</f>
        <v>9780748630899</v>
      </c>
      <c r="E3874" t="s">
        <v>1942</v>
      </c>
      <c r="F3874" t="s">
        <v>1942</v>
      </c>
      <c r="G3874" s="1">
        <v>39239</v>
      </c>
      <c r="H3874" s="1">
        <v>39345</v>
      </c>
      <c r="I3874" t="s">
        <v>12</v>
      </c>
      <c r="J3874" t="s">
        <v>14644</v>
      </c>
    </row>
    <row r="3875" spans="1:10" x14ac:dyDescent="0.25">
      <c r="A3875">
        <v>313187</v>
      </c>
      <c r="B3875" t="s">
        <v>4050</v>
      </c>
      <c r="C3875" t="str">
        <f>"9780748633579"</f>
        <v>9780748633579</v>
      </c>
      <c r="D3875" t="str">
        <f>"9780748633593"</f>
        <v>9780748633593</v>
      </c>
      <c r="E3875" t="s">
        <v>1942</v>
      </c>
      <c r="F3875" t="s">
        <v>1942</v>
      </c>
      <c r="G3875" s="1">
        <v>39269</v>
      </c>
      <c r="H3875" s="1">
        <v>39345</v>
      </c>
      <c r="I3875" t="s">
        <v>12</v>
      </c>
      <c r="J3875" t="s">
        <v>14645</v>
      </c>
    </row>
    <row r="3876" spans="1:10" x14ac:dyDescent="0.25">
      <c r="A3876">
        <v>313189</v>
      </c>
      <c r="B3876" t="s">
        <v>4051</v>
      </c>
      <c r="C3876" t="str">
        <f>"9780748623471"</f>
        <v>9780748623471</v>
      </c>
      <c r="D3876" t="str">
        <f>"9780748630073"</f>
        <v>9780748630073</v>
      </c>
      <c r="E3876" t="s">
        <v>1942</v>
      </c>
      <c r="F3876" t="s">
        <v>1942</v>
      </c>
      <c r="G3876" s="1">
        <v>39340</v>
      </c>
      <c r="H3876" s="1">
        <v>39345</v>
      </c>
      <c r="I3876" t="s">
        <v>12</v>
      </c>
      <c r="J3876" t="s">
        <v>14646</v>
      </c>
    </row>
    <row r="3877" spans="1:10" x14ac:dyDescent="0.25">
      <c r="A3877">
        <v>313190</v>
      </c>
      <c r="B3877" t="s">
        <v>4052</v>
      </c>
      <c r="C3877" t="str">
        <f>"9780748619931"</f>
        <v>9780748619931</v>
      </c>
      <c r="D3877" t="str">
        <f>"9780748627127"</f>
        <v>9780748627127</v>
      </c>
      <c r="E3877" t="s">
        <v>1942</v>
      </c>
      <c r="F3877" t="s">
        <v>1942</v>
      </c>
      <c r="G3877" s="1">
        <v>38904</v>
      </c>
      <c r="H3877" s="1">
        <v>39345</v>
      </c>
      <c r="I3877" t="s">
        <v>12</v>
      </c>
      <c r="J3877" t="s">
        <v>14647</v>
      </c>
    </row>
    <row r="3878" spans="1:10" x14ac:dyDescent="0.25">
      <c r="A3878">
        <v>313193</v>
      </c>
      <c r="B3878" t="s">
        <v>4053</v>
      </c>
      <c r="C3878" t="str">
        <f>"9780748621446"</f>
        <v>9780748621446</v>
      </c>
      <c r="D3878" t="str">
        <f>"9780748627035"</f>
        <v>9780748627035</v>
      </c>
      <c r="E3878" t="s">
        <v>1942</v>
      </c>
      <c r="F3878" t="s">
        <v>1942</v>
      </c>
      <c r="G3878" s="1">
        <v>38898</v>
      </c>
      <c r="H3878" s="1">
        <v>39345</v>
      </c>
      <c r="I3878" t="s">
        <v>12</v>
      </c>
      <c r="J3878" t="s">
        <v>14648</v>
      </c>
    </row>
    <row r="3879" spans="1:10" x14ac:dyDescent="0.25">
      <c r="A3879">
        <v>313244</v>
      </c>
      <c r="B3879" t="s">
        <v>4054</v>
      </c>
      <c r="C3879" t="str">
        <f>"9781574412260"</f>
        <v>9781574412260</v>
      </c>
      <c r="D3879" t="str">
        <f>"9781574413878"</f>
        <v>9781574413878</v>
      </c>
      <c r="E3879" t="s">
        <v>4055</v>
      </c>
      <c r="F3879" t="s">
        <v>4055</v>
      </c>
      <c r="G3879" s="1">
        <v>39097</v>
      </c>
      <c r="H3879" s="1">
        <v>39449</v>
      </c>
      <c r="I3879" t="s">
        <v>12</v>
      </c>
      <c r="J3879" t="s">
        <v>14649</v>
      </c>
    </row>
    <row r="3880" spans="1:10" x14ac:dyDescent="0.25">
      <c r="A3880">
        <v>313297</v>
      </c>
      <c r="B3880" t="s">
        <v>4056</v>
      </c>
      <c r="C3880" t="str">
        <f>"9780803259744"</f>
        <v>9780803259744</v>
      </c>
      <c r="D3880" t="str">
        <f>"9780803215658"</f>
        <v>9780803215658</v>
      </c>
      <c r="E3880" t="s">
        <v>2728</v>
      </c>
      <c r="F3880" t="s">
        <v>2729</v>
      </c>
      <c r="G3880" s="1">
        <v>39356</v>
      </c>
      <c r="H3880" s="1">
        <v>39399</v>
      </c>
      <c r="I3880" t="s">
        <v>12</v>
      </c>
      <c r="J3880" t="s">
        <v>14650</v>
      </c>
    </row>
    <row r="3881" spans="1:10" x14ac:dyDescent="0.25">
      <c r="A3881">
        <v>313299</v>
      </c>
      <c r="B3881" t="s">
        <v>4057</v>
      </c>
      <c r="C3881" t="str">
        <f>"9780803239685"</f>
        <v>9780803239685</v>
      </c>
      <c r="D3881" t="str">
        <f>"9780803209893"</f>
        <v>9780803209893</v>
      </c>
      <c r="E3881" t="s">
        <v>2728</v>
      </c>
      <c r="F3881" t="s">
        <v>2729</v>
      </c>
      <c r="G3881" s="1">
        <v>39417</v>
      </c>
      <c r="H3881" s="1">
        <v>39399</v>
      </c>
      <c r="I3881" t="s">
        <v>12</v>
      </c>
      <c r="J3881" t="s">
        <v>14651</v>
      </c>
    </row>
    <row r="3882" spans="1:10" x14ac:dyDescent="0.25">
      <c r="A3882">
        <v>313303</v>
      </c>
      <c r="B3882" t="s">
        <v>4058</v>
      </c>
      <c r="C3882" t="str">
        <f>"9780803210974"</f>
        <v>9780803210974</v>
      </c>
      <c r="D3882" t="str">
        <f>"9780803216204"</f>
        <v>9780803216204</v>
      </c>
      <c r="E3882" t="s">
        <v>2728</v>
      </c>
      <c r="F3882" t="s">
        <v>2729</v>
      </c>
      <c r="G3882" s="1">
        <v>39387</v>
      </c>
      <c r="H3882" s="1">
        <v>39399</v>
      </c>
      <c r="I3882" t="s">
        <v>12</v>
      </c>
      <c r="J3882" t="s">
        <v>14652</v>
      </c>
    </row>
    <row r="3883" spans="1:10" x14ac:dyDescent="0.25">
      <c r="A3883">
        <v>313307</v>
      </c>
      <c r="B3883" t="s">
        <v>4059</v>
      </c>
      <c r="C3883" t="str">
        <f>"9780803215153"</f>
        <v>9780803215153</v>
      </c>
      <c r="D3883" t="str">
        <f>"9780803215436"</f>
        <v>9780803215436</v>
      </c>
      <c r="E3883" t="s">
        <v>2735</v>
      </c>
      <c r="F3883" t="s">
        <v>2728</v>
      </c>
      <c r="G3883" s="1">
        <v>43878</v>
      </c>
      <c r="H3883" s="1">
        <v>39399</v>
      </c>
      <c r="I3883" t="s">
        <v>12</v>
      </c>
      <c r="J3883" t="s">
        <v>14653</v>
      </c>
    </row>
    <row r="3884" spans="1:10" x14ac:dyDescent="0.25">
      <c r="A3884">
        <v>313309</v>
      </c>
      <c r="B3884" t="s">
        <v>4060</v>
      </c>
      <c r="C3884" t="str">
        <f>"9780803260191"</f>
        <v>9780803260191</v>
      </c>
      <c r="D3884" t="str">
        <f>"9780803209978"</f>
        <v>9780803209978</v>
      </c>
      <c r="E3884" t="s">
        <v>2728</v>
      </c>
      <c r="F3884" t="s">
        <v>2729</v>
      </c>
      <c r="G3884" s="1">
        <v>39417</v>
      </c>
      <c r="H3884" s="1">
        <v>39399</v>
      </c>
      <c r="I3884" t="s">
        <v>12</v>
      </c>
      <c r="J3884" t="s">
        <v>14654</v>
      </c>
    </row>
    <row r="3885" spans="1:10" x14ac:dyDescent="0.25">
      <c r="A3885">
        <v>313310</v>
      </c>
      <c r="B3885" t="s">
        <v>4061</v>
      </c>
      <c r="C3885" t="str">
        <f>"9780803260092"</f>
        <v>9780803260092</v>
      </c>
      <c r="D3885" t="str">
        <f>"9780803209862"</f>
        <v>9780803209862</v>
      </c>
      <c r="E3885" t="s">
        <v>2728</v>
      </c>
      <c r="F3885" t="s">
        <v>2729</v>
      </c>
      <c r="G3885" s="1">
        <v>39448</v>
      </c>
      <c r="H3885" s="1">
        <v>39546</v>
      </c>
      <c r="I3885" t="s">
        <v>12</v>
      </c>
      <c r="J3885" t="s">
        <v>14655</v>
      </c>
    </row>
    <row r="3886" spans="1:10" x14ac:dyDescent="0.25">
      <c r="A3886">
        <v>313314</v>
      </c>
      <c r="B3886" t="s">
        <v>4062</v>
      </c>
      <c r="C3886" t="str">
        <f>"9780803211360"</f>
        <v>9780803211360</v>
      </c>
      <c r="D3886" t="str">
        <f>"9780803239579"</f>
        <v>9780803239579</v>
      </c>
      <c r="E3886" t="s">
        <v>2735</v>
      </c>
      <c r="F3886" t="s">
        <v>2728</v>
      </c>
      <c r="G3886" s="1">
        <v>39326</v>
      </c>
      <c r="H3886" s="1">
        <v>39399</v>
      </c>
      <c r="I3886" t="s">
        <v>12</v>
      </c>
      <c r="J3886" t="s">
        <v>14656</v>
      </c>
    </row>
    <row r="3887" spans="1:10" x14ac:dyDescent="0.25">
      <c r="A3887">
        <v>313317</v>
      </c>
      <c r="B3887" t="s">
        <v>4063</v>
      </c>
      <c r="C3887" t="str">
        <f>"9780803222151"</f>
        <v>9780803222151</v>
      </c>
      <c r="D3887" t="str">
        <f>"9780803215832"</f>
        <v>9780803215832</v>
      </c>
      <c r="E3887" t="s">
        <v>2728</v>
      </c>
      <c r="F3887" t="s">
        <v>2729</v>
      </c>
      <c r="G3887" s="1">
        <v>39448</v>
      </c>
      <c r="H3887" s="1">
        <v>39546</v>
      </c>
      <c r="I3887" t="s">
        <v>12</v>
      </c>
      <c r="J3887" t="s">
        <v>14657</v>
      </c>
    </row>
    <row r="3888" spans="1:10" x14ac:dyDescent="0.25">
      <c r="A3888">
        <v>313319</v>
      </c>
      <c r="B3888" t="s">
        <v>4064</v>
      </c>
      <c r="C3888" t="str">
        <f>"9780803211285"</f>
        <v>9780803211285</v>
      </c>
      <c r="D3888" t="str">
        <f>"9780803209848"</f>
        <v>9780803209848</v>
      </c>
      <c r="E3888" t="s">
        <v>2728</v>
      </c>
      <c r="F3888" t="s">
        <v>2729</v>
      </c>
      <c r="G3888" s="1">
        <v>39326</v>
      </c>
      <c r="H3888" s="1">
        <v>39399</v>
      </c>
      <c r="I3888" t="s">
        <v>12</v>
      </c>
      <c r="J3888" t="s">
        <v>14658</v>
      </c>
    </row>
    <row r="3889" spans="1:10" x14ac:dyDescent="0.25">
      <c r="A3889">
        <v>313329</v>
      </c>
      <c r="B3889" t="s">
        <v>4065</v>
      </c>
      <c r="C3889" t="str">
        <f>"9780803276239"</f>
        <v>9780803276239</v>
      </c>
      <c r="D3889" t="str">
        <f>"9780803276338"</f>
        <v>9780803276338</v>
      </c>
      <c r="E3889" t="s">
        <v>2728</v>
      </c>
      <c r="F3889" t="s">
        <v>2729</v>
      </c>
      <c r="G3889" s="1">
        <v>39417</v>
      </c>
      <c r="H3889" s="1">
        <v>39399</v>
      </c>
      <c r="I3889" t="s">
        <v>12</v>
      </c>
      <c r="J3889" t="s">
        <v>14659</v>
      </c>
    </row>
    <row r="3890" spans="1:10" x14ac:dyDescent="0.25">
      <c r="A3890">
        <v>313332</v>
      </c>
      <c r="B3890" t="s">
        <v>4066</v>
      </c>
      <c r="C3890" t="str">
        <f>"9780803260016"</f>
        <v>9780803260016</v>
      </c>
      <c r="D3890" t="str">
        <f>"9780803215849"</f>
        <v>9780803215849</v>
      </c>
      <c r="E3890" t="s">
        <v>4067</v>
      </c>
      <c r="F3890" t="s">
        <v>2729</v>
      </c>
      <c r="G3890" s="1">
        <v>39356</v>
      </c>
      <c r="H3890" s="1">
        <v>39399</v>
      </c>
      <c r="I3890" t="s">
        <v>12</v>
      </c>
      <c r="J3890" t="s">
        <v>14660</v>
      </c>
    </row>
    <row r="3891" spans="1:10" x14ac:dyDescent="0.25">
      <c r="A3891">
        <v>313333</v>
      </c>
      <c r="B3891" t="s">
        <v>4068</v>
      </c>
      <c r="C3891" t="str">
        <f>"9780803213654"</f>
        <v>9780803213654</v>
      </c>
      <c r="D3891" t="str">
        <f>"9780803213647"</f>
        <v>9780803213647</v>
      </c>
      <c r="E3891" t="s">
        <v>2728</v>
      </c>
      <c r="F3891" t="s">
        <v>2729</v>
      </c>
      <c r="G3891" s="1">
        <v>39356</v>
      </c>
      <c r="H3891" s="1">
        <v>39399</v>
      </c>
      <c r="I3891" t="s">
        <v>12</v>
      </c>
      <c r="J3891" t="s">
        <v>14661</v>
      </c>
    </row>
    <row r="3892" spans="1:10" x14ac:dyDescent="0.25">
      <c r="A3892">
        <v>313335</v>
      </c>
      <c r="B3892" t="s">
        <v>4069</v>
      </c>
      <c r="C3892" t="str">
        <f>"9780803260368"</f>
        <v>9780803260368</v>
      </c>
      <c r="D3892" t="str">
        <f>"9780803215733"</f>
        <v>9780803215733</v>
      </c>
      <c r="E3892" t="s">
        <v>2728</v>
      </c>
      <c r="F3892" t="s">
        <v>2729</v>
      </c>
      <c r="G3892" s="1">
        <v>39448</v>
      </c>
      <c r="H3892" s="1">
        <v>39546</v>
      </c>
      <c r="I3892" t="s">
        <v>12</v>
      </c>
      <c r="J3892" t="s">
        <v>14662</v>
      </c>
    </row>
    <row r="3893" spans="1:10" x14ac:dyDescent="0.25">
      <c r="A3893">
        <v>313336</v>
      </c>
      <c r="B3893" t="s">
        <v>4070</v>
      </c>
      <c r="C3893" t="str">
        <f>"9780803224384"</f>
        <v>9780803224384</v>
      </c>
      <c r="D3893" t="str">
        <f>"9780803215788"</f>
        <v>9780803215788</v>
      </c>
      <c r="E3893" t="s">
        <v>2728</v>
      </c>
      <c r="F3893" t="s">
        <v>2729</v>
      </c>
      <c r="G3893" s="1">
        <v>39448</v>
      </c>
      <c r="H3893" s="1">
        <v>39399</v>
      </c>
      <c r="I3893" t="s">
        <v>12</v>
      </c>
      <c r="J3893" t="s">
        <v>14663</v>
      </c>
    </row>
    <row r="3894" spans="1:10" x14ac:dyDescent="0.25">
      <c r="A3894">
        <v>313338</v>
      </c>
      <c r="B3894" t="s">
        <v>4071</v>
      </c>
      <c r="C3894" t="str">
        <f>"9780803259591"</f>
        <v>9780803259591</v>
      </c>
      <c r="D3894" t="str">
        <f>"9780803215962"</f>
        <v>9780803215962</v>
      </c>
      <c r="E3894" t="s">
        <v>2728</v>
      </c>
      <c r="F3894" t="s">
        <v>2729</v>
      </c>
      <c r="G3894" s="1">
        <v>39356</v>
      </c>
      <c r="H3894" s="1">
        <v>39399</v>
      </c>
      <c r="I3894" t="s">
        <v>12</v>
      </c>
      <c r="J3894" t="s">
        <v>14664</v>
      </c>
    </row>
    <row r="3895" spans="1:10" x14ac:dyDescent="0.25">
      <c r="A3895">
        <v>313589</v>
      </c>
      <c r="B3895" t="s">
        <v>4072</v>
      </c>
      <c r="C3895" t="str">
        <f>"9780240520407"</f>
        <v>9780240520407</v>
      </c>
      <c r="D3895" t="str">
        <f>"9780080551920"</f>
        <v>9780080551920</v>
      </c>
      <c r="E3895" t="s">
        <v>15</v>
      </c>
      <c r="F3895" t="s">
        <v>1122</v>
      </c>
      <c r="G3895" s="1">
        <v>39350</v>
      </c>
      <c r="H3895" s="1">
        <v>39486</v>
      </c>
      <c r="I3895" t="s">
        <v>12</v>
      </c>
      <c r="J3895" t="s">
        <v>14665</v>
      </c>
    </row>
    <row r="3896" spans="1:10" x14ac:dyDescent="0.25">
      <c r="A3896">
        <v>313806</v>
      </c>
      <c r="B3896" t="s">
        <v>4073</v>
      </c>
      <c r="C3896" t="str">
        <f>"9780750685825"</f>
        <v>9780750685825</v>
      </c>
      <c r="D3896" t="str">
        <f>"9780080552019"</f>
        <v>9780080552019</v>
      </c>
      <c r="E3896" t="s">
        <v>1119</v>
      </c>
      <c r="F3896" t="s">
        <v>4074</v>
      </c>
      <c r="G3896" s="1">
        <v>39339</v>
      </c>
      <c r="H3896" s="1">
        <v>39354</v>
      </c>
      <c r="I3896" t="s">
        <v>12</v>
      </c>
      <c r="J3896" t="s">
        <v>14666</v>
      </c>
    </row>
    <row r="3897" spans="1:10" x14ac:dyDescent="0.25">
      <c r="A3897">
        <v>314051</v>
      </c>
      <c r="B3897" t="s">
        <v>4075</v>
      </c>
      <c r="C3897" t="str">
        <f>"9783110171785"</f>
        <v>9783110171785</v>
      </c>
      <c r="D3897" t="str">
        <f>"9783110200942"</f>
        <v>9783110200942</v>
      </c>
      <c r="E3897" t="s">
        <v>2482</v>
      </c>
      <c r="F3897" t="s">
        <v>2482</v>
      </c>
      <c r="G3897" s="1">
        <v>37427</v>
      </c>
      <c r="H3897" s="1">
        <v>39471</v>
      </c>
      <c r="I3897" t="s">
        <v>12</v>
      </c>
      <c r="J3897" t="s">
        <v>14667</v>
      </c>
    </row>
    <row r="3898" spans="1:10" x14ac:dyDescent="0.25">
      <c r="A3898">
        <v>314061</v>
      </c>
      <c r="B3898" t="s">
        <v>4076</v>
      </c>
      <c r="C3898" t="str">
        <f>"9783110158076"</f>
        <v>9783110158076</v>
      </c>
      <c r="D3898" t="str">
        <f>"9783110197976"</f>
        <v>9783110197976</v>
      </c>
      <c r="E3898" t="s">
        <v>2482</v>
      </c>
      <c r="F3898" t="s">
        <v>2482</v>
      </c>
      <c r="G3898" s="1">
        <v>39070</v>
      </c>
      <c r="H3898" s="1">
        <v>39422</v>
      </c>
      <c r="I3898" t="s">
        <v>12</v>
      </c>
      <c r="J3898" t="s">
        <v>14668</v>
      </c>
    </row>
    <row r="3899" spans="1:10" x14ac:dyDescent="0.25">
      <c r="A3899">
        <v>314078</v>
      </c>
      <c r="B3899" t="s">
        <v>4077</v>
      </c>
      <c r="C3899" t="str">
        <f>"9783110157529"</f>
        <v>9783110157529</v>
      </c>
      <c r="D3899" t="str">
        <f>"9783110197099"</f>
        <v>9783110197099</v>
      </c>
      <c r="E3899" t="s">
        <v>2482</v>
      </c>
      <c r="F3899" t="s">
        <v>2483</v>
      </c>
      <c r="G3899" s="1">
        <v>36683</v>
      </c>
      <c r="H3899" s="1">
        <v>40147</v>
      </c>
      <c r="I3899" t="s">
        <v>12</v>
      </c>
      <c r="J3899" t="s">
        <v>14669</v>
      </c>
    </row>
    <row r="3900" spans="1:10" x14ac:dyDescent="0.25">
      <c r="A3900">
        <v>314085</v>
      </c>
      <c r="B3900" t="s">
        <v>4078</v>
      </c>
      <c r="C3900" t="str">
        <f>"9780520249653"</f>
        <v>9780520249653</v>
      </c>
      <c r="D3900" t="str">
        <f>"9780520933392"</f>
        <v>9780520933392</v>
      </c>
      <c r="E3900" t="s">
        <v>2000</v>
      </c>
      <c r="F3900" t="s">
        <v>2000</v>
      </c>
      <c r="G3900" s="1">
        <v>39226</v>
      </c>
      <c r="H3900" s="1">
        <v>42328</v>
      </c>
      <c r="I3900" t="s">
        <v>12</v>
      </c>
      <c r="J3900" t="s">
        <v>14670</v>
      </c>
    </row>
    <row r="3901" spans="1:10" x14ac:dyDescent="0.25">
      <c r="A3901">
        <v>314086</v>
      </c>
      <c r="B3901" t="s">
        <v>4079</v>
      </c>
      <c r="C3901" t="str">
        <f>"9780520259881"</f>
        <v>9780520259881</v>
      </c>
      <c r="D3901" t="str">
        <f>"9780520933347"</f>
        <v>9780520933347</v>
      </c>
      <c r="E3901" t="s">
        <v>2000</v>
      </c>
      <c r="F3901" t="s">
        <v>2000</v>
      </c>
      <c r="G3901" s="1">
        <v>39296</v>
      </c>
      <c r="H3901" s="1">
        <v>42328</v>
      </c>
      <c r="I3901" t="s">
        <v>12</v>
      </c>
      <c r="J3901" t="s">
        <v>14671</v>
      </c>
    </row>
    <row r="3902" spans="1:10" x14ac:dyDescent="0.25">
      <c r="A3902">
        <v>314090</v>
      </c>
      <c r="B3902" t="s">
        <v>4080</v>
      </c>
      <c r="C3902" t="str">
        <f>"9781933531052"</f>
        <v>9781933531052</v>
      </c>
      <c r="D3902" t="str">
        <f>"9781933531755"</f>
        <v>9781933531755</v>
      </c>
      <c r="E3902" t="s">
        <v>1848</v>
      </c>
      <c r="F3902" t="s">
        <v>1848</v>
      </c>
      <c r="G3902" s="1">
        <v>39083</v>
      </c>
      <c r="H3902" s="1">
        <v>39357</v>
      </c>
      <c r="I3902" t="s">
        <v>12</v>
      </c>
      <c r="J3902" t="s">
        <v>14672</v>
      </c>
    </row>
    <row r="3903" spans="1:10" x14ac:dyDescent="0.25">
      <c r="A3903">
        <v>314094</v>
      </c>
      <c r="B3903" t="s">
        <v>4081</v>
      </c>
      <c r="C3903" t="str">
        <f>"9780873552387"</f>
        <v>9780873552387</v>
      </c>
      <c r="D3903" t="str">
        <f>"9781933531816"</f>
        <v>9781933531816</v>
      </c>
      <c r="E3903" t="s">
        <v>1848</v>
      </c>
      <c r="F3903" t="s">
        <v>1848</v>
      </c>
      <c r="G3903" s="1">
        <v>38353</v>
      </c>
      <c r="H3903" s="1">
        <v>39357</v>
      </c>
      <c r="I3903" t="s">
        <v>12</v>
      </c>
      <c r="J3903" t="s">
        <v>14673</v>
      </c>
    </row>
    <row r="3904" spans="1:10" x14ac:dyDescent="0.25">
      <c r="A3904">
        <v>314259</v>
      </c>
      <c r="B3904" t="s">
        <v>4082</v>
      </c>
      <c r="C3904" t="str">
        <f>"9781571104632"</f>
        <v>9781571104632</v>
      </c>
      <c r="D3904" t="str">
        <f>"9781571107190"</f>
        <v>9781571107190</v>
      </c>
      <c r="E3904" t="s">
        <v>1329</v>
      </c>
      <c r="F3904" t="s">
        <v>1330</v>
      </c>
      <c r="G3904" s="1">
        <v>37257</v>
      </c>
      <c r="H3904" s="1">
        <v>39356</v>
      </c>
      <c r="I3904" t="s">
        <v>12</v>
      </c>
      <c r="J3904" t="s">
        <v>14674</v>
      </c>
    </row>
    <row r="3905" spans="1:10" x14ac:dyDescent="0.25">
      <c r="A3905">
        <v>314281</v>
      </c>
      <c r="B3905" t="s">
        <v>4083</v>
      </c>
      <c r="C3905" t="str">
        <f>"9781416605713"</f>
        <v>9781416605713</v>
      </c>
      <c r="D3905" t="str">
        <f>"9781416606581"</f>
        <v>9781416606581</v>
      </c>
      <c r="E3905" t="s">
        <v>2492</v>
      </c>
      <c r="F3905" t="s">
        <v>2494</v>
      </c>
      <c r="G3905" s="1">
        <v>39288</v>
      </c>
      <c r="H3905" s="1">
        <v>39370</v>
      </c>
      <c r="I3905" t="s">
        <v>12</v>
      </c>
      <c r="J3905" t="s">
        <v>14675</v>
      </c>
    </row>
    <row r="3906" spans="1:10" x14ac:dyDescent="0.25">
      <c r="A3906">
        <v>314282</v>
      </c>
      <c r="B3906" t="s">
        <v>4084</v>
      </c>
      <c r="C3906" t="str">
        <f>"9781416605690"</f>
        <v>9781416605690</v>
      </c>
      <c r="D3906" t="str">
        <f>"9781416606734"</f>
        <v>9781416606734</v>
      </c>
      <c r="E3906" t="s">
        <v>2492</v>
      </c>
      <c r="F3906" t="s">
        <v>2494</v>
      </c>
      <c r="G3906" s="1">
        <v>39340</v>
      </c>
      <c r="H3906" s="1">
        <v>39370</v>
      </c>
      <c r="I3906" t="s">
        <v>12</v>
      </c>
      <c r="J3906" t="s">
        <v>14676</v>
      </c>
    </row>
    <row r="3907" spans="1:10" x14ac:dyDescent="0.25">
      <c r="A3907">
        <v>314283</v>
      </c>
      <c r="B3907" t="s">
        <v>4085</v>
      </c>
      <c r="C3907" t="str">
        <f>"9781416605751"</f>
        <v>9781416605751</v>
      </c>
      <c r="D3907" t="str">
        <f>"9781416606147"</f>
        <v>9781416606147</v>
      </c>
      <c r="E3907" t="s">
        <v>2492</v>
      </c>
      <c r="F3907" t="s">
        <v>2494</v>
      </c>
      <c r="G3907" s="1">
        <v>39309</v>
      </c>
      <c r="H3907" s="1">
        <v>39418</v>
      </c>
      <c r="I3907" t="s">
        <v>12</v>
      </c>
      <c r="J3907" t="s">
        <v>14677</v>
      </c>
    </row>
    <row r="3908" spans="1:10" x14ac:dyDescent="0.25">
      <c r="A3908">
        <v>314284</v>
      </c>
      <c r="B3908" t="s">
        <v>4086</v>
      </c>
      <c r="C3908" t="str">
        <f>"9781416605737"</f>
        <v>9781416605737</v>
      </c>
      <c r="D3908" t="str">
        <f>"9781416606703"</f>
        <v>9781416606703</v>
      </c>
      <c r="E3908" t="s">
        <v>2492</v>
      </c>
      <c r="F3908" t="s">
        <v>2494</v>
      </c>
      <c r="G3908" s="1">
        <v>39332</v>
      </c>
      <c r="H3908" s="1">
        <v>39370</v>
      </c>
      <c r="I3908" t="s">
        <v>12</v>
      </c>
      <c r="J3908" t="s">
        <v>14678</v>
      </c>
    </row>
    <row r="3909" spans="1:10" x14ac:dyDescent="0.25">
      <c r="A3909">
        <v>314287</v>
      </c>
      <c r="B3909" t="s">
        <v>4087</v>
      </c>
      <c r="C3909" t="str">
        <f>"9780851996721"</f>
        <v>9780851996721</v>
      </c>
      <c r="D3909" t="str">
        <f>"9781845930219"</f>
        <v>9781845930219</v>
      </c>
      <c r="E3909" t="s">
        <v>2878</v>
      </c>
      <c r="F3909" t="s">
        <v>2879</v>
      </c>
      <c r="G3909" s="1">
        <v>38353</v>
      </c>
      <c r="H3909" s="1">
        <v>39430</v>
      </c>
      <c r="I3909" t="s">
        <v>12</v>
      </c>
      <c r="J3909" t="s">
        <v>14679</v>
      </c>
    </row>
    <row r="3910" spans="1:10" x14ac:dyDescent="0.25">
      <c r="A3910">
        <v>314288</v>
      </c>
      <c r="B3910" t="s">
        <v>4088</v>
      </c>
      <c r="C3910" t="str">
        <f>"9780851994338"</f>
        <v>9780851994338</v>
      </c>
      <c r="D3910" t="str">
        <f>"9780851997049"</f>
        <v>9780851997049</v>
      </c>
      <c r="E3910" t="s">
        <v>2878</v>
      </c>
      <c r="F3910" t="s">
        <v>2879</v>
      </c>
      <c r="G3910" s="1">
        <v>36892</v>
      </c>
      <c r="H3910" s="1">
        <v>39430</v>
      </c>
      <c r="I3910" t="s">
        <v>12</v>
      </c>
      <c r="J3910" t="s">
        <v>14680</v>
      </c>
    </row>
    <row r="3911" spans="1:10" x14ac:dyDescent="0.25">
      <c r="A3911">
        <v>314291</v>
      </c>
      <c r="B3911" t="s">
        <v>4089</v>
      </c>
      <c r="C3911" t="str">
        <f>"9780851995359"</f>
        <v>9780851995359</v>
      </c>
      <c r="D3911" t="str">
        <f>"9780851998961"</f>
        <v>9780851998961</v>
      </c>
      <c r="E3911" t="s">
        <v>2878</v>
      </c>
      <c r="F3911" t="s">
        <v>2879</v>
      </c>
      <c r="G3911" s="1">
        <v>36892</v>
      </c>
      <c r="H3911" s="1">
        <v>39368</v>
      </c>
      <c r="I3911" t="s">
        <v>12</v>
      </c>
      <c r="J3911" t="s">
        <v>14681</v>
      </c>
    </row>
    <row r="3912" spans="1:10" x14ac:dyDescent="0.25">
      <c r="A3912">
        <v>315007</v>
      </c>
      <c r="B3912" t="s">
        <v>4090</v>
      </c>
      <c r="C3912" t="str">
        <f>"9780815735137"</f>
        <v>9780815735137</v>
      </c>
      <c r="D3912" t="str">
        <f>"9780815735106"</f>
        <v>9780815735106</v>
      </c>
      <c r="E3912" t="s">
        <v>2013</v>
      </c>
      <c r="F3912" t="s">
        <v>2013</v>
      </c>
      <c r="G3912" s="1">
        <v>39356</v>
      </c>
      <c r="H3912" s="1">
        <v>39361</v>
      </c>
      <c r="I3912" t="s">
        <v>12</v>
      </c>
      <c r="J3912" t="s">
        <v>14682</v>
      </c>
    </row>
    <row r="3913" spans="1:10" x14ac:dyDescent="0.25">
      <c r="A3913">
        <v>315009</v>
      </c>
      <c r="B3913" t="s">
        <v>4091</v>
      </c>
      <c r="C3913" t="str">
        <f>"9780815736714"</f>
        <v>9780815736714</v>
      </c>
      <c r="D3913" t="str">
        <f>"9780815736721"</f>
        <v>9780815736721</v>
      </c>
      <c r="E3913" t="s">
        <v>2013</v>
      </c>
      <c r="F3913" t="s">
        <v>2013</v>
      </c>
      <c r="G3913" s="1">
        <v>39387</v>
      </c>
      <c r="H3913" s="1">
        <v>39361</v>
      </c>
      <c r="I3913" t="s">
        <v>12</v>
      </c>
      <c r="J3913" t="s">
        <v>14683</v>
      </c>
    </row>
    <row r="3914" spans="1:10" x14ac:dyDescent="0.25">
      <c r="A3914">
        <v>315013</v>
      </c>
      <c r="B3914" t="s">
        <v>4092</v>
      </c>
      <c r="C3914" t="str">
        <f>"9780815777359"</f>
        <v>9780815777359</v>
      </c>
      <c r="D3914" t="str">
        <f>"9780815777328"</f>
        <v>9780815777328</v>
      </c>
      <c r="E3914" t="s">
        <v>2013</v>
      </c>
      <c r="F3914" t="s">
        <v>2013</v>
      </c>
      <c r="G3914" s="1">
        <v>39329</v>
      </c>
      <c r="H3914" s="1">
        <v>39361</v>
      </c>
      <c r="I3914" t="s">
        <v>12</v>
      </c>
      <c r="J3914" t="s">
        <v>14684</v>
      </c>
    </row>
    <row r="3915" spans="1:10" x14ac:dyDescent="0.25">
      <c r="A3915">
        <v>315014</v>
      </c>
      <c r="B3915" t="s">
        <v>4093</v>
      </c>
      <c r="C3915" t="str">
        <f>"9780815708391"</f>
        <v>9780815708391</v>
      </c>
      <c r="D3915" t="str">
        <f>"9780815708407"</f>
        <v>9780815708407</v>
      </c>
      <c r="E3915" t="s">
        <v>2013</v>
      </c>
      <c r="F3915" t="s">
        <v>2013</v>
      </c>
      <c r="G3915" s="1">
        <v>39387</v>
      </c>
      <c r="H3915" s="1">
        <v>39361</v>
      </c>
      <c r="I3915" t="s">
        <v>12</v>
      </c>
      <c r="J3915" t="s">
        <v>14685</v>
      </c>
    </row>
    <row r="3916" spans="1:10" x14ac:dyDescent="0.25">
      <c r="A3916">
        <v>315091</v>
      </c>
      <c r="B3916" t="s">
        <v>4094</v>
      </c>
      <c r="C3916" t="str">
        <f>"9780851998336"</f>
        <v>9780851998336</v>
      </c>
      <c r="D3916" t="str">
        <f>"9781845932893"</f>
        <v>9781845932893</v>
      </c>
      <c r="E3916" t="s">
        <v>2878</v>
      </c>
      <c r="F3916" t="s">
        <v>2879</v>
      </c>
      <c r="G3916" s="1">
        <v>39264</v>
      </c>
      <c r="H3916" s="1">
        <v>39368</v>
      </c>
      <c r="I3916" t="s">
        <v>12</v>
      </c>
      <c r="J3916" t="s">
        <v>14686</v>
      </c>
    </row>
    <row r="3917" spans="1:10" x14ac:dyDescent="0.25">
      <c r="A3917">
        <v>315094</v>
      </c>
      <c r="B3917" t="s">
        <v>4095</v>
      </c>
      <c r="C3917" t="str">
        <f>"9781845932657"</f>
        <v>9781845932657</v>
      </c>
      <c r="D3917" t="str">
        <f>"9781845932664"</f>
        <v>9781845932664</v>
      </c>
      <c r="E3917" t="s">
        <v>2878</v>
      </c>
      <c r="F3917" t="s">
        <v>2879</v>
      </c>
      <c r="G3917" s="1">
        <v>39264</v>
      </c>
      <c r="H3917" s="1">
        <v>39430</v>
      </c>
      <c r="I3917" t="s">
        <v>12</v>
      </c>
      <c r="J3917" t="s">
        <v>14687</v>
      </c>
    </row>
    <row r="3918" spans="1:10" x14ac:dyDescent="0.25">
      <c r="A3918">
        <v>315095</v>
      </c>
      <c r="B3918" t="s">
        <v>4096</v>
      </c>
      <c r="C3918" t="str">
        <f>"9781845932923"</f>
        <v>9781845932923</v>
      </c>
      <c r="D3918" t="str">
        <f>"9781845932930"</f>
        <v>9781845932930</v>
      </c>
      <c r="E3918" t="s">
        <v>2878</v>
      </c>
      <c r="F3918" t="s">
        <v>2879</v>
      </c>
      <c r="G3918" s="1">
        <v>39356</v>
      </c>
      <c r="H3918" s="1">
        <v>39430</v>
      </c>
      <c r="I3918" t="s">
        <v>12</v>
      </c>
      <c r="J3918" t="s">
        <v>14688</v>
      </c>
    </row>
    <row r="3919" spans="1:10" x14ac:dyDescent="0.25">
      <c r="A3919">
        <v>315096</v>
      </c>
      <c r="B3919" t="s">
        <v>4097</v>
      </c>
      <c r="C3919" t="str">
        <f>"9781845932947"</f>
        <v>9781845932947</v>
      </c>
      <c r="D3919" t="str">
        <f>"9781845932954"</f>
        <v>9781845932954</v>
      </c>
      <c r="E3919" t="s">
        <v>2878</v>
      </c>
      <c r="F3919" t="s">
        <v>2879</v>
      </c>
      <c r="G3919" s="1">
        <v>39356</v>
      </c>
      <c r="H3919" s="1">
        <v>39430</v>
      </c>
      <c r="I3919" t="s">
        <v>12</v>
      </c>
      <c r="J3919" t="s">
        <v>14689</v>
      </c>
    </row>
    <row r="3920" spans="1:10" x14ac:dyDescent="0.25">
      <c r="A3920">
        <v>315153</v>
      </c>
      <c r="B3920" t="s">
        <v>4098</v>
      </c>
      <c r="C3920" t="str">
        <f>"9780195154207"</f>
        <v>9780195154207</v>
      </c>
      <c r="D3920" t="str">
        <f>"9780198035091"</f>
        <v>9780198035091</v>
      </c>
      <c r="E3920" t="s">
        <v>1268</v>
      </c>
      <c r="F3920" t="s">
        <v>1268</v>
      </c>
      <c r="G3920" s="1">
        <v>38911</v>
      </c>
      <c r="H3920" s="1">
        <v>40082</v>
      </c>
      <c r="I3920" t="s">
        <v>12</v>
      </c>
      <c r="J3920" t="s">
        <v>14690</v>
      </c>
    </row>
    <row r="3921" spans="1:10" x14ac:dyDescent="0.25">
      <c r="A3921">
        <v>315769</v>
      </c>
      <c r="B3921" t="s">
        <v>4099</v>
      </c>
      <c r="C3921" t="str">
        <f>"9781574412208"</f>
        <v>9781574412208</v>
      </c>
      <c r="D3921" t="str">
        <f>"9781574413946"</f>
        <v>9781574413946</v>
      </c>
      <c r="E3921" t="s">
        <v>4055</v>
      </c>
      <c r="F3921" t="s">
        <v>4055</v>
      </c>
      <c r="G3921" s="1">
        <v>39036</v>
      </c>
      <c r="H3921" s="1">
        <v>39496</v>
      </c>
      <c r="I3921" t="s">
        <v>12</v>
      </c>
      <c r="J3921" t="s">
        <v>14691</v>
      </c>
    </row>
    <row r="3922" spans="1:10" x14ac:dyDescent="0.25">
      <c r="A3922">
        <v>316101</v>
      </c>
      <c r="B3922" t="s">
        <v>4100</v>
      </c>
      <c r="C3922" t="str">
        <f>"9781931448062"</f>
        <v>9781931448062</v>
      </c>
      <c r="D3922" t="str">
        <f>"9781931448079"</f>
        <v>9781931448079</v>
      </c>
      <c r="E3922" t="s">
        <v>280</v>
      </c>
      <c r="F3922" t="s">
        <v>280</v>
      </c>
      <c r="G3922" s="1">
        <v>39370</v>
      </c>
      <c r="H3922" s="1">
        <v>39399</v>
      </c>
      <c r="I3922" t="s">
        <v>12</v>
      </c>
      <c r="J3922" t="s">
        <v>14692</v>
      </c>
    </row>
    <row r="3923" spans="1:10" x14ac:dyDescent="0.25">
      <c r="A3923">
        <v>316244</v>
      </c>
      <c r="B3923" t="s">
        <v>4101</v>
      </c>
      <c r="C3923" t="str">
        <f>"9780335214440"</f>
        <v>9780335214440</v>
      </c>
      <c r="D3923" t="str">
        <f>"9780335229437"</f>
        <v>9780335229437</v>
      </c>
      <c r="E3923" t="s">
        <v>2795</v>
      </c>
      <c r="F3923" t="s">
        <v>2796</v>
      </c>
      <c r="G3923" s="1">
        <v>39142</v>
      </c>
      <c r="H3923" s="1">
        <v>40183</v>
      </c>
      <c r="I3923" t="s">
        <v>12</v>
      </c>
      <c r="J3923" t="s">
        <v>14693</v>
      </c>
    </row>
    <row r="3924" spans="1:10" x14ac:dyDescent="0.25">
      <c r="A3924">
        <v>316246</v>
      </c>
      <c r="B3924" t="s">
        <v>4102</v>
      </c>
      <c r="C3924" t="str">
        <f>"9780335221721"</f>
        <v>9780335221721</v>
      </c>
      <c r="D3924" t="str">
        <f>"9780335229451"</f>
        <v>9780335229451</v>
      </c>
      <c r="E3924" t="s">
        <v>2795</v>
      </c>
      <c r="F3924" t="s">
        <v>2796</v>
      </c>
      <c r="G3924" s="1">
        <v>39173</v>
      </c>
      <c r="H3924" s="1">
        <v>40183</v>
      </c>
      <c r="I3924" t="s">
        <v>12</v>
      </c>
      <c r="J3924" t="s">
        <v>14694</v>
      </c>
    </row>
    <row r="3925" spans="1:10" x14ac:dyDescent="0.25">
      <c r="A3925">
        <v>316247</v>
      </c>
      <c r="B3925" t="s">
        <v>4103</v>
      </c>
      <c r="C3925" t="str">
        <f>"9780335221219"</f>
        <v>9780335221219</v>
      </c>
      <c r="D3925" t="str">
        <f>"9780335229468"</f>
        <v>9780335229468</v>
      </c>
      <c r="E3925" t="s">
        <v>2795</v>
      </c>
      <c r="F3925" t="s">
        <v>2796</v>
      </c>
      <c r="G3925" s="1">
        <v>38930</v>
      </c>
      <c r="H3925" s="1">
        <v>40183</v>
      </c>
      <c r="I3925" t="s">
        <v>12</v>
      </c>
      <c r="J3925" t="s">
        <v>14695</v>
      </c>
    </row>
    <row r="3926" spans="1:10" x14ac:dyDescent="0.25">
      <c r="A3926">
        <v>316261</v>
      </c>
      <c r="B3926" t="s">
        <v>4104</v>
      </c>
      <c r="C3926" t="str">
        <f>"9780335221769"</f>
        <v>9780335221769</v>
      </c>
      <c r="D3926" t="str">
        <f>"9780335229604"</f>
        <v>9780335229604</v>
      </c>
      <c r="E3926" t="s">
        <v>2795</v>
      </c>
      <c r="F3926" t="s">
        <v>2796</v>
      </c>
      <c r="G3926" s="1">
        <v>39417</v>
      </c>
      <c r="H3926" s="1">
        <v>39426</v>
      </c>
      <c r="I3926" t="s">
        <v>12</v>
      </c>
      <c r="J3926" t="s">
        <v>14696</v>
      </c>
    </row>
    <row r="3927" spans="1:10" x14ac:dyDescent="0.25">
      <c r="A3927">
        <v>316262</v>
      </c>
      <c r="B3927" t="s">
        <v>4105</v>
      </c>
      <c r="C3927" t="str">
        <f>"9780335217847"</f>
        <v>9780335217847</v>
      </c>
      <c r="D3927" t="str">
        <f>"9780335229611"</f>
        <v>9780335229611</v>
      </c>
      <c r="E3927" t="s">
        <v>2795</v>
      </c>
      <c r="F3927" t="s">
        <v>2796</v>
      </c>
      <c r="G3927" s="1">
        <v>38991</v>
      </c>
      <c r="H3927" s="1">
        <v>40183</v>
      </c>
      <c r="I3927" t="s">
        <v>12</v>
      </c>
      <c r="J3927" t="s">
        <v>14697</v>
      </c>
    </row>
    <row r="3928" spans="1:10" x14ac:dyDescent="0.25">
      <c r="A3928">
        <v>316263</v>
      </c>
      <c r="B3928" t="s">
        <v>4106</v>
      </c>
      <c r="C3928" t="str">
        <f>"9780335216970"</f>
        <v>9780335216970</v>
      </c>
      <c r="D3928" t="str">
        <f>"9780335229628"</f>
        <v>9780335229628</v>
      </c>
      <c r="E3928" t="s">
        <v>2795</v>
      </c>
      <c r="F3928" t="s">
        <v>2796</v>
      </c>
      <c r="G3928" s="1">
        <v>38261</v>
      </c>
      <c r="H3928" s="1">
        <v>40183</v>
      </c>
      <c r="I3928" t="s">
        <v>12</v>
      </c>
      <c r="J3928" t="s">
        <v>14698</v>
      </c>
    </row>
    <row r="3929" spans="1:10" x14ac:dyDescent="0.25">
      <c r="A3929">
        <v>316269</v>
      </c>
      <c r="B3929" t="s">
        <v>4107</v>
      </c>
      <c r="C3929" t="str">
        <f>"9780335220229"</f>
        <v>9780335220229</v>
      </c>
      <c r="D3929" t="str">
        <f>"9780335229680"</f>
        <v>9780335229680</v>
      </c>
      <c r="E3929" t="s">
        <v>2795</v>
      </c>
      <c r="F3929" t="s">
        <v>2796</v>
      </c>
      <c r="G3929" s="1">
        <v>39417</v>
      </c>
      <c r="H3929" s="1">
        <v>39426</v>
      </c>
      <c r="I3929" t="s">
        <v>12</v>
      </c>
      <c r="J3929" t="s">
        <v>14699</v>
      </c>
    </row>
    <row r="3930" spans="1:10" x14ac:dyDescent="0.25">
      <c r="A3930">
        <v>316273</v>
      </c>
      <c r="B3930" t="s">
        <v>4108</v>
      </c>
      <c r="C3930" t="str">
        <f>"9780335220670"</f>
        <v>9780335220670</v>
      </c>
      <c r="D3930" t="str">
        <f>"9780335229727"</f>
        <v>9780335229727</v>
      </c>
      <c r="E3930" t="s">
        <v>2795</v>
      </c>
      <c r="F3930" t="s">
        <v>2796</v>
      </c>
      <c r="G3930" s="1">
        <v>39052</v>
      </c>
      <c r="H3930" s="1">
        <v>40183</v>
      </c>
      <c r="I3930" t="s">
        <v>12</v>
      </c>
      <c r="J3930" t="s">
        <v>14700</v>
      </c>
    </row>
    <row r="3931" spans="1:10" x14ac:dyDescent="0.25">
      <c r="A3931">
        <v>316294</v>
      </c>
      <c r="B3931" t="s">
        <v>4109</v>
      </c>
      <c r="C3931" t="str">
        <f>"9780335220106"</f>
        <v>9780335220106</v>
      </c>
      <c r="D3931" t="str">
        <f>"9780335229949"</f>
        <v>9780335229949</v>
      </c>
      <c r="E3931" t="s">
        <v>2795</v>
      </c>
      <c r="F3931" t="s">
        <v>2796</v>
      </c>
      <c r="G3931" s="1">
        <v>39052</v>
      </c>
      <c r="H3931" s="1">
        <v>39426</v>
      </c>
      <c r="I3931" t="s">
        <v>12</v>
      </c>
      <c r="J3931" t="s">
        <v>14701</v>
      </c>
    </row>
    <row r="3932" spans="1:10" x14ac:dyDescent="0.25">
      <c r="A3932">
        <v>316296</v>
      </c>
      <c r="B3932" t="s">
        <v>4110</v>
      </c>
      <c r="C3932" t="str">
        <f>"9780335215294"</f>
        <v>9780335215294</v>
      </c>
      <c r="D3932" t="str">
        <f>"9780335229963"</f>
        <v>9780335229963</v>
      </c>
      <c r="E3932" t="s">
        <v>2795</v>
      </c>
      <c r="F3932" t="s">
        <v>2796</v>
      </c>
      <c r="G3932" s="1">
        <v>39052</v>
      </c>
      <c r="H3932" s="1">
        <v>40183</v>
      </c>
      <c r="I3932" t="s">
        <v>12</v>
      </c>
      <c r="J3932" t="s">
        <v>14702</v>
      </c>
    </row>
    <row r="3933" spans="1:10" x14ac:dyDescent="0.25">
      <c r="A3933">
        <v>316300</v>
      </c>
      <c r="B3933" t="s">
        <v>4111</v>
      </c>
      <c r="C3933" t="str">
        <f>"9780335218035"</f>
        <v>9780335218035</v>
      </c>
      <c r="D3933" t="str">
        <f>"9780335230006"</f>
        <v>9780335230006</v>
      </c>
      <c r="E3933" t="s">
        <v>2795</v>
      </c>
      <c r="F3933" t="s">
        <v>2796</v>
      </c>
      <c r="G3933" s="1">
        <v>39173</v>
      </c>
      <c r="H3933" s="1">
        <v>40183</v>
      </c>
      <c r="I3933" t="s">
        <v>12</v>
      </c>
      <c r="J3933" t="s">
        <v>14703</v>
      </c>
    </row>
    <row r="3934" spans="1:10" x14ac:dyDescent="0.25">
      <c r="A3934">
        <v>316303</v>
      </c>
      <c r="B3934" t="s">
        <v>4112</v>
      </c>
      <c r="C3934" t="str">
        <f>"9780335216994"</f>
        <v>9780335216994</v>
      </c>
      <c r="D3934" t="str">
        <f>"9780335230037"</f>
        <v>9780335230037</v>
      </c>
      <c r="E3934" t="s">
        <v>2795</v>
      </c>
      <c r="F3934" t="s">
        <v>2796</v>
      </c>
      <c r="G3934" s="1">
        <v>39052</v>
      </c>
      <c r="H3934" s="1">
        <v>40183</v>
      </c>
      <c r="I3934" t="s">
        <v>12</v>
      </c>
      <c r="J3934" t="s">
        <v>14704</v>
      </c>
    </row>
    <row r="3935" spans="1:10" x14ac:dyDescent="0.25">
      <c r="A3935">
        <v>316307</v>
      </c>
      <c r="B3935" t="s">
        <v>4113</v>
      </c>
      <c r="C3935" t="str">
        <f>"9780335219339"</f>
        <v>9780335219339</v>
      </c>
      <c r="D3935" t="str">
        <f>"9780335230075"</f>
        <v>9780335230075</v>
      </c>
      <c r="E3935" t="s">
        <v>2795</v>
      </c>
      <c r="F3935" t="s">
        <v>2796</v>
      </c>
      <c r="G3935" s="1">
        <v>38991</v>
      </c>
      <c r="H3935" s="1">
        <v>40183</v>
      </c>
      <c r="I3935" t="s">
        <v>12</v>
      </c>
      <c r="J3935" t="s">
        <v>14705</v>
      </c>
    </row>
    <row r="3936" spans="1:10" x14ac:dyDescent="0.25">
      <c r="A3936">
        <v>316309</v>
      </c>
      <c r="B3936" t="s">
        <v>4114</v>
      </c>
      <c r="C3936" t="str">
        <f>"9780335220892"</f>
        <v>9780335220892</v>
      </c>
      <c r="D3936" t="str">
        <f>"9780335230099"</f>
        <v>9780335230099</v>
      </c>
      <c r="E3936" t="s">
        <v>2795</v>
      </c>
      <c r="F3936" t="s">
        <v>2796</v>
      </c>
      <c r="G3936" s="1">
        <v>39417</v>
      </c>
      <c r="H3936" s="1">
        <v>39426</v>
      </c>
      <c r="I3936" t="s">
        <v>12</v>
      </c>
      <c r="J3936" t="s">
        <v>14706</v>
      </c>
    </row>
    <row r="3937" spans="1:10" x14ac:dyDescent="0.25">
      <c r="A3937">
        <v>316314</v>
      </c>
      <c r="B3937" t="s">
        <v>4115</v>
      </c>
      <c r="C3937" t="str">
        <f>"9780335216345"</f>
        <v>9780335216345</v>
      </c>
      <c r="D3937" t="str">
        <f>"9780335230143"</f>
        <v>9780335230143</v>
      </c>
      <c r="E3937" t="s">
        <v>2795</v>
      </c>
      <c r="F3937" t="s">
        <v>2796</v>
      </c>
      <c r="G3937" s="1">
        <v>39022</v>
      </c>
      <c r="H3937" s="1">
        <v>40183</v>
      </c>
      <c r="I3937" t="s">
        <v>12</v>
      </c>
      <c r="J3937" t="s">
        <v>14707</v>
      </c>
    </row>
    <row r="3938" spans="1:10" x14ac:dyDescent="0.25">
      <c r="A3938">
        <v>316319</v>
      </c>
      <c r="B3938" t="s">
        <v>4116</v>
      </c>
      <c r="C3938" t="str">
        <f>"9780335219278"</f>
        <v>9780335219278</v>
      </c>
      <c r="D3938" t="str">
        <f>"9780335230198"</f>
        <v>9780335230198</v>
      </c>
      <c r="E3938" t="s">
        <v>2795</v>
      </c>
      <c r="F3938" t="s">
        <v>2796</v>
      </c>
      <c r="G3938" s="1">
        <v>39022</v>
      </c>
      <c r="H3938" s="1">
        <v>40183</v>
      </c>
      <c r="I3938" t="s">
        <v>12</v>
      </c>
      <c r="J3938" t="s">
        <v>14708</v>
      </c>
    </row>
    <row r="3939" spans="1:10" x14ac:dyDescent="0.25">
      <c r="A3939">
        <v>316323</v>
      </c>
      <c r="B3939" t="s">
        <v>4117</v>
      </c>
      <c r="C3939" t="str">
        <f>"9780335220083"</f>
        <v>9780335220083</v>
      </c>
      <c r="D3939" t="str">
        <f>"9780335230235"</f>
        <v>9780335230235</v>
      </c>
      <c r="E3939" t="s">
        <v>2795</v>
      </c>
      <c r="F3939" t="s">
        <v>2796</v>
      </c>
      <c r="G3939" s="1">
        <v>39417</v>
      </c>
      <c r="H3939" s="1">
        <v>39426</v>
      </c>
      <c r="I3939" t="s">
        <v>12</v>
      </c>
      <c r="J3939" t="s">
        <v>14709</v>
      </c>
    </row>
    <row r="3940" spans="1:10" x14ac:dyDescent="0.25">
      <c r="A3940">
        <v>316375</v>
      </c>
      <c r="B3940" t="s">
        <v>4118</v>
      </c>
      <c r="C3940" t="str">
        <f>"9780195158731"</f>
        <v>9780195158731</v>
      </c>
      <c r="D3940" t="str">
        <f>"9780199725816"</f>
        <v>9780199725816</v>
      </c>
      <c r="E3940" t="s">
        <v>1270</v>
      </c>
      <c r="F3940" t="s">
        <v>1270</v>
      </c>
      <c r="G3940" s="1">
        <v>37700</v>
      </c>
      <c r="H3940" s="1">
        <v>40082</v>
      </c>
      <c r="I3940" t="s">
        <v>12</v>
      </c>
      <c r="J3940" t="s">
        <v>14710</v>
      </c>
    </row>
    <row r="3941" spans="1:10" x14ac:dyDescent="0.25">
      <c r="A3941">
        <v>316384</v>
      </c>
      <c r="B3941" t="s">
        <v>4119</v>
      </c>
      <c r="C3941" t="str">
        <f>"9780195153163"</f>
        <v>9780195153163</v>
      </c>
      <c r="D3941" t="str">
        <f>"9780198034964"</f>
        <v>9780198034964</v>
      </c>
      <c r="E3941" t="s">
        <v>1268</v>
      </c>
      <c r="F3941" t="s">
        <v>1268</v>
      </c>
      <c r="G3941" s="1">
        <v>37658</v>
      </c>
      <c r="H3941" s="1">
        <v>40082</v>
      </c>
      <c r="I3941" t="s">
        <v>12</v>
      </c>
      <c r="J3941" t="s">
        <v>14711</v>
      </c>
    </row>
    <row r="3942" spans="1:10" x14ac:dyDescent="0.25">
      <c r="A3942">
        <v>316406</v>
      </c>
      <c r="B3942" t="s">
        <v>4120</v>
      </c>
      <c r="C3942" t="str">
        <f>"9780195139174"</f>
        <v>9780195139174</v>
      </c>
      <c r="D3942" t="str">
        <f>"9780198031895"</f>
        <v>9780198031895</v>
      </c>
      <c r="E3942" t="s">
        <v>1270</v>
      </c>
      <c r="F3942" t="s">
        <v>1270</v>
      </c>
      <c r="G3942" s="1">
        <v>37917</v>
      </c>
      <c r="H3942" s="1">
        <v>40082</v>
      </c>
      <c r="I3942" t="s">
        <v>12</v>
      </c>
      <c r="J3942" t="s">
        <v>14712</v>
      </c>
    </row>
    <row r="3943" spans="1:10" x14ac:dyDescent="0.25">
      <c r="A3943">
        <v>316426</v>
      </c>
      <c r="B3943" t="s">
        <v>4121</v>
      </c>
      <c r="C3943" t="str">
        <f>"9780826102874"</f>
        <v>9780826102874</v>
      </c>
      <c r="D3943" t="str">
        <f>"9780826103109"</f>
        <v>9780826103109</v>
      </c>
      <c r="E3943" t="s">
        <v>3016</v>
      </c>
      <c r="F3943" t="s">
        <v>3016</v>
      </c>
      <c r="G3943" s="1">
        <v>39278</v>
      </c>
      <c r="H3943" s="1">
        <v>39399</v>
      </c>
      <c r="I3943" t="s">
        <v>12</v>
      </c>
      <c r="J3943" t="s">
        <v>14713</v>
      </c>
    </row>
    <row r="3944" spans="1:10" x14ac:dyDescent="0.25">
      <c r="A3944">
        <v>316454</v>
      </c>
      <c r="B3944" t="s">
        <v>4122</v>
      </c>
      <c r="C3944" t="str">
        <f>"9780805841947"</f>
        <v>9780805841947</v>
      </c>
      <c r="D3944" t="str">
        <f>"9780203826218"</f>
        <v>9780203826218</v>
      </c>
      <c r="E3944" t="s">
        <v>15</v>
      </c>
      <c r="F3944" t="s">
        <v>16</v>
      </c>
      <c r="G3944" s="1">
        <v>39371</v>
      </c>
      <c r="H3944" s="1">
        <v>39399</v>
      </c>
      <c r="I3944" t="s">
        <v>12</v>
      </c>
      <c r="J3944" t="s">
        <v>14714</v>
      </c>
    </row>
    <row r="3945" spans="1:10" x14ac:dyDescent="0.25">
      <c r="A3945">
        <v>316460</v>
      </c>
      <c r="B3945" t="s">
        <v>4123</v>
      </c>
      <c r="C3945" t="str">
        <f>"9780415955058"</f>
        <v>9780415955058</v>
      </c>
      <c r="D3945" t="str">
        <f>"9780203933640"</f>
        <v>9780203933640</v>
      </c>
      <c r="E3945" t="s">
        <v>15</v>
      </c>
      <c r="F3945" t="s">
        <v>16</v>
      </c>
      <c r="G3945" s="1">
        <v>39374</v>
      </c>
      <c r="H3945" s="1">
        <v>39448</v>
      </c>
      <c r="I3945" t="s">
        <v>12</v>
      </c>
      <c r="J3945" t="s">
        <v>14715</v>
      </c>
    </row>
    <row r="3946" spans="1:10" x14ac:dyDescent="0.25">
      <c r="A3946">
        <v>316464</v>
      </c>
      <c r="B3946" t="s">
        <v>4124</v>
      </c>
      <c r="C3946" t="str">
        <f>"9780415972352"</f>
        <v>9780415972352</v>
      </c>
      <c r="D3946" t="str">
        <f>"9780203941782"</f>
        <v>9780203941782</v>
      </c>
      <c r="E3946" t="s">
        <v>15</v>
      </c>
      <c r="F3946" t="s">
        <v>16</v>
      </c>
      <c r="G3946" s="1">
        <v>39318</v>
      </c>
      <c r="H3946" s="1">
        <v>39399</v>
      </c>
      <c r="I3946" t="s">
        <v>12</v>
      </c>
      <c r="J3946" t="s">
        <v>14716</v>
      </c>
    </row>
    <row r="3947" spans="1:10" x14ac:dyDescent="0.25">
      <c r="A3947">
        <v>316716</v>
      </c>
      <c r="B3947" t="s">
        <v>4125</v>
      </c>
      <c r="C3947" t="str">
        <f>"9780816641765"</f>
        <v>9780816641765</v>
      </c>
      <c r="D3947" t="str">
        <f>"9780816694945"</f>
        <v>9780816694945</v>
      </c>
      <c r="E3947" t="s">
        <v>3970</v>
      </c>
      <c r="F3947" t="s">
        <v>3970</v>
      </c>
      <c r="G3947" s="1">
        <v>36258</v>
      </c>
      <c r="H3947" s="1">
        <v>39415</v>
      </c>
      <c r="I3947" t="s">
        <v>12</v>
      </c>
      <c r="J3947" t="s">
        <v>14717</v>
      </c>
    </row>
    <row r="3948" spans="1:10" x14ac:dyDescent="0.25">
      <c r="A3948">
        <v>316793</v>
      </c>
      <c r="B3948" t="s">
        <v>4126</v>
      </c>
      <c r="C3948" t="str">
        <f>"9781887542395"</f>
        <v>9781887542395</v>
      </c>
      <c r="D3948" t="str">
        <f>"9781605570648"</f>
        <v>9781605570648</v>
      </c>
      <c r="E3948" t="s">
        <v>4021</v>
      </c>
      <c r="F3948" t="s">
        <v>4021</v>
      </c>
      <c r="G3948" s="1">
        <v>38899</v>
      </c>
      <c r="H3948" s="1">
        <v>38169</v>
      </c>
      <c r="I3948" t="s">
        <v>12</v>
      </c>
      <c r="J3948" t="s">
        <v>14718</v>
      </c>
    </row>
    <row r="3949" spans="1:10" x14ac:dyDescent="0.25">
      <c r="A3949">
        <v>316796</v>
      </c>
      <c r="B3949" t="s">
        <v>4127</v>
      </c>
      <c r="C3949" t="str">
        <f>"9780972852722"</f>
        <v>9780972852722</v>
      </c>
      <c r="D3949" t="str">
        <f>"9781605570730"</f>
        <v>9781605570730</v>
      </c>
      <c r="E3949" t="s">
        <v>4021</v>
      </c>
      <c r="F3949" t="s">
        <v>4021</v>
      </c>
      <c r="G3949" s="1">
        <v>37803</v>
      </c>
      <c r="H3949" s="1">
        <v>38169</v>
      </c>
      <c r="I3949" t="s">
        <v>12</v>
      </c>
      <c r="J3949" t="s">
        <v>14719</v>
      </c>
    </row>
    <row r="3950" spans="1:10" x14ac:dyDescent="0.25">
      <c r="A3950">
        <v>316980</v>
      </c>
      <c r="B3950" t="s">
        <v>4128</v>
      </c>
      <c r="C3950" t="str">
        <f>"9781493300105"</f>
        <v>9781493300105</v>
      </c>
      <c r="D3950" t="str">
        <f>"9780080500263"</f>
        <v>9780080500263</v>
      </c>
      <c r="E3950" t="s">
        <v>1119</v>
      </c>
      <c r="F3950" t="s">
        <v>1120</v>
      </c>
      <c r="G3950" s="1">
        <v>37413</v>
      </c>
      <c r="H3950" s="1">
        <v>39400</v>
      </c>
      <c r="I3950" t="s">
        <v>12</v>
      </c>
      <c r="J3950" t="s">
        <v>14720</v>
      </c>
    </row>
    <row r="3951" spans="1:10" x14ac:dyDescent="0.25">
      <c r="A3951">
        <v>317074</v>
      </c>
      <c r="B3951" t="s">
        <v>4129</v>
      </c>
      <c r="C3951" t="str">
        <f>"9780240520735"</f>
        <v>9780240520735</v>
      </c>
      <c r="D3951" t="str">
        <f>"9780080552910"</f>
        <v>9780080552910</v>
      </c>
      <c r="E3951" t="s">
        <v>15</v>
      </c>
      <c r="F3951" t="s">
        <v>16</v>
      </c>
      <c r="G3951" s="1">
        <v>39405</v>
      </c>
      <c r="H3951" s="1">
        <v>39414</v>
      </c>
      <c r="I3951" t="s">
        <v>12</v>
      </c>
      <c r="J3951" t="s">
        <v>14721</v>
      </c>
    </row>
    <row r="3952" spans="1:10" x14ac:dyDescent="0.25">
      <c r="A3952">
        <v>317076</v>
      </c>
      <c r="B3952" t="s">
        <v>4130</v>
      </c>
      <c r="C3952" t="str">
        <f>"9780240809670"</f>
        <v>9780240809670</v>
      </c>
      <c r="D3952" t="str">
        <f>"9780080552873"</f>
        <v>9780080552873</v>
      </c>
      <c r="E3952" t="s">
        <v>15</v>
      </c>
      <c r="F3952" t="s">
        <v>16</v>
      </c>
      <c r="G3952" s="1">
        <v>39343</v>
      </c>
      <c r="H3952" s="1">
        <v>39471</v>
      </c>
      <c r="I3952" t="s">
        <v>12</v>
      </c>
      <c r="J3952" t="s">
        <v>14722</v>
      </c>
    </row>
    <row r="3953" spans="1:10" x14ac:dyDescent="0.25">
      <c r="A3953">
        <v>317467</v>
      </c>
      <c r="B3953" t="s">
        <v>4131</v>
      </c>
      <c r="C3953" t="str">
        <f>"9781574411959"</f>
        <v>9781574411959</v>
      </c>
      <c r="D3953" t="str">
        <f>"9781574413991"</f>
        <v>9781574413991</v>
      </c>
      <c r="E3953" t="s">
        <v>4055</v>
      </c>
      <c r="F3953" t="s">
        <v>4055</v>
      </c>
      <c r="G3953" s="1">
        <v>38671</v>
      </c>
      <c r="H3953" s="1">
        <v>39496</v>
      </c>
      <c r="I3953" t="s">
        <v>12</v>
      </c>
      <c r="J3953" t="s">
        <v>14723</v>
      </c>
    </row>
    <row r="3954" spans="1:10" x14ac:dyDescent="0.25">
      <c r="A3954">
        <v>317933</v>
      </c>
      <c r="B3954" t="s">
        <v>4132</v>
      </c>
      <c r="C3954" t="str">
        <f>"9780954709204"</f>
        <v>9780954709204</v>
      </c>
      <c r="D3954" t="str">
        <f>"9781848396203"</f>
        <v>9781848396203</v>
      </c>
      <c r="E3954" t="s">
        <v>4133</v>
      </c>
      <c r="F3954" t="s">
        <v>4134</v>
      </c>
      <c r="G3954" s="1">
        <v>39394</v>
      </c>
      <c r="H3954" s="1">
        <v>39666</v>
      </c>
      <c r="I3954" t="s">
        <v>12</v>
      </c>
      <c r="J3954" t="s">
        <v>14724</v>
      </c>
    </row>
    <row r="3955" spans="1:10" x14ac:dyDescent="0.25">
      <c r="A3955">
        <v>317934</v>
      </c>
      <c r="B3955" t="s">
        <v>4135</v>
      </c>
      <c r="C3955" t="str">
        <f>"9781592215775"</f>
        <v>9781592215775</v>
      </c>
      <c r="D3955" t="str">
        <f>"9781552503355"</f>
        <v>9781552503355</v>
      </c>
      <c r="E3955" t="s">
        <v>1968</v>
      </c>
      <c r="F3955" t="s">
        <v>1969</v>
      </c>
      <c r="G3955" s="1">
        <v>39436</v>
      </c>
      <c r="H3955" s="1">
        <v>39436</v>
      </c>
      <c r="I3955" t="s">
        <v>12</v>
      </c>
      <c r="J3955" t="s">
        <v>14725</v>
      </c>
    </row>
    <row r="3956" spans="1:10" x14ac:dyDescent="0.25">
      <c r="A3956">
        <v>318183</v>
      </c>
      <c r="B3956" t="s">
        <v>4136</v>
      </c>
      <c r="C3956" t="str">
        <f>"9780240808291"</f>
        <v>9780240808291</v>
      </c>
      <c r="D3956" t="str">
        <f>"9780080553238"</f>
        <v>9780080553238</v>
      </c>
      <c r="E3956" t="s">
        <v>15</v>
      </c>
      <c r="F3956" t="s">
        <v>1122</v>
      </c>
      <c r="G3956" s="1">
        <v>39356</v>
      </c>
      <c r="H3956" s="1">
        <v>39414</v>
      </c>
      <c r="I3956" t="s">
        <v>12</v>
      </c>
      <c r="J3956" t="s">
        <v>14726</v>
      </c>
    </row>
    <row r="3957" spans="1:10" x14ac:dyDescent="0.25">
      <c r="A3957">
        <v>318275</v>
      </c>
      <c r="B3957" t="s">
        <v>4137</v>
      </c>
      <c r="C3957" t="str">
        <f>"9781558605466"</f>
        <v>9781558605466</v>
      </c>
      <c r="D3957" t="str">
        <f>"9780080518688"</f>
        <v>9780080518688</v>
      </c>
      <c r="E3957" t="s">
        <v>1119</v>
      </c>
      <c r="F3957" t="s">
        <v>2134</v>
      </c>
      <c r="G3957" s="1">
        <v>37181</v>
      </c>
      <c r="H3957" s="1">
        <v>39408</v>
      </c>
      <c r="I3957" t="s">
        <v>12</v>
      </c>
      <c r="J3957" t="s">
        <v>14727</v>
      </c>
    </row>
    <row r="3958" spans="1:10" x14ac:dyDescent="0.25">
      <c r="A3958">
        <v>318330</v>
      </c>
      <c r="B3958" t="s">
        <v>4138</v>
      </c>
      <c r="C3958" t="str">
        <f>"9780123741523"</f>
        <v>9780123741523</v>
      </c>
      <c r="D3958" t="str">
        <f>"9780080553672"</f>
        <v>9780080553672</v>
      </c>
      <c r="E3958" t="s">
        <v>1119</v>
      </c>
      <c r="F3958" t="s">
        <v>2134</v>
      </c>
      <c r="G3958" s="1">
        <v>40387</v>
      </c>
      <c r="H3958" s="1">
        <v>39414</v>
      </c>
      <c r="I3958" t="s">
        <v>12</v>
      </c>
      <c r="J3958" t="s">
        <v>14728</v>
      </c>
    </row>
    <row r="3959" spans="1:10" x14ac:dyDescent="0.25">
      <c r="A3959">
        <v>318572</v>
      </c>
      <c r="B3959" t="s">
        <v>4139</v>
      </c>
      <c r="C3959" t="str">
        <f>"9781845933265"</f>
        <v>9781845933265</v>
      </c>
      <c r="D3959" t="str">
        <f>"9781845933272"</f>
        <v>9781845933272</v>
      </c>
      <c r="E3959" t="s">
        <v>2878</v>
      </c>
      <c r="F3959" t="s">
        <v>2879</v>
      </c>
      <c r="G3959" s="1">
        <v>39417</v>
      </c>
      <c r="H3959" s="1">
        <v>39417</v>
      </c>
      <c r="I3959" t="s">
        <v>12</v>
      </c>
      <c r="J3959" t="s">
        <v>14729</v>
      </c>
    </row>
    <row r="3960" spans="1:10" x14ac:dyDescent="0.25">
      <c r="A3960">
        <v>318589</v>
      </c>
      <c r="B3960" t="s">
        <v>4140</v>
      </c>
      <c r="C3960" t="str">
        <f>"9781845932886"</f>
        <v>9781845932886</v>
      </c>
      <c r="D3960" t="str">
        <f>"9781845933104"</f>
        <v>9781845933104</v>
      </c>
      <c r="E3960" t="s">
        <v>2878</v>
      </c>
      <c r="F3960" t="s">
        <v>2879</v>
      </c>
      <c r="G3960" s="1">
        <v>39386</v>
      </c>
      <c r="H3960" s="1">
        <v>39448</v>
      </c>
      <c r="I3960" t="s">
        <v>12</v>
      </c>
      <c r="J3960" t="s">
        <v>14730</v>
      </c>
    </row>
    <row r="3961" spans="1:10" x14ac:dyDescent="0.25">
      <c r="A3961">
        <v>318591</v>
      </c>
      <c r="B3961" t="s">
        <v>4141</v>
      </c>
      <c r="C3961" t="str">
        <f>"9781845932831"</f>
        <v>9781845932831</v>
      </c>
      <c r="D3961" t="str">
        <f>"9781845932848"</f>
        <v>9781845932848</v>
      </c>
      <c r="E3961" t="s">
        <v>2878</v>
      </c>
      <c r="F3961" t="s">
        <v>2879</v>
      </c>
      <c r="G3961" s="1">
        <v>39397</v>
      </c>
      <c r="H3961" s="1">
        <v>39402</v>
      </c>
      <c r="I3961" t="s">
        <v>12</v>
      </c>
      <c r="J3961" t="s">
        <v>14731</v>
      </c>
    </row>
    <row r="3962" spans="1:10" x14ac:dyDescent="0.25">
      <c r="A3962">
        <v>318592</v>
      </c>
      <c r="B3962" t="s">
        <v>4142</v>
      </c>
      <c r="C3962" t="str">
        <f>"9781845933081"</f>
        <v>9781845933081</v>
      </c>
      <c r="D3962" t="str">
        <f>"9781845933098"</f>
        <v>9781845933098</v>
      </c>
      <c r="E3962" t="s">
        <v>2878</v>
      </c>
      <c r="F3962" t="s">
        <v>2879</v>
      </c>
      <c r="G3962" s="1">
        <v>39417</v>
      </c>
      <c r="H3962" s="1">
        <v>39417</v>
      </c>
      <c r="I3962" t="s">
        <v>12</v>
      </c>
      <c r="J3962" t="s">
        <v>14732</v>
      </c>
    </row>
    <row r="3963" spans="1:10" x14ac:dyDescent="0.25">
      <c r="A3963">
        <v>318593</v>
      </c>
      <c r="B3963" t="s">
        <v>4143</v>
      </c>
      <c r="C3963" t="str">
        <f>"9781845932817"</f>
        <v>9781845932817</v>
      </c>
      <c r="D3963" t="str">
        <f>"9781845934217"</f>
        <v>9781845934217</v>
      </c>
      <c r="E3963" t="s">
        <v>2878</v>
      </c>
      <c r="F3963" t="s">
        <v>2879</v>
      </c>
      <c r="G3963" s="1">
        <v>39397</v>
      </c>
      <c r="H3963" s="1">
        <v>39402</v>
      </c>
      <c r="I3963" t="s">
        <v>12</v>
      </c>
      <c r="J3963" t="s">
        <v>14733</v>
      </c>
    </row>
    <row r="3964" spans="1:10" x14ac:dyDescent="0.25">
      <c r="A3964">
        <v>318662</v>
      </c>
      <c r="B3964" t="s">
        <v>4144</v>
      </c>
      <c r="C3964" t="str">
        <f>"9780875862095"</f>
        <v>9780875862095</v>
      </c>
      <c r="D3964" t="str">
        <f>"9780875862286"</f>
        <v>9780875862286</v>
      </c>
      <c r="E3964" t="s">
        <v>4145</v>
      </c>
      <c r="F3964" t="s">
        <v>4145</v>
      </c>
      <c r="G3964" s="1">
        <v>37681</v>
      </c>
      <c r="H3964" s="1">
        <v>39446</v>
      </c>
      <c r="I3964" t="s">
        <v>12</v>
      </c>
      <c r="J3964" t="s">
        <v>14734</v>
      </c>
    </row>
    <row r="3965" spans="1:10" x14ac:dyDescent="0.25">
      <c r="A3965">
        <v>318689</v>
      </c>
      <c r="B3965" t="s">
        <v>4146</v>
      </c>
      <c r="C3965" t="str">
        <f>"9780875862545"</f>
        <v>9780875862545</v>
      </c>
      <c r="D3965" t="str">
        <f>"9780875862002"</f>
        <v>9780875862002</v>
      </c>
      <c r="E3965" t="s">
        <v>4145</v>
      </c>
      <c r="F3965" t="s">
        <v>4145</v>
      </c>
      <c r="G3965" s="1">
        <v>37956</v>
      </c>
      <c r="H3965" s="1">
        <v>39536</v>
      </c>
      <c r="I3965" t="s">
        <v>12</v>
      </c>
      <c r="J3965" t="s">
        <v>14735</v>
      </c>
    </row>
    <row r="3966" spans="1:10" x14ac:dyDescent="0.25">
      <c r="A3966">
        <v>318705</v>
      </c>
      <c r="B3966" t="s">
        <v>4147</v>
      </c>
      <c r="C3966" t="str">
        <f>"9780875863160"</f>
        <v>9780875863160</v>
      </c>
      <c r="D3966" t="str">
        <f>"9780875863184"</f>
        <v>9780875863184</v>
      </c>
      <c r="E3966" t="s">
        <v>4145</v>
      </c>
      <c r="F3966" t="s">
        <v>4145</v>
      </c>
      <c r="G3966" s="1">
        <v>38322</v>
      </c>
      <c r="H3966" s="1">
        <v>39536</v>
      </c>
      <c r="I3966" t="s">
        <v>12</v>
      </c>
      <c r="J3966" t="s">
        <v>14736</v>
      </c>
    </row>
    <row r="3967" spans="1:10" x14ac:dyDescent="0.25">
      <c r="A3967">
        <v>318709</v>
      </c>
      <c r="B3967" t="s">
        <v>4148</v>
      </c>
      <c r="C3967" t="str">
        <f>"9780875863191"</f>
        <v>9780875863191</v>
      </c>
      <c r="D3967" t="str">
        <f>"9780875863214"</f>
        <v>9780875863214</v>
      </c>
      <c r="E3967" t="s">
        <v>4145</v>
      </c>
      <c r="F3967" t="s">
        <v>4145</v>
      </c>
      <c r="G3967" s="1">
        <v>38231</v>
      </c>
      <c r="H3967" s="1">
        <v>39536</v>
      </c>
      <c r="I3967" t="s">
        <v>12</v>
      </c>
      <c r="J3967" t="s">
        <v>14737</v>
      </c>
    </row>
    <row r="3968" spans="1:10" x14ac:dyDescent="0.25">
      <c r="A3968">
        <v>318739</v>
      </c>
      <c r="B3968" t="s">
        <v>4149</v>
      </c>
      <c r="C3968" t="str">
        <f>"9780875864259"</f>
        <v>9780875864259</v>
      </c>
      <c r="D3968" t="str">
        <f>"9780875864273"</f>
        <v>9780875864273</v>
      </c>
      <c r="E3968" t="s">
        <v>4145</v>
      </c>
      <c r="F3968" t="s">
        <v>4145</v>
      </c>
      <c r="G3968" s="1">
        <v>38687</v>
      </c>
      <c r="H3968" s="1">
        <v>39566</v>
      </c>
      <c r="I3968" t="s">
        <v>12</v>
      </c>
      <c r="J3968" t="s">
        <v>14738</v>
      </c>
    </row>
    <row r="3969" spans="1:10" x14ac:dyDescent="0.25">
      <c r="A3969">
        <v>319110</v>
      </c>
      <c r="B3969" t="s">
        <v>4150</v>
      </c>
      <c r="C3969" t="str">
        <f>"9780240809687"</f>
        <v>9780240809687</v>
      </c>
      <c r="D3969" t="str">
        <f>"9780080553948"</f>
        <v>9780080553948</v>
      </c>
      <c r="E3969" t="s">
        <v>15</v>
      </c>
      <c r="F3969" t="s">
        <v>1122</v>
      </c>
      <c r="G3969" s="1">
        <v>39380</v>
      </c>
      <c r="H3969" s="1">
        <v>39419</v>
      </c>
      <c r="I3969" t="s">
        <v>12</v>
      </c>
      <c r="J3969" t="s">
        <v>14739</v>
      </c>
    </row>
    <row r="3970" spans="1:10" x14ac:dyDescent="0.25">
      <c r="A3970">
        <v>319175</v>
      </c>
      <c r="B3970" t="s">
        <v>4151</v>
      </c>
      <c r="C3970" t="str">
        <f>"9780750684545"</f>
        <v>9780750684545</v>
      </c>
      <c r="D3970" t="str">
        <f>"9780080554143"</f>
        <v>9780080554143</v>
      </c>
      <c r="E3970" t="s">
        <v>15</v>
      </c>
      <c r="F3970" t="s">
        <v>16</v>
      </c>
      <c r="G3970" s="1">
        <v>39318</v>
      </c>
      <c r="H3970" s="1">
        <v>39419</v>
      </c>
      <c r="I3970" t="s">
        <v>12</v>
      </c>
      <c r="J3970" t="s">
        <v>14740</v>
      </c>
    </row>
    <row r="3971" spans="1:10" x14ac:dyDescent="0.25">
      <c r="A3971">
        <v>319199</v>
      </c>
      <c r="B3971" t="s">
        <v>4152</v>
      </c>
      <c r="C3971" t="str">
        <f>"9781597491044"</f>
        <v>9781597491044</v>
      </c>
      <c r="D3971" t="str">
        <f>"9780080503455"</f>
        <v>9780080503455</v>
      </c>
      <c r="E3971" t="s">
        <v>2415</v>
      </c>
      <c r="F3971" t="s">
        <v>2416</v>
      </c>
      <c r="G3971" s="1">
        <v>39052</v>
      </c>
      <c r="H3971" s="1">
        <v>40084</v>
      </c>
      <c r="I3971" t="s">
        <v>12</v>
      </c>
      <c r="J3971" t="s">
        <v>14741</v>
      </c>
    </row>
    <row r="3972" spans="1:10" x14ac:dyDescent="0.25">
      <c r="A3972">
        <v>319234</v>
      </c>
      <c r="B3972" t="s">
        <v>4153</v>
      </c>
      <c r="C3972" t="str">
        <f>"9780875865065"</f>
        <v>9780875865065</v>
      </c>
      <c r="D3972" t="str">
        <f>"9780875865089"</f>
        <v>9780875865089</v>
      </c>
      <c r="E3972" t="s">
        <v>4145</v>
      </c>
      <c r="F3972" t="s">
        <v>4145</v>
      </c>
      <c r="G3972" s="1">
        <v>38991</v>
      </c>
      <c r="H3972" s="1">
        <v>39471</v>
      </c>
      <c r="I3972" t="s">
        <v>12</v>
      </c>
      <c r="J3972" t="s">
        <v>14742</v>
      </c>
    </row>
    <row r="3973" spans="1:10" x14ac:dyDescent="0.25">
      <c r="A3973">
        <v>319247</v>
      </c>
      <c r="B3973" t="s">
        <v>4154</v>
      </c>
      <c r="C3973" t="str">
        <f>"9780875865690"</f>
        <v>9780875865690</v>
      </c>
      <c r="D3973" t="str">
        <f>"9780875865713"</f>
        <v>9780875865713</v>
      </c>
      <c r="E3973" t="s">
        <v>4145</v>
      </c>
      <c r="F3973" t="s">
        <v>4145</v>
      </c>
      <c r="G3973" s="1">
        <v>39022</v>
      </c>
      <c r="H3973" s="1">
        <v>39546</v>
      </c>
      <c r="I3973" t="s">
        <v>12</v>
      </c>
      <c r="J3973" t="s">
        <v>14743</v>
      </c>
    </row>
    <row r="3974" spans="1:10" x14ac:dyDescent="0.25">
      <c r="A3974">
        <v>319252</v>
      </c>
      <c r="B3974" t="s">
        <v>4155</v>
      </c>
      <c r="C3974" t="str">
        <f>"9780875865157"</f>
        <v>9780875865157</v>
      </c>
      <c r="D3974" t="str">
        <f>"9780875865171"</f>
        <v>9780875865171</v>
      </c>
      <c r="E3974" t="s">
        <v>4145</v>
      </c>
      <c r="F3974" t="s">
        <v>4145</v>
      </c>
      <c r="G3974" s="1">
        <v>39387</v>
      </c>
      <c r="H3974" s="1">
        <v>39546</v>
      </c>
      <c r="I3974" t="s">
        <v>12</v>
      </c>
      <c r="J3974" t="s">
        <v>14744</v>
      </c>
    </row>
    <row r="3975" spans="1:10" x14ac:dyDescent="0.25">
      <c r="A3975">
        <v>319365</v>
      </c>
      <c r="B3975" t="s">
        <v>4156</v>
      </c>
      <c r="C3975" t="str">
        <f>"9780803614048"</f>
        <v>9780803614048</v>
      </c>
      <c r="D3975" t="str">
        <f>"9780803619630"</f>
        <v>9780803619630</v>
      </c>
      <c r="E3975" t="s">
        <v>1445</v>
      </c>
      <c r="F3975" t="s">
        <v>1445</v>
      </c>
      <c r="G3975" s="1">
        <v>39326</v>
      </c>
      <c r="H3975" s="1">
        <v>39472</v>
      </c>
      <c r="I3975" t="s">
        <v>12</v>
      </c>
      <c r="J3975" t="s">
        <v>14745</v>
      </c>
    </row>
    <row r="3976" spans="1:10" x14ac:dyDescent="0.25">
      <c r="A3976">
        <v>319368</v>
      </c>
      <c r="B3976" t="s">
        <v>4157</v>
      </c>
      <c r="C3976" t="str">
        <f>"9781576754252"</f>
        <v>9781576754252</v>
      </c>
      <c r="D3976" t="str">
        <f>"9781576755150"</f>
        <v>9781576755150</v>
      </c>
      <c r="E3976" t="s">
        <v>4158</v>
      </c>
      <c r="F3976" t="s">
        <v>4158</v>
      </c>
      <c r="G3976" s="1">
        <v>39271</v>
      </c>
      <c r="H3976" s="1">
        <v>39471</v>
      </c>
      <c r="I3976" t="s">
        <v>12</v>
      </c>
      <c r="J3976" t="s">
        <v>14746</v>
      </c>
    </row>
    <row r="3977" spans="1:10" x14ac:dyDescent="0.25">
      <c r="A3977">
        <v>319369</v>
      </c>
      <c r="B3977" t="s">
        <v>4159</v>
      </c>
      <c r="C3977" t="str">
        <f>"9781576754481"</f>
        <v>9781576754481</v>
      </c>
      <c r="D3977" t="str">
        <f>"9781576755440"</f>
        <v>9781576755440</v>
      </c>
      <c r="E3977" t="s">
        <v>4158</v>
      </c>
      <c r="F3977" t="s">
        <v>4158</v>
      </c>
      <c r="G3977" s="1">
        <v>39387</v>
      </c>
      <c r="H3977" s="1">
        <v>39471</v>
      </c>
      <c r="I3977" t="s">
        <v>12</v>
      </c>
      <c r="J3977" t="s">
        <v>14747</v>
      </c>
    </row>
    <row r="3978" spans="1:10" x14ac:dyDescent="0.25">
      <c r="A3978">
        <v>319371</v>
      </c>
      <c r="B3978" t="s">
        <v>4160</v>
      </c>
      <c r="C3978" t="str">
        <f>"9781576754559"</f>
        <v>9781576754559</v>
      </c>
      <c r="D3978" t="str">
        <f>"9781576755358"</f>
        <v>9781576755358</v>
      </c>
      <c r="E3978" t="s">
        <v>4158</v>
      </c>
      <c r="F3978" t="s">
        <v>4158</v>
      </c>
      <c r="G3978" s="1">
        <v>39314</v>
      </c>
      <c r="H3978" s="1">
        <v>39471</v>
      </c>
      <c r="I3978" t="s">
        <v>12</v>
      </c>
      <c r="J3978" t="s">
        <v>14748</v>
      </c>
    </row>
    <row r="3979" spans="1:10" x14ac:dyDescent="0.25">
      <c r="A3979">
        <v>319374</v>
      </c>
      <c r="B3979" t="s">
        <v>4161</v>
      </c>
      <c r="C3979" t="str">
        <f>"9781576753798"</f>
        <v>9781576753798</v>
      </c>
      <c r="D3979" t="str">
        <f>"9781576755099"</f>
        <v>9781576755099</v>
      </c>
      <c r="E3979" t="s">
        <v>4158</v>
      </c>
      <c r="F3979" t="s">
        <v>4158</v>
      </c>
      <c r="G3979" s="1">
        <v>39086</v>
      </c>
      <c r="H3979" s="1">
        <v>39471</v>
      </c>
      <c r="I3979" t="s">
        <v>12</v>
      </c>
      <c r="J3979" t="s">
        <v>14749</v>
      </c>
    </row>
    <row r="3980" spans="1:10" x14ac:dyDescent="0.25">
      <c r="A3980">
        <v>319375</v>
      </c>
      <c r="B3980" t="s">
        <v>4162</v>
      </c>
      <c r="C3980" t="str">
        <f>"9781576754276"</f>
        <v>9781576754276</v>
      </c>
      <c r="D3980" t="str">
        <f>"9781576755259"</f>
        <v>9781576755259</v>
      </c>
      <c r="E3980" t="s">
        <v>4158</v>
      </c>
      <c r="F3980" t="s">
        <v>4158</v>
      </c>
      <c r="G3980" s="1">
        <v>39188</v>
      </c>
      <c r="H3980" s="1">
        <v>39471</v>
      </c>
      <c r="I3980" t="s">
        <v>12</v>
      </c>
      <c r="J3980" t="s">
        <v>14750</v>
      </c>
    </row>
    <row r="3981" spans="1:10" x14ac:dyDescent="0.25">
      <c r="A3981">
        <v>319660</v>
      </c>
      <c r="B3981" t="s">
        <v>4163</v>
      </c>
      <c r="C3981" t="str">
        <f>"9780749450106"</f>
        <v>9780749450106</v>
      </c>
      <c r="D3981" t="str">
        <f>"9780749452438"</f>
        <v>9780749452438</v>
      </c>
      <c r="E3981" t="s">
        <v>1770</v>
      </c>
      <c r="F3981" t="s">
        <v>1770</v>
      </c>
      <c r="G3981" s="1">
        <v>39383</v>
      </c>
      <c r="H3981" s="1">
        <v>39416</v>
      </c>
      <c r="I3981" t="s">
        <v>12</v>
      </c>
      <c r="J3981" t="s">
        <v>14751</v>
      </c>
    </row>
    <row r="3982" spans="1:10" x14ac:dyDescent="0.25">
      <c r="A3982">
        <v>319662</v>
      </c>
      <c r="B3982" t="s">
        <v>4164</v>
      </c>
      <c r="C3982" t="str">
        <f>"9780749448400"</f>
        <v>9780749448400</v>
      </c>
      <c r="D3982" t="str">
        <f>"9780749452452"</f>
        <v>9780749452452</v>
      </c>
      <c r="E3982" t="s">
        <v>1059</v>
      </c>
      <c r="F3982" t="s">
        <v>1059</v>
      </c>
      <c r="G3982" s="1">
        <v>39295</v>
      </c>
      <c r="H3982" s="1">
        <v>39416</v>
      </c>
      <c r="I3982" t="s">
        <v>12</v>
      </c>
      <c r="J3982" t="s">
        <v>14752</v>
      </c>
    </row>
    <row r="3983" spans="1:10" x14ac:dyDescent="0.25">
      <c r="A3983">
        <v>319665</v>
      </c>
      <c r="B3983" t="s">
        <v>4165</v>
      </c>
      <c r="C3983" t="str">
        <f>"9780749450168"</f>
        <v>9780749450168</v>
      </c>
      <c r="D3983" t="str">
        <f>"9780749452483"</f>
        <v>9780749452483</v>
      </c>
      <c r="E3983" t="s">
        <v>1059</v>
      </c>
      <c r="F3983" t="s">
        <v>1059</v>
      </c>
      <c r="G3983" s="1">
        <v>39328</v>
      </c>
      <c r="H3983" s="1">
        <v>39416</v>
      </c>
      <c r="I3983" t="s">
        <v>12</v>
      </c>
      <c r="J3983" t="s">
        <v>14753</v>
      </c>
    </row>
    <row r="3984" spans="1:10" x14ac:dyDescent="0.25">
      <c r="A3984">
        <v>319666</v>
      </c>
      <c r="B3984" t="s">
        <v>4166</v>
      </c>
      <c r="C3984" t="str">
        <f>"9780749450700"</f>
        <v>9780749450700</v>
      </c>
      <c r="D3984" t="str">
        <f>"9780749452490"</f>
        <v>9780749452490</v>
      </c>
      <c r="E3984" t="s">
        <v>1059</v>
      </c>
      <c r="F3984" t="s">
        <v>1059</v>
      </c>
      <c r="G3984" s="1">
        <v>39328</v>
      </c>
      <c r="H3984" s="1">
        <v>39416</v>
      </c>
      <c r="I3984" t="s">
        <v>12</v>
      </c>
      <c r="J3984" t="s">
        <v>14754</v>
      </c>
    </row>
    <row r="3985" spans="1:10" x14ac:dyDescent="0.25">
      <c r="A3985">
        <v>319671</v>
      </c>
      <c r="B3985" t="s">
        <v>4167</v>
      </c>
      <c r="C3985" t="str">
        <f>"9780749449797"</f>
        <v>9780749449797</v>
      </c>
      <c r="D3985" t="str">
        <f>"9780749452780"</f>
        <v>9780749452780</v>
      </c>
      <c r="E3985" t="s">
        <v>1059</v>
      </c>
      <c r="F3985" t="s">
        <v>1059</v>
      </c>
      <c r="G3985" s="1">
        <v>39356</v>
      </c>
      <c r="H3985" s="1">
        <v>39471</v>
      </c>
      <c r="I3985" t="s">
        <v>12</v>
      </c>
      <c r="J3985" t="s">
        <v>14755</v>
      </c>
    </row>
    <row r="3986" spans="1:10" x14ac:dyDescent="0.25">
      <c r="A3986">
        <v>319675</v>
      </c>
      <c r="B3986" t="s">
        <v>4168</v>
      </c>
      <c r="C3986" t="str">
        <f>"9780749451493"</f>
        <v>9780749451493</v>
      </c>
      <c r="D3986" t="str">
        <f>"9780749452841"</f>
        <v>9780749452841</v>
      </c>
      <c r="E3986" t="s">
        <v>1059</v>
      </c>
      <c r="F3986" t="s">
        <v>1059</v>
      </c>
      <c r="G3986" s="1">
        <v>39389</v>
      </c>
      <c r="H3986" s="1">
        <v>39416</v>
      </c>
      <c r="I3986" t="s">
        <v>12</v>
      </c>
      <c r="J3986" t="s">
        <v>14756</v>
      </c>
    </row>
    <row r="3987" spans="1:10" x14ac:dyDescent="0.25">
      <c r="A3987">
        <v>319677</v>
      </c>
      <c r="B3987" t="s">
        <v>4169</v>
      </c>
      <c r="C3987" t="str">
        <f>"9780749450274"</f>
        <v>9780749450274</v>
      </c>
      <c r="D3987" t="str">
        <f>"9780749452865"</f>
        <v>9780749452865</v>
      </c>
      <c r="E3987" t="s">
        <v>1059</v>
      </c>
      <c r="F3987" t="s">
        <v>1059</v>
      </c>
      <c r="G3987" s="1">
        <v>39387</v>
      </c>
      <c r="H3987" s="1">
        <v>39416</v>
      </c>
      <c r="I3987" t="s">
        <v>12</v>
      </c>
      <c r="J3987" t="s">
        <v>14757</v>
      </c>
    </row>
    <row r="3988" spans="1:10" x14ac:dyDescent="0.25">
      <c r="A3988">
        <v>319679</v>
      </c>
      <c r="B3988" t="s">
        <v>4170</v>
      </c>
      <c r="C3988" t="str">
        <f>"9780749451486"</f>
        <v>9780749451486</v>
      </c>
      <c r="D3988" t="str">
        <f>"9780749452872"</f>
        <v>9780749452872</v>
      </c>
      <c r="E3988" t="s">
        <v>1059</v>
      </c>
      <c r="F3988" t="s">
        <v>1059</v>
      </c>
      <c r="G3988" s="1">
        <v>39387</v>
      </c>
      <c r="H3988" s="1">
        <v>39416</v>
      </c>
      <c r="I3988" t="s">
        <v>12</v>
      </c>
      <c r="J3988" t="s">
        <v>14758</v>
      </c>
    </row>
    <row r="3989" spans="1:10" x14ac:dyDescent="0.25">
      <c r="A3989">
        <v>319680</v>
      </c>
      <c r="B3989" t="s">
        <v>4171</v>
      </c>
      <c r="C3989" t="str">
        <f>"9780749449452"</f>
        <v>9780749449452</v>
      </c>
      <c r="D3989" t="str">
        <f>"9780749452889"</f>
        <v>9780749452889</v>
      </c>
      <c r="E3989" t="s">
        <v>1770</v>
      </c>
      <c r="F3989" t="s">
        <v>1770</v>
      </c>
      <c r="G3989" s="1">
        <v>39448</v>
      </c>
      <c r="H3989" s="1">
        <v>39416</v>
      </c>
      <c r="I3989" t="s">
        <v>12</v>
      </c>
      <c r="J3989" t="s">
        <v>14759</v>
      </c>
    </row>
    <row r="3990" spans="1:10" x14ac:dyDescent="0.25">
      <c r="A3990">
        <v>319681</v>
      </c>
      <c r="B3990" t="s">
        <v>4172</v>
      </c>
      <c r="C3990" t="str">
        <f>"9780749449902"</f>
        <v>9780749449902</v>
      </c>
      <c r="D3990" t="str">
        <f>"9780749452896"</f>
        <v>9780749452896</v>
      </c>
      <c r="E3990" t="s">
        <v>1770</v>
      </c>
      <c r="F3990" t="s">
        <v>1770</v>
      </c>
      <c r="G3990" s="1">
        <v>39387</v>
      </c>
      <c r="H3990" s="1">
        <v>39416</v>
      </c>
      <c r="I3990" t="s">
        <v>12</v>
      </c>
      <c r="J3990" t="s">
        <v>14760</v>
      </c>
    </row>
    <row r="3991" spans="1:10" x14ac:dyDescent="0.25">
      <c r="A3991">
        <v>319682</v>
      </c>
      <c r="B3991" t="s">
        <v>4173</v>
      </c>
      <c r="C3991" t="str">
        <f>"9780749450250"</f>
        <v>9780749450250</v>
      </c>
      <c r="D3991" t="str">
        <f>"9780749452902"</f>
        <v>9780749452902</v>
      </c>
      <c r="E3991" t="s">
        <v>1770</v>
      </c>
      <c r="F3991" t="s">
        <v>1770</v>
      </c>
      <c r="G3991" s="1">
        <v>39448</v>
      </c>
      <c r="H3991" s="1">
        <v>39471</v>
      </c>
      <c r="I3991" t="s">
        <v>12</v>
      </c>
      <c r="J3991" t="s">
        <v>14761</v>
      </c>
    </row>
    <row r="3992" spans="1:10" x14ac:dyDescent="0.25">
      <c r="A3992">
        <v>319685</v>
      </c>
      <c r="B3992" t="s">
        <v>4174</v>
      </c>
      <c r="C3992" t="str">
        <f>"9780749456337"</f>
        <v>9780749456337</v>
      </c>
      <c r="D3992" t="str">
        <f>"9780749452933"</f>
        <v>9780749452933</v>
      </c>
      <c r="E3992" t="s">
        <v>1770</v>
      </c>
      <c r="F3992" t="s">
        <v>1770</v>
      </c>
      <c r="G3992" s="1">
        <v>39479</v>
      </c>
      <c r="H3992" s="1">
        <v>39417</v>
      </c>
      <c r="I3992" t="s">
        <v>12</v>
      </c>
      <c r="J3992" t="s">
        <v>14762</v>
      </c>
    </row>
    <row r="3993" spans="1:10" x14ac:dyDescent="0.25">
      <c r="A3993">
        <v>319686</v>
      </c>
      <c r="B3993" t="s">
        <v>4175</v>
      </c>
      <c r="C3993" t="str">
        <f>"9780749450717"</f>
        <v>9780749450717</v>
      </c>
      <c r="D3993" t="str">
        <f>"9780749452940"</f>
        <v>9780749452940</v>
      </c>
      <c r="E3993" t="s">
        <v>1059</v>
      </c>
      <c r="F3993" t="s">
        <v>1059</v>
      </c>
      <c r="G3993" s="1">
        <v>39022</v>
      </c>
      <c r="H3993" s="1">
        <v>39417</v>
      </c>
      <c r="I3993" t="s">
        <v>12</v>
      </c>
      <c r="J3993" t="s">
        <v>14763</v>
      </c>
    </row>
    <row r="3994" spans="1:10" x14ac:dyDescent="0.25">
      <c r="A3994">
        <v>320187</v>
      </c>
      <c r="B3994" t="s">
        <v>4176</v>
      </c>
      <c r="C3994" t="str">
        <f>"9780713675009"</f>
        <v>9780713675009</v>
      </c>
      <c r="D3994" t="str">
        <f>"9781408102183"</f>
        <v>9781408102183</v>
      </c>
      <c r="E3994" t="s">
        <v>1400</v>
      </c>
      <c r="F3994" t="s">
        <v>1401</v>
      </c>
      <c r="G3994" s="1">
        <v>39814</v>
      </c>
      <c r="H3994" s="1">
        <v>39429</v>
      </c>
      <c r="I3994" t="s">
        <v>12</v>
      </c>
      <c r="J3994" t="s">
        <v>14764</v>
      </c>
    </row>
    <row r="3995" spans="1:10" x14ac:dyDescent="0.25">
      <c r="A3995">
        <v>320199</v>
      </c>
      <c r="B3995" t="s">
        <v>4177</v>
      </c>
      <c r="C3995" t="str">
        <f>"9780713675290"</f>
        <v>9780713675290</v>
      </c>
      <c r="D3995" t="str">
        <f>"9781408102206"</f>
        <v>9781408102206</v>
      </c>
      <c r="E3995" t="s">
        <v>1400</v>
      </c>
      <c r="F3995" t="s">
        <v>1401</v>
      </c>
      <c r="G3995" s="1">
        <v>39814</v>
      </c>
      <c r="H3995" s="1">
        <v>40633</v>
      </c>
      <c r="I3995" t="s">
        <v>12</v>
      </c>
      <c r="J3995" t="s">
        <v>14765</v>
      </c>
    </row>
    <row r="3996" spans="1:10" x14ac:dyDescent="0.25">
      <c r="A3996">
        <v>320200</v>
      </c>
      <c r="B3996" t="s">
        <v>4178</v>
      </c>
      <c r="C3996" t="str">
        <f>"9780713675412"</f>
        <v>9780713675412</v>
      </c>
      <c r="D3996" t="str">
        <f>"9781408139950"</f>
        <v>9781408139950</v>
      </c>
      <c r="E3996" t="s">
        <v>1400</v>
      </c>
      <c r="F3996" t="s">
        <v>1401</v>
      </c>
      <c r="G3996" s="1">
        <v>40805</v>
      </c>
      <c r="H3996" s="1">
        <v>39429</v>
      </c>
      <c r="I3996" t="s">
        <v>12</v>
      </c>
      <c r="J3996" t="s">
        <v>14766</v>
      </c>
    </row>
    <row r="3997" spans="1:10" x14ac:dyDescent="0.25">
      <c r="A3997">
        <v>320205</v>
      </c>
      <c r="B3997" t="s">
        <v>4179</v>
      </c>
      <c r="C3997" t="str">
        <f>"9780713675481"</f>
        <v>9780713675481</v>
      </c>
      <c r="D3997" t="str">
        <f>"9781408102428"</f>
        <v>9781408102428</v>
      </c>
      <c r="E3997" t="s">
        <v>4180</v>
      </c>
      <c r="F3997" t="s">
        <v>4181</v>
      </c>
      <c r="G3997" s="1">
        <v>39355</v>
      </c>
      <c r="H3997" s="1">
        <v>42326</v>
      </c>
      <c r="I3997" t="s">
        <v>12</v>
      </c>
      <c r="J3997" t="s">
        <v>14767</v>
      </c>
    </row>
    <row r="3998" spans="1:10" x14ac:dyDescent="0.25">
      <c r="A3998">
        <v>320206</v>
      </c>
      <c r="B3998" t="s">
        <v>4182</v>
      </c>
      <c r="C3998" t="str">
        <f>"9780713675832"</f>
        <v>9780713675832</v>
      </c>
      <c r="D3998" t="str">
        <f>"9781408103692"</f>
        <v>9781408103692</v>
      </c>
      <c r="E3998" t="s">
        <v>1400</v>
      </c>
      <c r="F3998" t="s">
        <v>1401</v>
      </c>
      <c r="G3998" s="1">
        <v>39814</v>
      </c>
      <c r="H3998" s="1">
        <v>40402</v>
      </c>
      <c r="I3998" t="s">
        <v>12</v>
      </c>
      <c r="J3998" t="s">
        <v>14768</v>
      </c>
    </row>
    <row r="3999" spans="1:10" x14ac:dyDescent="0.25">
      <c r="A3999">
        <v>320207</v>
      </c>
      <c r="B3999" t="s">
        <v>4183</v>
      </c>
      <c r="C3999" t="str">
        <f>"9780713675849"</f>
        <v>9780713675849</v>
      </c>
      <c r="D3999" t="str">
        <f>"9781408103708"</f>
        <v>9781408103708</v>
      </c>
      <c r="E3999" t="s">
        <v>1400</v>
      </c>
      <c r="F3999" t="s">
        <v>1401</v>
      </c>
      <c r="G3999" s="1">
        <v>39814</v>
      </c>
      <c r="H3999" s="1">
        <v>40402</v>
      </c>
      <c r="I3999" t="s">
        <v>12</v>
      </c>
      <c r="J3999" t="s">
        <v>14769</v>
      </c>
    </row>
    <row r="4000" spans="1:10" x14ac:dyDescent="0.25">
      <c r="A4000">
        <v>320208</v>
      </c>
      <c r="B4000" t="s">
        <v>4184</v>
      </c>
      <c r="C4000" t="str">
        <f>"9780713675856"</f>
        <v>9780713675856</v>
      </c>
      <c r="D4000" t="str">
        <f>"9781408103715"</f>
        <v>9781408103715</v>
      </c>
      <c r="E4000" t="s">
        <v>1400</v>
      </c>
      <c r="F4000" t="s">
        <v>1401</v>
      </c>
      <c r="G4000" s="1">
        <v>39814</v>
      </c>
      <c r="H4000" s="1">
        <v>40402</v>
      </c>
      <c r="I4000" t="s">
        <v>12</v>
      </c>
      <c r="J4000" t="s">
        <v>14770</v>
      </c>
    </row>
    <row r="4001" spans="1:10" x14ac:dyDescent="0.25">
      <c r="A4001">
        <v>320212</v>
      </c>
      <c r="B4001" t="s">
        <v>4185</v>
      </c>
      <c r="C4001" t="str">
        <f>"9780713675894"</f>
        <v>9780713675894</v>
      </c>
      <c r="D4001" t="str">
        <f>"9781408101629"</f>
        <v>9781408101629</v>
      </c>
      <c r="E4001" t="s">
        <v>1400</v>
      </c>
      <c r="F4001" t="s">
        <v>1401</v>
      </c>
      <c r="G4001" s="1">
        <v>39814</v>
      </c>
      <c r="H4001" s="1">
        <v>39429</v>
      </c>
      <c r="I4001" t="s">
        <v>12</v>
      </c>
      <c r="J4001" t="s">
        <v>14771</v>
      </c>
    </row>
    <row r="4002" spans="1:10" x14ac:dyDescent="0.25">
      <c r="A4002">
        <v>320218</v>
      </c>
      <c r="B4002" t="s">
        <v>4186</v>
      </c>
      <c r="C4002" t="str">
        <f>"9780713676044"</f>
        <v>9780713676044</v>
      </c>
      <c r="D4002" t="str">
        <f>"9781408101575"</f>
        <v>9781408101575</v>
      </c>
      <c r="E4002" t="s">
        <v>4180</v>
      </c>
      <c r="F4002" t="s">
        <v>4181</v>
      </c>
      <c r="G4002" s="1">
        <v>38534</v>
      </c>
      <c r="H4002" s="1">
        <v>42326</v>
      </c>
      <c r="I4002" t="s">
        <v>12</v>
      </c>
      <c r="J4002" t="s">
        <v>14772</v>
      </c>
    </row>
    <row r="4003" spans="1:10" x14ac:dyDescent="0.25">
      <c r="A4003">
        <v>320219</v>
      </c>
      <c r="B4003" t="s">
        <v>4187</v>
      </c>
      <c r="C4003" t="str">
        <f>"9780713676051"</f>
        <v>9780713676051</v>
      </c>
      <c r="D4003" t="str">
        <f>"9781408101964"</f>
        <v>9781408101964</v>
      </c>
      <c r="E4003" t="s">
        <v>4180</v>
      </c>
      <c r="F4003" t="s">
        <v>4181</v>
      </c>
      <c r="G4003" s="1">
        <v>38534</v>
      </c>
      <c r="H4003" s="1">
        <v>42073</v>
      </c>
      <c r="I4003" t="s">
        <v>12</v>
      </c>
      <c r="J4003" t="s">
        <v>14773</v>
      </c>
    </row>
    <row r="4004" spans="1:10" x14ac:dyDescent="0.25">
      <c r="A4004">
        <v>320222</v>
      </c>
      <c r="B4004" t="s">
        <v>4188</v>
      </c>
      <c r="C4004" t="str">
        <f>"9780713677058"</f>
        <v>9780713677058</v>
      </c>
      <c r="D4004" t="str">
        <f>"9781408101902"</f>
        <v>9781408101902</v>
      </c>
      <c r="E4004" t="s">
        <v>4180</v>
      </c>
      <c r="F4004" t="s">
        <v>4181</v>
      </c>
      <c r="G4004" s="1">
        <v>39202</v>
      </c>
      <c r="H4004" s="1">
        <v>42326</v>
      </c>
      <c r="I4004" t="s">
        <v>12</v>
      </c>
      <c r="J4004" t="s">
        <v>14774</v>
      </c>
    </row>
    <row r="4005" spans="1:10" x14ac:dyDescent="0.25">
      <c r="A4005">
        <v>320231</v>
      </c>
      <c r="B4005" t="s">
        <v>4189</v>
      </c>
      <c r="C4005" t="str">
        <f>"9780713677850"</f>
        <v>9780713677850</v>
      </c>
      <c r="D4005" t="str">
        <f>"9781408102053"</f>
        <v>9781408102053</v>
      </c>
      <c r="E4005" t="s">
        <v>1400</v>
      </c>
      <c r="F4005" t="s">
        <v>1401</v>
      </c>
      <c r="G4005" s="1">
        <v>39814</v>
      </c>
      <c r="H4005" s="1">
        <v>39457</v>
      </c>
      <c r="I4005" t="s">
        <v>12</v>
      </c>
      <c r="J4005" t="s">
        <v>14775</v>
      </c>
    </row>
    <row r="4006" spans="1:10" x14ac:dyDescent="0.25">
      <c r="A4006">
        <v>320234</v>
      </c>
      <c r="B4006" t="s">
        <v>4190</v>
      </c>
      <c r="C4006" t="str">
        <f>"9780713678413"</f>
        <v>9780713678413</v>
      </c>
      <c r="D4006" t="str">
        <f>"9781408102145"</f>
        <v>9781408102145</v>
      </c>
      <c r="E4006" t="s">
        <v>4180</v>
      </c>
      <c r="F4006" t="s">
        <v>4191</v>
      </c>
      <c r="G4006" s="1">
        <v>38749</v>
      </c>
      <c r="H4006" s="1">
        <v>39457</v>
      </c>
      <c r="I4006" t="s">
        <v>12</v>
      </c>
      <c r="J4006" t="s">
        <v>14776</v>
      </c>
    </row>
    <row r="4007" spans="1:10" x14ac:dyDescent="0.25">
      <c r="A4007">
        <v>320252</v>
      </c>
      <c r="B4007" t="s">
        <v>4192</v>
      </c>
      <c r="C4007" t="str">
        <f>"9780713682038"</f>
        <v>9780713682038</v>
      </c>
      <c r="D4007" t="str">
        <f>"9781408102213"</f>
        <v>9781408102213</v>
      </c>
      <c r="E4007" t="s">
        <v>1400</v>
      </c>
      <c r="F4007" t="s">
        <v>4181</v>
      </c>
      <c r="G4007" s="1">
        <v>42083</v>
      </c>
      <c r="H4007" s="1">
        <v>42095</v>
      </c>
      <c r="I4007" t="s">
        <v>12</v>
      </c>
      <c r="J4007" t="s">
        <v>14777</v>
      </c>
    </row>
    <row r="4008" spans="1:10" x14ac:dyDescent="0.25">
      <c r="A4008">
        <v>320268</v>
      </c>
      <c r="B4008" t="s">
        <v>4193</v>
      </c>
      <c r="C4008" t="str">
        <f>"9780713685459"</f>
        <v>9780713685459</v>
      </c>
      <c r="D4008" t="str">
        <f>"9781408198216"</f>
        <v>9781408198216</v>
      </c>
      <c r="E4008" t="s">
        <v>4180</v>
      </c>
      <c r="F4008" t="s">
        <v>4194</v>
      </c>
      <c r="G4008" s="1">
        <v>40360</v>
      </c>
      <c r="H4008" s="1">
        <v>41781</v>
      </c>
      <c r="I4008" t="s">
        <v>12</v>
      </c>
      <c r="J4008" t="s">
        <v>14778</v>
      </c>
    </row>
    <row r="4009" spans="1:10" x14ac:dyDescent="0.25">
      <c r="A4009">
        <v>320286</v>
      </c>
      <c r="B4009" t="s">
        <v>4195</v>
      </c>
      <c r="C4009" t="str">
        <f>"9780747569794"</f>
        <v>9780747569794</v>
      </c>
      <c r="D4009" t="str">
        <f>"9781408102039"</f>
        <v>9781408102039</v>
      </c>
      <c r="E4009" t="s">
        <v>1400</v>
      </c>
      <c r="F4009" t="s">
        <v>1401</v>
      </c>
      <c r="G4009" s="1">
        <v>39326</v>
      </c>
      <c r="H4009" s="1">
        <v>39429</v>
      </c>
      <c r="I4009" t="s">
        <v>12</v>
      </c>
      <c r="J4009" t="s">
        <v>14779</v>
      </c>
    </row>
    <row r="4010" spans="1:10" x14ac:dyDescent="0.25">
      <c r="A4010">
        <v>320287</v>
      </c>
      <c r="B4010" t="s">
        <v>4196</v>
      </c>
      <c r="C4010" t="str">
        <f>"9780747569817"</f>
        <v>9780747569817</v>
      </c>
      <c r="D4010" t="str">
        <f>"9781408102411"</f>
        <v>9781408102411</v>
      </c>
      <c r="E4010" t="s">
        <v>4180</v>
      </c>
      <c r="F4010" t="s">
        <v>4181</v>
      </c>
      <c r="G4010" s="1">
        <v>38432</v>
      </c>
      <c r="H4010" s="1">
        <v>42226</v>
      </c>
      <c r="I4010" t="s">
        <v>12</v>
      </c>
      <c r="J4010" t="s">
        <v>14780</v>
      </c>
    </row>
    <row r="4011" spans="1:10" x14ac:dyDescent="0.25">
      <c r="A4011">
        <v>320289</v>
      </c>
      <c r="B4011" t="s">
        <v>4197</v>
      </c>
      <c r="C4011" t="str">
        <f>"9780747569893"</f>
        <v>9780747569893</v>
      </c>
      <c r="D4011" t="str">
        <f>"9781408101995"</f>
        <v>9781408101995</v>
      </c>
      <c r="E4011" t="s">
        <v>4180</v>
      </c>
      <c r="F4011" t="s">
        <v>4181</v>
      </c>
      <c r="G4011" s="1">
        <v>38307</v>
      </c>
      <c r="H4011" s="1">
        <v>42073</v>
      </c>
      <c r="I4011" t="s">
        <v>12</v>
      </c>
      <c r="J4011" t="s">
        <v>14781</v>
      </c>
    </row>
    <row r="4012" spans="1:10" x14ac:dyDescent="0.25">
      <c r="A4012">
        <v>320439</v>
      </c>
      <c r="B4012" t="s">
        <v>4198</v>
      </c>
      <c r="C4012" t="str">
        <f>"9780748623051"</f>
        <v>9780748623051</v>
      </c>
      <c r="D4012" t="str">
        <f>"9780748629930"</f>
        <v>9780748629930</v>
      </c>
      <c r="E4012" t="s">
        <v>1942</v>
      </c>
      <c r="F4012" t="s">
        <v>1942</v>
      </c>
      <c r="G4012" s="1">
        <v>39338</v>
      </c>
      <c r="H4012" s="1">
        <v>39430</v>
      </c>
      <c r="I4012" t="s">
        <v>12</v>
      </c>
      <c r="J4012" t="s">
        <v>14782</v>
      </c>
    </row>
    <row r="4013" spans="1:10" x14ac:dyDescent="0.25">
      <c r="A4013">
        <v>320440</v>
      </c>
      <c r="B4013" t="s">
        <v>4199</v>
      </c>
      <c r="C4013" t="str">
        <f>"9780748621613"</f>
        <v>9780748621613</v>
      </c>
      <c r="D4013" t="str">
        <f>"9780748629527"</f>
        <v>9780748629527</v>
      </c>
      <c r="E4013" t="s">
        <v>1942</v>
      </c>
      <c r="F4013" t="s">
        <v>1942</v>
      </c>
      <c r="G4013" s="1">
        <v>39326</v>
      </c>
      <c r="H4013" s="1">
        <v>39430</v>
      </c>
      <c r="I4013" t="s">
        <v>12</v>
      </c>
      <c r="J4013" t="s">
        <v>14783</v>
      </c>
    </row>
    <row r="4014" spans="1:10" x14ac:dyDescent="0.25">
      <c r="A4014">
        <v>320442</v>
      </c>
      <c r="B4014" t="s">
        <v>4200</v>
      </c>
      <c r="C4014" t="str">
        <f>"9780748624935"</f>
        <v>9780748624935</v>
      </c>
      <c r="D4014" t="str">
        <f>"9780748630660"</f>
        <v>9780748630660</v>
      </c>
      <c r="E4014" t="s">
        <v>1942</v>
      </c>
      <c r="F4014" t="s">
        <v>1942</v>
      </c>
      <c r="G4014" s="1">
        <v>39326</v>
      </c>
      <c r="H4014" s="1">
        <v>39430</v>
      </c>
      <c r="I4014" t="s">
        <v>12</v>
      </c>
      <c r="J4014" t="s">
        <v>14784</v>
      </c>
    </row>
    <row r="4015" spans="1:10" x14ac:dyDescent="0.25">
      <c r="A4015">
        <v>320443</v>
      </c>
      <c r="B4015" t="s">
        <v>4201</v>
      </c>
      <c r="C4015" t="str">
        <f>"9780748625239"</f>
        <v>9780748625239</v>
      </c>
      <c r="D4015" t="str">
        <f>"9780748630738"</f>
        <v>9780748630738</v>
      </c>
      <c r="E4015" t="s">
        <v>1942</v>
      </c>
      <c r="F4015" t="s">
        <v>1942</v>
      </c>
      <c r="G4015" s="1">
        <v>39344</v>
      </c>
      <c r="H4015" s="1">
        <v>39430</v>
      </c>
      <c r="I4015" t="s">
        <v>12</v>
      </c>
      <c r="J4015" t="s">
        <v>14785</v>
      </c>
    </row>
    <row r="4016" spans="1:10" x14ac:dyDescent="0.25">
      <c r="A4016">
        <v>320448</v>
      </c>
      <c r="B4016" t="s">
        <v>4202</v>
      </c>
      <c r="C4016" t="str">
        <f>"9780748624249"</f>
        <v>9780748624249</v>
      </c>
      <c r="D4016" t="str">
        <f>"9780748630400"</f>
        <v>9780748630400</v>
      </c>
      <c r="E4016" t="s">
        <v>1942</v>
      </c>
      <c r="F4016" t="s">
        <v>1942</v>
      </c>
      <c r="G4016" s="1">
        <v>39010</v>
      </c>
      <c r="H4016" s="1">
        <v>39430</v>
      </c>
      <c r="I4016" t="s">
        <v>12</v>
      </c>
      <c r="J4016" t="s">
        <v>14786</v>
      </c>
    </row>
    <row r="4017" spans="1:10" x14ac:dyDescent="0.25">
      <c r="A4017">
        <v>320568</v>
      </c>
      <c r="B4017" t="s">
        <v>4203</v>
      </c>
      <c r="C4017" t="str">
        <f>"9781593854881"</f>
        <v>9781593854881</v>
      </c>
      <c r="D4017" t="str">
        <f>"9781593857226"</f>
        <v>9781593857226</v>
      </c>
      <c r="E4017" t="s">
        <v>3740</v>
      </c>
      <c r="F4017" t="s">
        <v>3741</v>
      </c>
      <c r="G4017" s="1">
        <v>39273</v>
      </c>
      <c r="H4017" s="1">
        <v>39477</v>
      </c>
      <c r="I4017" t="s">
        <v>12</v>
      </c>
      <c r="J4017" t="s">
        <v>14787</v>
      </c>
    </row>
    <row r="4018" spans="1:10" x14ac:dyDescent="0.25">
      <c r="A4018">
        <v>320571</v>
      </c>
      <c r="B4018" t="s">
        <v>4204</v>
      </c>
      <c r="C4018" t="str">
        <f>"9781593854386"</f>
        <v>9781593854386</v>
      </c>
      <c r="D4018" t="str">
        <f>"9781593857257"</f>
        <v>9781593857257</v>
      </c>
      <c r="E4018" t="s">
        <v>3740</v>
      </c>
      <c r="F4018" t="s">
        <v>3741</v>
      </c>
      <c r="G4018" s="1">
        <v>39176</v>
      </c>
      <c r="H4018" s="1">
        <v>39477</v>
      </c>
      <c r="I4018" t="s">
        <v>12</v>
      </c>
      <c r="J4018" t="s">
        <v>14788</v>
      </c>
    </row>
    <row r="4019" spans="1:10" x14ac:dyDescent="0.25">
      <c r="A4019">
        <v>320573</v>
      </c>
      <c r="B4019" t="s">
        <v>4205</v>
      </c>
      <c r="C4019" t="str">
        <f>"9781593854300"</f>
        <v>9781593854300</v>
      </c>
      <c r="D4019" t="str">
        <f>"9781593857271"</f>
        <v>9781593857271</v>
      </c>
      <c r="E4019" t="s">
        <v>3740</v>
      </c>
      <c r="F4019" t="s">
        <v>3741</v>
      </c>
      <c r="G4019" s="1">
        <v>39125</v>
      </c>
      <c r="H4019" s="1">
        <v>39477</v>
      </c>
      <c r="I4019" t="s">
        <v>12</v>
      </c>
      <c r="J4019" t="s">
        <v>14789</v>
      </c>
    </row>
    <row r="4020" spans="1:10" x14ac:dyDescent="0.25">
      <c r="A4020">
        <v>320574</v>
      </c>
      <c r="B4020" t="s">
        <v>4206</v>
      </c>
      <c r="C4020" t="str">
        <f>"9781593854638"</f>
        <v>9781593854638</v>
      </c>
      <c r="D4020" t="str">
        <f>"9781593857288"</f>
        <v>9781593857288</v>
      </c>
      <c r="E4020" t="s">
        <v>3740</v>
      </c>
      <c r="F4020" t="s">
        <v>3741</v>
      </c>
      <c r="G4020" s="1">
        <v>39234</v>
      </c>
      <c r="H4020" s="1">
        <v>39477</v>
      </c>
      <c r="I4020" t="s">
        <v>12</v>
      </c>
      <c r="J4020" t="s">
        <v>14790</v>
      </c>
    </row>
    <row r="4021" spans="1:10" x14ac:dyDescent="0.25">
      <c r="A4021">
        <v>320575</v>
      </c>
      <c r="B4021" t="s">
        <v>4207</v>
      </c>
      <c r="C4021" t="str">
        <f>"9781593854133"</f>
        <v>9781593854133</v>
      </c>
      <c r="D4021" t="str">
        <f>"9781593857295"</f>
        <v>9781593857295</v>
      </c>
      <c r="E4021" t="s">
        <v>3740</v>
      </c>
      <c r="F4021" t="s">
        <v>3741</v>
      </c>
      <c r="G4021" s="1">
        <v>39104</v>
      </c>
      <c r="H4021" s="1">
        <v>39519</v>
      </c>
      <c r="I4021" t="s">
        <v>12</v>
      </c>
      <c r="J4021" t="s">
        <v>14791</v>
      </c>
    </row>
    <row r="4022" spans="1:10" x14ac:dyDescent="0.25">
      <c r="A4022">
        <v>320576</v>
      </c>
      <c r="B4022" t="s">
        <v>4208</v>
      </c>
      <c r="C4022" t="str">
        <f>"9781593854287"</f>
        <v>9781593854287</v>
      </c>
      <c r="D4022" t="str">
        <f>"9781593857301"</f>
        <v>9781593857301</v>
      </c>
      <c r="E4022" t="s">
        <v>3740</v>
      </c>
      <c r="F4022" t="s">
        <v>3741</v>
      </c>
      <c r="G4022" s="1">
        <v>39092</v>
      </c>
      <c r="H4022" s="1">
        <v>39477</v>
      </c>
      <c r="I4022" t="s">
        <v>12</v>
      </c>
      <c r="J4022" t="s">
        <v>14792</v>
      </c>
    </row>
    <row r="4023" spans="1:10" x14ac:dyDescent="0.25">
      <c r="A4023">
        <v>320578</v>
      </c>
      <c r="B4023" t="s">
        <v>4209</v>
      </c>
      <c r="C4023" t="str">
        <f>"9781593854447"</f>
        <v>9781593854447</v>
      </c>
      <c r="D4023" t="str">
        <f>"9781593857325"</f>
        <v>9781593857325</v>
      </c>
      <c r="E4023" t="s">
        <v>3740</v>
      </c>
      <c r="F4023" t="s">
        <v>3741</v>
      </c>
      <c r="G4023" s="1">
        <v>39258</v>
      </c>
      <c r="H4023" s="1">
        <v>39477</v>
      </c>
      <c r="I4023" t="s">
        <v>12</v>
      </c>
      <c r="J4023" t="s">
        <v>14793</v>
      </c>
    </row>
    <row r="4024" spans="1:10" x14ac:dyDescent="0.25">
      <c r="A4024">
        <v>320580</v>
      </c>
      <c r="B4024" t="s">
        <v>4210</v>
      </c>
      <c r="C4024" t="str">
        <f>"9781593851118"</f>
        <v>9781593851118</v>
      </c>
      <c r="D4024" t="str">
        <f>"9781593857349"</f>
        <v>9781593857349</v>
      </c>
      <c r="E4024" t="s">
        <v>3740</v>
      </c>
      <c r="F4024" t="s">
        <v>3741</v>
      </c>
      <c r="G4024" s="1">
        <v>39204</v>
      </c>
      <c r="H4024" s="1">
        <v>39477</v>
      </c>
      <c r="I4024" t="s">
        <v>12</v>
      </c>
      <c r="J4024" t="s">
        <v>14794</v>
      </c>
    </row>
    <row r="4025" spans="1:10" x14ac:dyDescent="0.25">
      <c r="A4025">
        <v>320582</v>
      </c>
      <c r="B4025" t="s">
        <v>4211</v>
      </c>
      <c r="C4025" t="str">
        <f>"9781593854539"</f>
        <v>9781593854539</v>
      </c>
      <c r="D4025" t="str">
        <f>"9781593857363"</f>
        <v>9781593857363</v>
      </c>
      <c r="E4025" t="s">
        <v>3740</v>
      </c>
      <c r="F4025" t="s">
        <v>3741</v>
      </c>
      <c r="G4025" s="1">
        <v>39181</v>
      </c>
      <c r="H4025" s="1">
        <v>39477</v>
      </c>
      <c r="I4025" t="s">
        <v>12</v>
      </c>
      <c r="J4025" t="s">
        <v>14795</v>
      </c>
    </row>
    <row r="4026" spans="1:10" x14ac:dyDescent="0.25">
      <c r="A4026">
        <v>320584</v>
      </c>
      <c r="B4026" t="s">
        <v>4212</v>
      </c>
      <c r="C4026" t="str">
        <f>"9781593853334"</f>
        <v>9781593853334</v>
      </c>
      <c r="D4026" t="str">
        <f>"9781593857387"</f>
        <v>9781593857387</v>
      </c>
      <c r="E4026" t="s">
        <v>3740</v>
      </c>
      <c r="F4026" t="s">
        <v>3741</v>
      </c>
      <c r="G4026" s="1">
        <v>39178</v>
      </c>
      <c r="H4026" s="1">
        <v>39477</v>
      </c>
      <c r="I4026" t="s">
        <v>12</v>
      </c>
      <c r="J4026" t="s">
        <v>14796</v>
      </c>
    </row>
    <row r="4027" spans="1:10" x14ac:dyDescent="0.25">
      <c r="A4027">
        <v>320585</v>
      </c>
      <c r="B4027" t="s">
        <v>4213</v>
      </c>
      <c r="C4027" t="str">
        <f>"9781593854614"</f>
        <v>9781593854614</v>
      </c>
      <c r="D4027" t="str">
        <f>"9781593857394"</f>
        <v>9781593857394</v>
      </c>
      <c r="E4027" t="s">
        <v>3740</v>
      </c>
      <c r="F4027" t="s">
        <v>3741</v>
      </c>
      <c r="G4027" s="1">
        <v>39185</v>
      </c>
      <c r="H4027" s="1">
        <v>39477</v>
      </c>
      <c r="I4027" t="s">
        <v>12</v>
      </c>
      <c r="J4027" t="s">
        <v>14797</v>
      </c>
    </row>
    <row r="4028" spans="1:10" x14ac:dyDescent="0.25">
      <c r="A4028">
        <v>320588</v>
      </c>
      <c r="B4028" t="s">
        <v>4214</v>
      </c>
      <c r="C4028" t="str">
        <f>"9781593854102"</f>
        <v>9781593854102</v>
      </c>
      <c r="D4028" t="str">
        <f>"9781593857424"</f>
        <v>9781593857424</v>
      </c>
      <c r="E4028" t="s">
        <v>3740</v>
      </c>
      <c r="F4028" t="s">
        <v>3741</v>
      </c>
      <c r="G4028" s="1">
        <v>39149</v>
      </c>
      <c r="H4028" s="1">
        <v>39477</v>
      </c>
      <c r="I4028" t="s">
        <v>12</v>
      </c>
      <c r="J4028" t="s">
        <v>14798</v>
      </c>
    </row>
    <row r="4029" spans="1:10" x14ac:dyDescent="0.25">
      <c r="A4029">
        <v>320591</v>
      </c>
      <c r="B4029" t="s">
        <v>4215</v>
      </c>
      <c r="C4029" t="str">
        <f>"9781593854478"</f>
        <v>9781593854478</v>
      </c>
      <c r="D4029" t="str">
        <f>"9781593857455"</f>
        <v>9781593857455</v>
      </c>
      <c r="E4029" t="s">
        <v>4216</v>
      </c>
      <c r="F4029" t="s">
        <v>4216</v>
      </c>
      <c r="G4029" s="1">
        <v>41773</v>
      </c>
      <c r="H4029" s="1">
        <v>39471</v>
      </c>
      <c r="I4029" t="s">
        <v>12</v>
      </c>
      <c r="J4029" t="s">
        <v>14799</v>
      </c>
    </row>
    <row r="4030" spans="1:10" x14ac:dyDescent="0.25">
      <c r="A4030">
        <v>320593</v>
      </c>
      <c r="B4030" t="s">
        <v>4217</v>
      </c>
      <c r="C4030" t="str">
        <f>"9781593854911"</f>
        <v>9781593854911</v>
      </c>
      <c r="D4030" t="str">
        <f>"9781593857479"</f>
        <v>9781593857479</v>
      </c>
      <c r="E4030" t="s">
        <v>3740</v>
      </c>
      <c r="F4030" t="s">
        <v>3741</v>
      </c>
      <c r="G4030" s="1">
        <v>39273</v>
      </c>
      <c r="H4030" s="1">
        <v>39515</v>
      </c>
      <c r="I4030" t="s">
        <v>12</v>
      </c>
      <c r="J4030" t="s">
        <v>14800</v>
      </c>
    </row>
    <row r="4031" spans="1:10" x14ac:dyDescent="0.25">
      <c r="A4031">
        <v>320598</v>
      </c>
      <c r="B4031" t="s">
        <v>4218</v>
      </c>
      <c r="C4031" t="str">
        <f>"9781846636028"</f>
        <v>9781846636028</v>
      </c>
      <c r="D4031" t="str">
        <f>"9781846636035"</f>
        <v>9781846636035</v>
      </c>
      <c r="E4031" t="s">
        <v>1116</v>
      </c>
      <c r="F4031" t="s">
        <v>1117</v>
      </c>
      <c r="G4031" s="1">
        <v>39353</v>
      </c>
      <c r="H4031" s="1">
        <v>39475</v>
      </c>
      <c r="I4031" t="s">
        <v>12</v>
      </c>
      <c r="J4031" t="s">
        <v>14801</v>
      </c>
    </row>
    <row r="4032" spans="1:10" x14ac:dyDescent="0.25">
      <c r="A4032">
        <v>320603</v>
      </c>
      <c r="B4032" t="s">
        <v>4219</v>
      </c>
      <c r="C4032" t="str">
        <f>"9781846636202"</f>
        <v>9781846636202</v>
      </c>
      <c r="D4032" t="str">
        <f>"9781846636219"</f>
        <v>9781846636219</v>
      </c>
      <c r="E4032" t="s">
        <v>1116</v>
      </c>
      <c r="F4032" t="s">
        <v>1117</v>
      </c>
      <c r="G4032" s="1">
        <v>39311</v>
      </c>
      <c r="H4032" s="1">
        <v>39475</v>
      </c>
      <c r="I4032" t="s">
        <v>12</v>
      </c>
      <c r="J4032" t="s">
        <v>14802</v>
      </c>
    </row>
    <row r="4033" spans="1:10" x14ac:dyDescent="0.25">
      <c r="A4033">
        <v>320605</v>
      </c>
      <c r="B4033" t="s">
        <v>4220</v>
      </c>
      <c r="C4033" t="str">
        <f>"9781846637148"</f>
        <v>9781846637148</v>
      </c>
      <c r="D4033" t="str">
        <f>"9781846637155"</f>
        <v>9781846637155</v>
      </c>
      <c r="E4033" t="s">
        <v>1116</v>
      </c>
      <c r="F4033" t="s">
        <v>1117</v>
      </c>
      <c r="G4033" s="1">
        <v>39332</v>
      </c>
      <c r="H4033" s="1">
        <v>39475</v>
      </c>
      <c r="I4033" t="s">
        <v>12</v>
      </c>
      <c r="J4033" t="s">
        <v>14803</v>
      </c>
    </row>
    <row r="4034" spans="1:10" x14ac:dyDescent="0.25">
      <c r="A4034">
        <v>320617</v>
      </c>
      <c r="B4034" t="s">
        <v>4221</v>
      </c>
      <c r="C4034" t="str">
        <f>"9781846635144"</f>
        <v>9781846635144</v>
      </c>
      <c r="D4034" t="str">
        <f>"9781846635151"</f>
        <v>9781846635151</v>
      </c>
      <c r="E4034" t="s">
        <v>1116</v>
      </c>
      <c r="F4034" t="s">
        <v>1117</v>
      </c>
      <c r="G4034" s="1">
        <v>39283</v>
      </c>
      <c r="H4034" s="1">
        <v>39475</v>
      </c>
      <c r="I4034" t="s">
        <v>1504</v>
      </c>
      <c r="J4034" t="s">
        <v>14804</v>
      </c>
    </row>
    <row r="4035" spans="1:10" x14ac:dyDescent="0.25">
      <c r="A4035">
        <v>320621</v>
      </c>
      <c r="B4035" t="s">
        <v>4222</v>
      </c>
      <c r="C4035" t="str">
        <f>"9781846634963"</f>
        <v>9781846634963</v>
      </c>
      <c r="D4035" t="str">
        <f>"9781846634970"</f>
        <v>9781846634970</v>
      </c>
      <c r="E4035" t="s">
        <v>1116</v>
      </c>
      <c r="F4035" t="s">
        <v>1117</v>
      </c>
      <c r="G4035" s="1">
        <v>39283</v>
      </c>
      <c r="H4035" s="1">
        <v>39475</v>
      </c>
      <c r="I4035" t="s">
        <v>1504</v>
      </c>
      <c r="J4035" t="s">
        <v>14805</v>
      </c>
    </row>
    <row r="4036" spans="1:10" x14ac:dyDescent="0.25">
      <c r="A4036">
        <v>320624</v>
      </c>
      <c r="B4036" t="s">
        <v>4223</v>
      </c>
      <c r="C4036" t="str">
        <f>"9781846635809"</f>
        <v>9781846635809</v>
      </c>
      <c r="D4036" t="str">
        <f>"9781846635816"</f>
        <v>9781846635816</v>
      </c>
      <c r="E4036" t="s">
        <v>1116</v>
      </c>
      <c r="F4036" t="s">
        <v>1117</v>
      </c>
      <c r="G4036" s="1">
        <v>39290</v>
      </c>
      <c r="H4036" s="1">
        <v>39475</v>
      </c>
      <c r="I4036" t="s">
        <v>12</v>
      </c>
      <c r="J4036" t="s">
        <v>14806</v>
      </c>
    </row>
    <row r="4037" spans="1:10" x14ac:dyDescent="0.25">
      <c r="A4037">
        <v>320630</v>
      </c>
      <c r="B4037" t="s">
        <v>4224</v>
      </c>
      <c r="C4037" t="str">
        <f>"9781846636363"</f>
        <v>9781846636363</v>
      </c>
      <c r="D4037" t="str">
        <f>"9781846636370"</f>
        <v>9781846636370</v>
      </c>
      <c r="E4037" t="s">
        <v>1116</v>
      </c>
      <c r="F4037" t="s">
        <v>1117</v>
      </c>
      <c r="G4037" s="1">
        <v>39353</v>
      </c>
      <c r="H4037" s="1">
        <v>39431</v>
      </c>
      <c r="I4037" t="s">
        <v>1504</v>
      </c>
      <c r="J4037" t="s">
        <v>14807</v>
      </c>
    </row>
    <row r="4038" spans="1:10" x14ac:dyDescent="0.25">
      <c r="A4038">
        <v>320643</v>
      </c>
      <c r="B4038" t="s">
        <v>4225</v>
      </c>
      <c r="C4038" t="str">
        <f>"9781846636165"</f>
        <v>9781846636165</v>
      </c>
      <c r="D4038" t="str">
        <f>"9781846636172"</f>
        <v>9781846636172</v>
      </c>
      <c r="E4038" t="s">
        <v>1116</v>
      </c>
      <c r="F4038" t="s">
        <v>1117</v>
      </c>
      <c r="G4038" s="1">
        <v>39346</v>
      </c>
      <c r="H4038" s="1">
        <v>39431</v>
      </c>
      <c r="I4038" t="s">
        <v>1504</v>
      </c>
      <c r="J4038" t="s">
        <v>14808</v>
      </c>
    </row>
    <row r="4039" spans="1:10" x14ac:dyDescent="0.25">
      <c r="A4039">
        <v>320647</v>
      </c>
      <c r="B4039" t="s">
        <v>4226</v>
      </c>
      <c r="C4039" t="str">
        <f>"9781846635540"</f>
        <v>9781846635540</v>
      </c>
      <c r="D4039" t="str">
        <f>"9781846635557"</f>
        <v>9781846635557</v>
      </c>
      <c r="E4039" t="s">
        <v>1116</v>
      </c>
      <c r="F4039" t="s">
        <v>1117</v>
      </c>
      <c r="G4039" s="1">
        <v>39304</v>
      </c>
      <c r="H4039" s="1">
        <v>39431</v>
      </c>
      <c r="I4039" t="s">
        <v>1504</v>
      </c>
      <c r="J4039" t="s">
        <v>14809</v>
      </c>
    </row>
    <row r="4040" spans="1:10" x14ac:dyDescent="0.25">
      <c r="A4040">
        <v>320650</v>
      </c>
      <c r="B4040" t="s">
        <v>4227</v>
      </c>
      <c r="C4040" t="str">
        <f>"9781846636226"</f>
        <v>9781846636226</v>
      </c>
      <c r="D4040" t="str">
        <f>"9781846636233"</f>
        <v>9781846636233</v>
      </c>
      <c r="E4040" t="s">
        <v>1116</v>
      </c>
      <c r="F4040" t="s">
        <v>1117</v>
      </c>
      <c r="G4040" s="1">
        <v>39339</v>
      </c>
      <c r="H4040" s="1">
        <v>39431</v>
      </c>
      <c r="I4040" t="s">
        <v>12</v>
      </c>
      <c r="J4040" t="s">
        <v>14810</v>
      </c>
    </row>
    <row r="4041" spans="1:10" x14ac:dyDescent="0.25">
      <c r="A4041">
        <v>320655</v>
      </c>
      <c r="B4041" t="s">
        <v>4228</v>
      </c>
      <c r="C4041" t="str">
        <f>"9781846635922"</f>
        <v>9781846635922</v>
      </c>
      <c r="D4041" t="str">
        <f>"9781846635939"</f>
        <v>9781846635939</v>
      </c>
      <c r="E4041" t="s">
        <v>1116</v>
      </c>
      <c r="F4041" t="s">
        <v>1117</v>
      </c>
      <c r="G4041" s="1">
        <v>39332</v>
      </c>
      <c r="H4041" s="1">
        <v>39431</v>
      </c>
      <c r="I4041" t="s">
        <v>12</v>
      </c>
      <c r="J4041" t="s">
        <v>14811</v>
      </c>
    </row>
    <row r="4042" spans="1:10" x14ac:dyDescent="0.25">
      <c r="A4042">
        <v>320656</v>
      </c>
      <c r="B4042" t="s">
        <v>4229</v>
      </c>
      <c r="C4042" t="str">
        <f>"9781846636585"</f>
        <v>9781846636585</v>
      </c>
      <c r="D4042" t="str">
        <f>"9781846636592"</f>
        <v>9781846636592</v>
      </c>
      <c r="E4042" t="s">
        <v>1116</v>
      </c>
      <c r="F4042" t="s">
        <v>1117</v>
      </c>
      <c r="G4042" s="1">
        <v>39346</v>
      </c>
      <c r="H4042" s="1">
        <v>39431</v>
      </c>
      <c r="I4042" t="s">
        <v>12</v>
      </c>
      <c r="J4042" t="s">
        <v>14812</v>
      </c>
    </row>
    <row r="4043" spans="1:10" x14ac:dyDescent="0.25">
      <c r="A4043">
        <v>320657</v>
      </c>
      <c r="B4043" t="s">
        <v>4230</v>
      </c>
      <c r="C4043" t="str">
        <f>"9781846635663"</f>
        <v>9781846635663</v>
      </c>
      <c r="D4043" t="str">
        <f>"9781846635670"</f>
        <v>9781846635670</v>
      </c>
      <c r="E4043" t="s">
        <v>1116</v>
      </c>
      <c r="F4043" t="s">
        <v>1117</v>
      </c>
      <c r="G4043" s="1">
        <v>39325</v>
      </c>
      <c r="H4043" s="1">
        <v>39471</v>
      </c>
      <c r="I4043" t="s">
        <v>12</v>
      </c>
      <c r="J4043" t="s">
        <v>14813</v>
      </c>
    </row>
    <row r="4044" spans="1:10" x14ac:dyDescent="0.25">
      <c r="A4044">
        <v>320658</v>
      </c>
      <c r="B4044" t="s">
        <v>4231</v>
      </c>
      <c r="C4044" t="str">
        <f>"9781846636486"</f>
        <v>9781846636486</v>
      </c>
      <c r="D4044" t="str">
        <f>"9781846636493"</f>
        <v>9781846636493</v>
      </c>
      <c r="E4044" t="s">
        <v>1116</v>
      </c>
      <c r="F4044" t="s">
        <v>1117</v>
      </c>
      <c r="G4044" s="1">
        <v>39318</v>
      </c>
      <c r="H4044" s="1">
        <v>39431</v>
      </c>
      <c r="I4044" t="s">
        <v>12</v>
      </c>
      <c r="J4044" t="s">
        <v>14814</v>
      </c>
    </row>
    <row r="4045" spans="1:10" x14ac:dyDescent="0.25">
      <c r="A4045">
        <v>320660</v>
      </c>
      <c r="B4045" t="s">
        <v>4232</v>
      </c>
      <c r="C4045" t="str">
        <f>"9781846635564"</f>
        <v>9781846635564</v>
      </c>
      <c r="D4045" t="str">
        <f>"9781846635571"</f>
        <v>9781846635571</v>
      </c>
      <c r="E4045" t="s">
        <v>1116</v>
      </c>
      <c r="F4045" t="s">
        <v>1117</v>
      </c>
      <c r="G4045" s="1">
        <v>39297</v>
      </c>
      <c r="H4045" s="1">
        <v>39431</v>
      </c>
      <c r="I4045" t="s">
        <v>12</v>
      </c>
      <c r="J4045" t="s">
        <v>14815</v>
      </c>
    </row>
    <row r="4046" spans="1:10" x14ac:dyDescent="0.25">
      <c r="A4046">
        <v>320661</v>
      </c>
      <c r="B4046" t="s">
        <v>4233</v>
      </c>
      <c r="C4046" t="str">
        <f>"9781846636141"</f>
        <v>9781846636141</v>
      </c>
      <c r="D4046" t="str">
        <f>"9781846636158"</f>
        <v>9781846636158</v>
      </c>
      <c r="E4046" t="s">
        <v>1116</v>
      </c>
      <c r="F4046" t="s">
        <v>1117</v>
      </c>
      <c r="G4046" s="1">
        <v>39339</v>
      </c>
      <c r="H4046" s="1">
        <v>39431</v>
      </c>
      <c r="I4046" t="s">
        <v>12</v>
      </c>
      <c r="J4046" t="s">
        <v>14816</v>
      </c>
    </row>
    <row r="4047" spans="1:10" x14ac:dyDescent="0.25">
      <c r="A4047">
        <v>320662</v>
      </c>
      <c r="B4047" t="s">
        <v>4234</v>
      </c>
      <c r="C4047" t="str">
        <f>"9781846635601"</f>
        <v>9781846635601</v>
      </c>
      <c r="D4047" t="str">
        <f>"9781846635618"</f>
        <v>9781846635618</v>
      </c>
      <c r="E4047" t="s">
        <v>1116</v>
      </c>
      <c r="F4047" t="s">
        <v>1117</v>
      </c>
      <c r="G4047" s="1">
        <v>39304</v>
      </c>
      <c r="H4047" s="1">
        <v>39431</v>
      </c>
      <c r="I4047" t="s">
        <v>12</v>
      </c>
      <c r="J4047" t="s">
        <v>14817</v>
      </c>
    </row>
    <row r="4048" spans="1:10" x14ac:dyDescent="0.25">
      <c r="A4048">
        <v>320665</v>
      </c>
      <c r="B4048" t="s">
        <v>4235</v>
      </c>
      <c r="C4048" t="str">
        <f>"9781846635380"</f>
        <v>9781846635380</v>
      </c>
      <c r="D4048" t="str">
        <f>"9781846635397"</f>
        <v>9781846635397</v>
      </c>
      <c r="E4048" t="s">
        <v>1116</v>
      </c>
      <c r="F4048" t="s">
        <v>1117</v>
      </c>
      <c r="G4048" s="1">
        <v>39290</v>
      </c>
      <c r="H4048" s="1">
        <v>39431</v>
      </c>
      <c r="I4048" t="s">
        <v>12</v>
      </c>
      <c r="J4048" t="s">
        <v>14818</v>
      </c>
    </row>
    <row r="4049" spans="1:10" x14ac:dyDescent="0.25">
      <c r="A4049">
        <v>320667</v>
      </c>
      <c r="B4049" t="s">
        <v>4236</v>
      </c>
      <c r="C4049" t="str">
        <f>"9781846635823"</f>
        <v>9781846635823</v>
      </c>
      <c r="D4049" t="str">
        <f>"9781846635830"</f>
        <v>9781846635830</v>
      </c>
      <c r="E4049" t="s">
        <v>1116</v>
      </c>
      <c r="F4049" t="s">
        <v>1117</v>
      </c>
      <c r="G4049" s="1">
        <v>39325</v>
      </c>
      <c r="H4049" s="1">
        <v>39431</v>
      </c>
      <c r="I4049" t="s">
        <v>12</v>
      </c>
      <c r="J4049" t="s">
        <v>14819</v>
      </c>
    </row>
    <row r="4050" spans="1:10" x14ac:dyDescent="0.25">
      <c r="A4050">
        <v>320670</v>
      </c>
      <c r="B4050" t="s">
        <v>4237</v>
      </c>
      <c r="C4050" t="str">
        <f>"9781411686779"</f>
        <v>9781411686779</v>
      </c>
      <c r="D4050" t="str">
        <f>"9781605570754"</f>
        <v>9781605570754</v>
      </c>
      <c r="E4050" t="s">
        <v>4021</v>
      </c>
      <c r="F4050" t="s">
        <v>4021</v>
      </c>
      <c r="G4050" s="1">
        <v>38718</v>
      </c>
      <c r="H4050" s="1">
        <v>38169</v>
      </c>
      <c r="I4050" t="s">
        <v>12</v>
      </c>
      <c r="J4050" t="s">
        <v>14820</v>
      </c>
    </row>
    <row r="4051" spans="1:10" x14ac:dyDescent="0.25">
      <c r="A4051">
        <v>320671</v>
      </c>
      <c r="B4051" t="s">
        <v>4238</v>
      </c>
      <c r="C4051" t="str">
        <f>"9780926566064"</f>
        <v>9780926566064</v>
      </c>
      <c r="D4051" t="str">
        <f>"9781605570761"</f>
        <v>9781605570761</v>
      </c>
      <c r="E4051" t="s">
        <v>4021</v>
      </c>
      <c r="F4051" t="s">
        <v>4021</v>
      </c>
      <c r="G4051" s="1">
        <v>38353</v>
      </c>
      <c r="H4051" s="1">
        <v>38169</v>
      </c>
      <c r="I4051" t="s">
        <v>12</v>
      </c>
      <c r="J4051" t="s">
        <v>14821</v>
      </c>
    </row>
    <row r="4052" spans="1:10" x14ac:dyDescent="0.25">
      <c r="A4052">
        <v>320672</v>
      </c>
      <c r="B4052" t="s">
        <v>4239</v>
      </c>
      <c r="C4052" t="str">
        <f>"9780972985505"</f>
        <v>9780972985505</v>
      </c>
      <c r="D4052" t="str">
        <f>"9781605570792"</f>
        <v>9781605570792</v>
      </c>
      <c r="E4052" t="s">
        <v>4021</v>
      </c>
      <c r="F4052" t="s">
        <v>4021</v>
      </c>
      <c r="G4052" s="1">
        <v>36161</v>
      </c>
      <c r="H4052" s="1">
        <v>38169</v>
      </c>
      <c r="I4052" t="s">
        <v>12</v>
      </c>
      <c r="J4052" t="s">
        <v>14822</v>
      </c>
    </row>
    <row r="4053" spans="1:10" x14ac:dyDescent="0.25">
      <c r="A4053">
        <v>320673</v>
      </c>
      <c r="B4053" t="s">
        <v>4240</v>
      </c>
      <c r="C4053" t="str">
        <f>"9780965541237"</f>
        <v>9780965541237</v>
      </c>
      <c r="D4053" t="str">
        <f>"9781605570822"</f>
        <v>9781605570822</v>
      </c>
      <c r="E4053" t="s">
        <v>4021</v>
      </c>
      <c r="F4053" t="s">
        <v>4021</v>
      </c>
      <c r="G4053" s="1">
        <v>37257</v>
      </c>
      <c r="H4053" s="1">
        <v>38169</v>
      </c>
      <c r="I4053" t="s">
        <v>12</v>
      </c>
      <c r="J4053" t="s">
        <v>14823</v>
      </c>
    </row>
    <row r="4054" spans="1:10" x14ac:dyDescent="0.25">
      <c r="A4054">
        <v>320675</v>
      </c>
      <c r="B4054" t="s">
        <v>4241</v>
      </c>
      <c r="C4054" t="str">
        <f>"9780965541213"</f>
        <v>9780965541213</v>
      </c>
      <c r="D4054" t="str">
        <f>"9781605570808"</f>
        <v>9781605570808</v>
      </c>
      <c r="E4054" t="s">
        <v>4021</v>
      </c>
      <c r="F4054" t="s">
        <v>4021</v>
      </c>
      <c r="G4054" s="1">
        <v>36161</v>
      </c>
      <c r="H4054" s="1">
        <v>38169</v>
      </c>
      <c r="I4054" t="s">
        <v>12</v>
      </c>
      <c r="J4054" t="s">
        <v>14824</v>
      </c>
    </row>
    <row r="4055" spans="1:10" x14ac:dyDescent="0.25">
      <c r="A4055">
        <v>320676</v>
      </c>
      <c r="B4055" t="s">
        <v>4242</v>
      </c>
      <c r="C4055" t="str">
        <f>"9780968340202"</f>
        <v>9780968340202</v>
      </c>
      <c r="D4055" t="str">
        <f>"9781605570907"</f>
        <v>9781605570907</v>
      </c>
      <c r="E4055" t="s">
        <v>4021</v>
      </c>
      <c r="F4055" t="s">
        <v>4021</v>
      </c>
      <c r="G4055" s="1">
        <v>36526</v>
      </c>
      <c r="H4055" s="1">
        <v>38169</v>
      </c>
      <c r="I4055" t="s">
        <v>12</v>
      </c>
      <c r="J4055" t="s">
        <v>14825</v>
      </c>
    </row>
    <row r="4056" spans="1:10" x14ac:dyDescent="0.25">
      <c r="A4056">
        <v>320684</v>
      </c>
      <c r="B4056" t="s">
        <v>4243</v>
      </c>
      <c r="C4056" t="str">
        <f>"9780971011687"</f>
        <v>9780971011687</v>
      </c>
      <c r="D4056" t="str">
        <f>"9781605570976"</f>
        <v>9781605570976</v>
      </c>
      <c r="E4056" t="s">
        <v>4021</v>
      </c>
      <c r="F4056" t="s">
        <v>4021</v>
      </c>
      <c r="G4056" s="1">
        <v>38353</v>
      </c>
      <c r="H4056" s="1">
        <v>38169</v>
      </c>
      <c r="I4056" t="s">
        <v>12</v>
      </c>
      <c r="J4056" t="s">
        <v>14826</v>
      </c>
    </row>
    <row r="4057" spans="1:10" x14ac:dyDescent="0.25">
      <c r="A4057">
        <v>320689</v>
      </c>
      <c r="B4057" t="s">
        <v>4244</v>
      </c>
      <c r="C4057" t="str">
        <f>"9781931219020"</f>
        <v>9781931219020</v>
      </c>
      <c r="D4057" t="str">
        <f>"9781605571089"</f>
        <v>9781605571089</v>
      </c>
      <c r="E4057" t="s">
        <v>4021</v>
      </c>
      <c r="F4057" t="s">
        <v>4021</v>
      </c>
      <c r="G4057" s="1">
        <v>38353</v>
      </c>
      <c r="H4057" s="1">
        <v>38169</v>
      </c>
      <c r="I4057" t="s">
        <v>12</v>
      </c>
      <c r="J4057" t="s">
        <v>14827</v>
      </c>
    </row>
    <row r="4058" spans="1:10" x14ac:dyDescent="0.25">
      <c r="A4058">
        <v>320824</v>
      </c>
      <c r="B4058" t="s">
        <v>4245</v>
      </c>
      <c r="C4058" t="str">
        <f>"9781424331024"</f>
        <v>9781424331024</v>
      </c>
      <c r="D4058" t="str">
        <f>"9781605571423"</f>
        <v>9781605571423</v>
      </c>
      <c r="E4058" t="s">
        <v>4021</v>
      </c>
      <c r="F4058" t="s">
        <v>4021</v>
      </c>
      <c r="G4058" s="1">
        <v>38718</v>
      </c>
      <c r="H4058" s="1">
        <v>38169</v>
      </c>
      <c r="I4058" t="s">
        <v>12</v>
      </c>
      <c r="J4058" t="s">
        <v>14828</v>
      </c>
    </row>
    <row r="4059" spans="1:10" x14ac:dyDescent="0.25">
      <c r="A4059">
        <v>321068</v>
      </c>
      <c r="B4059" t="s">
        <v>4246</v>
      </c>
      <c r="C4059" t="str">
        <f>"9780521613354"</f>
        <v>9780521613354</v>
      </c>
      <c r="D4059" t="str">
        <f>"9780511347542"</f>
        <v>9780511347542</v>
      </c>
      <c r="E4059" t="s">
        <v>18</v>
      </c>
      <c r="F4059" t="s">
        <v>18</v>
      </c>
      <c r="G4059" s="1">
        <v>38988</v>
      </c>
      <c r="H4059" s="1">
        <v>39546</v>
      </c>
      <c r="I4059" t="s">
        <v>12</v>
      </c>
      <c r="J4059" t="s">
        <v>14829</v>
      </c>
    </row>
    <row r="4060" spans="1:10" x14ac:dyDescent="0.25">
      <c r="A4060">
        <v>321090</v>
      </c>
      <c r="B4060" t="s">
        <v>4247</v>
      </c>
      <c r="C4060" t="str">
        <f>"9780521780292"</f>
        <v>9780521780292</v>
      </c>
      <c r="D4060" t="str">
        <f>"9780511347498"</f>
        <v>9780511347498</v>
      </c>
      <c r="E4060" t="s">
        <v>18</v>
      </c>
      <c r="F4060" t="s">
        <v>18</v>
      </c>
      <c r="G4060" s="1">
        <v>38974</v>
      </c>
      <c r="H4060" s="1">
        <v>39478</v>
      </c>
      <c r="I4060" t="s">
        <v>12</v>
      </c>
      <c r="J4060" t="s">
        <v>14830</v>
      </c>
    </row>
    <row r="4061" spans="1:10" x14ac:dyDescent="0.25">
      <c r="A4061">
        <v>321115</v>
      </c>
      <c r="B4061" t="s">
        <v>4248</v>
      </c>
      <c r="C4061" t="str">
        <f>"9780521859622"</f>
        <v>9780521859622</v>
      </c>
      <c r="D4061" t="str">
        <f>"9780511347665"</f>
        <v>9780511347665</v>
      </c>
      <c r="E4061" t="s">
        <v>18</v>
      </c>
      <c r="F4061" t="s">
        <v>18</v>
      </c>
      <c r="G4061" s="1">
        <v>39020</v>
      </c>
      <c r="H4061" s="1">
        <v>39478</v>
      </c>
      <c r="I4061" t="s">
        <v>12</v>
      </c>
      <c r="J4061" t="s">
        <v>14831</v>
      </c>
    </row>
    <row r="4062" spans="1:10" x14ac:dyDescent="0.25">
      <c r="A4062">
        <v>321116</v>
      </c>
      <c r="B4062" t="s">
        <v>4249</v>
      </c>
      <c r="C4062" t="str">
        <f>"9780521860710"</f>
        <v>9780521860710</v>
      </c>
      <c r="D4062" t="str">
        <f>"9780511347641"</f>
        <v>9780511347641</v>
      </c>
      <c r="E4062" t="s">
        <v>18</v>
      </c>
      <c r="F4062" t="s">
        <v>18</v>
      </c>
      <c r="G4062" s="1">
        <v>39023</v>
      </c>
      <c r="H4062" s="1">
        <v>39478</v>
      </c>
      <c r="I4062" t="s">
        <v>12</v>
      </c>
      <c r="J4062" t="s">
        <v>14832</v>
      </c>
    </row>
    <row r="4063" spans="1:10" x14ac:dyDescent="0.25">
      <c r="A4063">
        <v>321136</v>
      </c>
      <c r="B4063" t="s">
        <v>4250</v>
      </c>
      <c r="C4063" t="str">
        <f>"9780521866286"</f>
        <v>9780521866286</v>
      </c>
      <c r="D4063" t="str">
        <f>"9780511347771"</f>
        <v>9780511347771</v>
      </c>
      <c r="E4063" t="s">
        <v>18</v>
      </c>
      <c r="F4063" t="s">
        <v>18</v>
      </c>
      <c r="G4063" s="1">
        <v>39072</v>
      </c>
      <c r="H4063" s="1">
        <v>39478</v>
      </c>
      <c r="I4063" t="s">
        <v>12</v>
      </c>
      <c r="J4063" t="s">
        <v>14833</v>
      </c>
    </row>
    <row r="4064" spans="1:10" x14ac:dyDescent="0.25">
      <c r="A4064">
        <v>321539</v>
      </c>
      <c r="B4064" t="s">
        <v>4251</v>
      </c>
      <c r="C4064" t="str">
        <f>"9780415947541"</f>
        <v>9780415947541</v>
      </c>
      <c r="D4064" t="str">
        <f>"9780203644157"</f>
        <v>9780203644157</v>
      </c>
      <c r="E4064" t="s">
        <v>15</v>
      </c>
      <c r="F4064" t="s">
        <v>16</v>
      </c>
      <c r="G4064" s="1">
        <v>38187</v>
      </c>
      <c r="H4064" s="1">
        <v>39475</v>
      </c>
      <c r="I4064" t="s">
        <v>12</v>
      </c>
      <c r="J4064" t="s">
        <v>14834</v>
      </c>
    </row>
    <row r="4065" spans="1:10" x14ac:dyDescent="0.25">
      <c r="A4065">
        <v>322119</v>
      </c>
      <c r="B4065" t="s">
        <v>4252</v>
      </c>
      <c r="C4065" t="str">
        <f>"9781576754542"</f>
        <v>9781576754542</v>
      </c>
      <c r="D4065" t="str">
        <f>"9781576755327"</f>
        <v>9781576755327</v>
      </c>
      <c r="E4065" t="s">
        <v>4158</v>
      </c>
      <c r="F4065" t="s">
        <v>4158</v>
      </c>
      <c r="G4065" s="1">
        <v>39356</v>
      </c>
      <c r="H4065" s="1">
        <v>39471</v>
      </c>
      <c r="I4065" t="s">
        <v>12</v>
      </c>
      <c r="J4065" t="s">
        <v>14835</v>
      </c>
    </row>
    <row r="4066" spans="1:10" x14ac:dyDescent="0.25">
      <c r="A4066">
        <v>322122</v>
      </c>
      <c r="B4066" t="s">
        <v>4253</v>
      </c>
      <c r="C4066" t="str">
        <f>"9781576754467"</f>
        <v>9781576754467</v>
      </c>
      <c r="D4066" t="str">
        <f>"9781576755266"</f>
        <v>9781576755266</v>
      </c>
      <c r="E4066" t="s">
        <v>4158</v>
      </c>
      <c r="F4066" t="s">
        <v>4158</v>
      </c>
      <c r="G4066" s="1">
        <v>39251</v>
      </c>
      <c r="H4066" s="1">
        <v>39471</v>
      </c>
      <c r="I4066" t="s">
        <v>12</v>
      </c>
      <c r="J4066" t="s">
        <v>14836</v>
      </c>
    </row>
    <row r="4067" spans="1:10" x14ac:dyDescent="0.25">
      <c r="A4067">
        <v>322129</v>
      </c>
      <c r="B4067" t="s">
        <v>4254</v>
      </c>
      <c r="C4067" t="str">
        <f>"9781576754627"</f>
        <v>9781576754627</v>
      </c>
      <c r="D4067" t="str">
        <f>"9781576755365"</f>
        <v>9781576755365</v>
      </c>
      <c r="E4067" t="s">
        <v>4158</v>
      </c>
      <c r="F4067" t="s">
        <v>4158</v>
      </c>
      <c r="G4067" s="1">
        <v>39461</v>
      </c>
      <c r="H4067" s="1">
        <v>39471</v>
      </c>
      <c r="I4067" t="s">
        <v>12</v>
      </c>
      <c r="J4067" t="s">
        <v>14837</v>
      </c>
    </row>
    <row r="4068" spans="1:10" x14ac:dyDescent="0.25">
      <c r="A4068">
        <v>322131</v>
      </c>
      <c r="B4068" t="s">
        <v>4255</v>
      </c>
      <c r="C4068" t="str">
        <f>"9781576754788"</f>
        <v>9781576754788</v>
      </c>
      <c r="D4068" t="str">
        <f>"9781576755495"</f>
        <v>9781576755495</v>
      </c>
      <c r="E4068" t="s">
        <v>4158</v>
      </c>
      <c r="F4068" t="s">
        <v>4158</v>
      </c>
      <c r="G4068" s="1">
        <v>39448</v>
      </c>
      <c r="H4068" s="1">
        <v>39471</v>
      </c>
      <c r="I4068" t="s">
        <v>12</v>
      </c>
      <c r="J4068" t="s">
        <v>14838</v>
      </c>
    </row>
    <row r="4069" spans="1:10" x14ac:dyDescent="0.25">
      <c r="A4069">
        <v>322134</v>
      </c>
      <c r="B4069" t="s">
        <v>4256</v>
      </c>
      <c r="C4069" t="str">
        <f>"9781576753415"</f>
        <v>9781576753415</v>
      </c>
      <c r="D4069" t="str">
        <f>"9781576755303"</f>
        <v>9781576755303</v>
      </c>
      <c r="E4069" t="s">
        <v>4158</v>
      </c>
      <c r="F4069" t="s">
        <v>4158</v>
      </c>
      <c r="G4069" s="1">
        <v>39141</v>
      </c>
      <c r="H4069" s="1">
        <v>39471</v>
      </c>
      <c r="I4069" t="s">
        <v>12</v>
      </c>
      <c r="J4069" t="s">
        <v>14839</v>
      </c>
    </row>
    <row r="4070" spans="1:10" x14ac:dyDescent="0.25">
      <c r="A4070">
        <v>322135</v>
      </c>
      <c r="B4070" t="s">
        <v>4257</v>
      </c>
      <c r="C4070" t="str">
        <f>"9781576754085"</f>
        <v>9781576754085</v>
      </c>
      <c r="D4070" t="str">
        <f>"9781576755181"</f>
        <v>9781576755181</v>
      </c>
      <c r="E4070" t="s">
        <v>4158</v>
      </c>
      <c r="F4070" t="s">
        <v>4158</v>
      </c>
      <c r="G4070" s="1">
        <v>39223</v>
      </c>
      <c r="H4070" s="1">
        <v>39471</v>
      </c>
      <c r="I4070" t="s">
        <v>12</v>
      </c>
      <c r="J4070" t="s">
        <v>14840</v>
      </c>
    </row>
    <row r="4071" spans="1:10" x14ac:dyDescent="0.25">
      <c r="A4071">
        <v>322341</v>
      </c>
      <c r="B4071" t="s">
        <v>4258</v>
      </c>
      <c r="C4071" t="str">
        <f>"9780874256017"</f>
        <v>9780874256017</v>
      </c>
      <c r="D4071" t="str">
        <f>"9781599965123"</f>
        <v>9781599965123</v>
      </c>
      <c r="E4071" t="s">
        <v>4259</v>
      </c>
      <c r="F4071" t="s">
        <v>4259</v>
      </c>
      <c r="G4071" s="1">
        <v>36526</v>
      </c>
      <c r="H4071" s="1">
        <v>39546</v>
      </c>
      <c r="I4071" t="s">
        <v>12</v>
      </c>
      <c r="J4071" t="s">
        <v>14841</v>
      </c>
    </row>
    <row r="4072" spans="1:10" x14ac:dyDescent="0.25">
      <c r="A4072">
        <v>322356</v>
      </c>
      <c r="B4072" t="s">
        <v>4260</v>
      </c>
      <c r="C4072" t="str">
        <f>"9781599960661"</f>
        <v>9781599960661</v>
      </c>
      <c r="D4072" t="str">
        <f>"9781599969800"</f>
        <v>9781599969800</v>
      </c>
      <c r="E4072" t="s">
        <v>4259</v>
      </c>
      <c r="F4072" t="s">
        <v>4259</v>
      </c>
      <c r="G4072" s="1">
        <v>39295</v>
      </c>
      <c r="H4072" s="1">
        <v>39546</v>
      </c>
      <c r="I4072" t="s">
        <v>12</v>
      </c>
      <c r="J4072" t="s">
        <v>14842</v>
      </c>
    </row>
    <row r="4073" spans="1:10" x14ac:dyDescent="0.25">
      <c r="A4073">
        <v>322423</v>
      </c>
      <c r="B4073" t="s">
        <v>4261</v>
      </c>
      <c r="C4073" t="str">
        <f>"9780874259339"</f>
        <v>9780874259339</v>
      </c>
      <c r="D4073" t="str">
        <f>"9781599964072"</f>
        <v>9781599964072</v>
      </c>
      <c r="E4073" t="s">
        <v>4259</v>
      </c>
      <c r="F4073" t="s">
        <v>4259</v>
      </c>
      <c r="G4073" s="1">
        <v>38991</v>
      </c>
      <c r="H4073" s="1">
        <v>39474</v>
      </c>
      <c r="I4073" t="s">
        <v>12</v>
      </c>
      <c r="J4073" t="s">
        <v>14843</v>
      </c>
    </row>
    <row r="4074" spans="1:10" x14ac:dyDescent="0.25">
      <c r="A4074">
        <v>322442</v>
      </c>
      <c r="B4074" t="s">
        <v>4262</v>
      </c>
      <c r="C4074" t="str">
        <f>"9780874254761"</f>
        <v>9780874254761</v>
      </c>
      <c r="D4074" t="str">
        <f>"9781599967608"</f>
        <v>9781599967608</v>
      </c>
      <c r="E4074" t="s">
        <v>4259</v>
      </c>
      <c r="F4074" t="s">
        <v>4259</v>
      </c>
      <c r="G4074" s="1">
        <v>36161</v>
      </c>
      <c r="H4074" s="1">
        <v>39546</v>
      </c>
      <c r="I4074" t="s">
        <v>12</v>
      </c>
      <c r="J4074" t="s">
        <v>14844</v>
      </c>
    </row>
    <row r="4075" spans="1:10" x14ac:dyDescent="0.25">
      <c r="A4075">
        <v>322452</v>
      </c>
      <c r="B4075" t="s">
        <v>4263</v>
      </c>
      <c r="C4075" t="str">
        <f>"9780874256093"</f>
        <v>9780874256093</v>
      </c>
      <c r="D4075" t="str">
        <f>"9781599967493"</f>
        <v>9781599967493</v>
      </c>
      <c r="E4075" t="s">
        <v>4259</v>
      </c>
      <c r="F4075" t="s">
        <v>4259</v>
      </c>
      <c r="G4075" s="1">
        <v>36526</v>
      </c>
      <c r="H4075" s="1">
        <v>39546</v>
      </c>
      <c r="I4075" t="s">
        <v>12</v>
      </c>
      <c r="J4075" t="s">
        <v>14845</v>
      </c>
    </row>
    <row r="4076" spans="1:10" x14ac:dyDescent="0.25">
      <c r="A4076">
        <v>322461</v>
      </c>
      <c r="B4076" t="s">
        <v>4264</v>
      </c>
      <c r="C4076" t="str">
        <f>"9780874258462"</f>
        <v>9780874258462</v>
      </c>
      <c r="D4076" t="str">
        <f>"9781599967653"</f>
        <v>9781599967653</v>
      </c>
      <c r="E4076" t="s">
        <v>4259</v>
      </c>
      <c r="F4076" t="s">
        <v>4259</v>
      </c>
      <c r="G4076" s="1">
        <v>38353</v>
      </c>
      <c r="H4076" s="1">
        <v>39546</v>
      </c>
      <c r="I4076" t="s">
        <v>12</v>
      </c>
      <c r="J4076" t="s">
        <v>14846</v>
      </c>
    </row>
    <row r="4077" spans="1:10" x14ac:dyDescent="0.25">
      <c r="A4077">
        <v>322470</v>
      </c>
      <c r="B4077" t="s">
        <v>4265</v>
      </c>
      <c r="C4077" t="str">
        <f>"9781599960616"</f>
        <v>9781599960616</v>
      </c>
      <c r="D4077" t="str">
        <f>"9781599969756"</f>
        <v>9781599969756</v>
      </c>
      <c r="E4077" t="s">
        <v>4259</v>
      </c>
      <c r="F4077" t="s">
        <v>4259</v>
      </c>
      <c r="G4077" s="1">
        <v>39234</v>
      </c>
      <c r="H4077" s="1">
        <v>39546</v>
      </c>
      <c r="I4077" t="s">
        <v>12</v>
      </c>
      <c r="J4077" t="s">
        <v>14847</v>
      </c>
    </row>
    <row r="4078" spans="1:10" x14ac:dyDescent="0.25">
      <c r="A4078">
        <v>322532</v>
      </c>
      <c r="B4078" t="s">
        <v>4266</v>
      </c>
      <c r="C4078" t="str">
        <f>"9780833039644"</f>
        <v>9780833039644</v>
      </c>
      <c r="D4078" t="str">
        <f>"9780833042460"</f>
        <v>9780833042460</v>
      </c>
      <c r="E4078" t="s">
        <v>1063</v>
      </c>
      <c r="F4078" t="s">
        <v>1064</v>
      </c>
      <c r="G4078" s="1">
        <v>38985</v>
      </c>
      <c r="H4078" s="1">
        <v>39462</v>
      </c>
      <c r="I4078" t="s">
        <v>12</v>
      </c>
      <c r="J4078" t="s">
        <v>14848</v>
      </c>
    </row>
    <row r="4079" spans="1:10" x14ac:dyDescent="0.25">
      <c r="A4079">
        <v>322569</v>
      </c>
      <c r="B4079" t="s">
        <v>4267</v>
      </c>
      <c r="C4079" t="str">
        <f>"9780833041494"</f>
        <v>9780833041494</v>
      </c>
      <c r="D4079" t="str">
        <f>"9780833042705"</f>
        <v>9780833042705</v>
      </c>
      <c r="E4079" t="s">
        <v>1063</v>
      </c>
      <c r="F4079" t="s">
        <v>1064</v>
      </c>
      <c r="G4079" s="1">
        <v>39226</v>
      </c>
      <c r="H4079" s="1">
        <v>39462</v>
      </c>
      <c r="I4079" t="s">
        <v>12</v>
      </c>
      <c r="J4079" t="s">
        <v>14849</v>
      </c>
    </row>
    <row r="4080" spans="1:10" x14ac:dyDescent="0.25">
      <c r="A4080">
        <v>322587</v>
      </c>
      <c r="B4080" t="s">
        <v>4268</v>
      </c>
      <c r="C4080" t="str">
        <f>"9780816644490"</f>
        <v>9780816644490</v>
      </c>
      <c r="D4080" t="str">
        <f>"9780816696574"</f>
        <v>9780816696574</v>
      </c>
      <c r="E4080" t="s">
        <v>3970</v>
      </c>
      <c r="F4080" t="s">
        <v>3970</v>
      </c>
      <c r="G4080" s="1">
        <v>38971</v>
      </c>
      <c r="H4080" s="1">
        <v>39471</v>
      </c>
      <c r="I4080" t="s">
        <v>12</v>
      </c>
      <c r="J4080" t="s">
        <v>14850</v>
      </c>
    </row>
    <row r="4081" spans="1:10" x14ac:dyDescent="0.25">
      <c r="A4081">
        <v>322596</v>
      </c>
      <c r="B4081" t="s">
        <v>4269</v>
      </c>
      <c r="C4081" t="str">
        <f>"9780816649709"</f>
        <v>9780816649709</v>
      </c>
      <c r="D4081" t="str">
        <f>"9780816699278"</f>
        <v>9780816699278</v>
      </c>
      <c r="E4081" t="s">
        <v>3970</v>
      </c>
      <c r="F4081" t="s">
        <v>3970</v>
      </c>
      <c r="G4081" s="1">
        <v>24442</v>
      </c>
      <c r="H4081" s="1">
        <v>39469</v>
      </c>
      <c r="I4081" t="s">
        <v>12</v>
      </c>
      <c r="J4081" t="s">
        <v>14851</v>
      </c>
    </row>
    <row r="4082" spans="1:10" x14ac:dyDescent="0.25">
      <c r="A4082">
        <v>322941</v>
      </c>
      <c r="B4082" t="s">
        <v>4270</v>
      </c>
      <c r="C4082" t="str">
        <f>"9780805862089"</f>
        <v>9780805862089</v>
      </c>
      <c r="D4082" t="str">
        <f>"9780203937600"</f>
        <v>9780203937600</v>
      </c>
      <c r="E4082" t="s">
        <v>15</v>
      </c>
      <c r="F4082" t="s">
        <v>16</v>
      </c>
      <c r="G4082" s="1">
        <v>39303</v>
      </c>
      <c r="H4082" s="1">
        <v>39569</v>
      </c>
      <c r="I4082" t="s">
        <v>12</v>
      </c>
      <c r="J4082" t="s">
        <v>14852</v>
      </c>
    </row>
    <row r="4083" spans="1:10" x14ac:dyDescent="0.25">
      <c r="A4083">
        <v>322942</v>
      </c>
      <c r="B4083" t="s">
        <v>4271</v>
      </c>
      <c r="C4083" t="str">
        <f>"9780415404174"</f>
        <v>9780415404174</v>
      </c>
      <c r="D4083" t="str">
        <f>"9780203944790"</f>
        <v>9780203944790</v>
      </c>
      <c r="E4083" t="s">
        <v>15</v>
      </c>
      <c r="F4083" t="s">
        <v>16</v>
      </c>
      <c r="G4083" s="1">
        <v>39332</v>
      </c>
      <c r="H4083" s="1">
        <v>39569</v>
      </c>
      <c r="I4083" t="s">
        <v>12</v>
      </c>
      <c r="J4083" t="s">
        <v>14853</v>
      </c>
    </row>
    <row r="4084" spans="1:10" x14ac:dyDescent="0.25">
      <c r="A4084">
        <v>322943</v>
      </c>
      <c r="B4084" t="s">
        <v>4272</v>
      </c>
      <c r="C4084" t="str">
        <f>"9780415402590"</f>
        <v>9780415402590</v>
      </c>
      <c r="D4084" t="str">
        <f>"9780203944752"</f>
        <v>9780203944752</v>
      </c>
      <c r="E4084" t="s">
        <v>15</v>
      </c>
      <c r="F4084" t="s">
        <v>16</v>
      </c>
      <c r="G4084" s="1">
        <v>39337</v>
      </c>
      <c r="H4084" s="1">
        <v>39569</v>
      </c>
      <c r="I4084" t="s">
        <v>12</v>
      </c>
      <c r="J4084" t="s">
        <v>14854</v>
      </c>
    </row>
    <row r="4085" spans="1:10" x14ac:dyDescent="0.25">
      <c r="A4085">
        <v>324843</v>
      </c>
      <c r="B4085" t="s">
        <v>4273</v>
      </c>
      <c r="C4085" t="str">
        <f>"9781843123958"</f>
        <v>9781843123958</v>
      </c>
      <c r="D4085" t="str">
        <f>"9780203935309"</f>
        <v>9780203935309</v>
      </c>
      <c r="E4085" t="s">
        <v>4274</v>
      </c>
      <c r="F4085" t="s">
        <v>4274</v>
      </c>
      <c r="G4085" s="1">
        <v>39338</v>
      </c>
      <c r="H4085" s="1">
        <v>39569</v>
      </c>
      <c r="I4085" t="s">
        <v>12</v>
      </c>
      <c r="J4085" t="s">
        <v>14855</v>
      </c>
    </row>
    <row r="4086" spans="1:10" x14ac:dyDescent="0.25">
      <c r="A4086">
        <v>324844</v>
      </c>
      <c r="B4086" t="s">
        <v>4275</v>
      </c>
      <c r="C4086" t="str">
        <f>"9780415411097"</f>
        <v>9780415411097</v>
      </c>
      <c r="D4086" t="str">
        <f>"9780203945070"</f>
        <v>9780203945070</v>
      </c>
      <c r="E4086" t="s">
        <v>15</v>
      </c>
      <c r="F4086" t="s">
        <v>16</v>
      </c>
      <c r="G4086" s="1">
        <v>39325</v>
      </c>
      <c r="H4086" s="1">
        <v>39480</v>
      </c>
      <c r="I4086" t="s">
        <v>12</v>
      </c>
      <c r="J4086" t="s">
        <v>14856</v>
      </c>
    </row>
    <row r="4087" spans="1:10" x14ac:dyDescent="0.25">
      <c r="A4087">
        <v>324846</v>
      </c>
      <c r="B4087" t="s">
        <v>4276</v>
      </c>
      <c r="C4087" t="str">
        <f>"9780415428958"</f>
        <v>9780415428958</v>
      </c>
      <c r="D4087" t="str">
        <f>"9780203945001"</f>
        <v>9780203945001</v>
      </c>
      <c r="E4087" t="s">
        <v>15</v>
      </c>
      <c r="F4087" t="s">
        <v>16</v>
      </c>
      <c r="G4087" s="1">
        <v>39343</v>
      </c>
      <c r="H4087" s="1">
        <v>39480</v>
      </c>
      <c r="I4087" t="s">
        <v>12</v>
      </c>
      <c r="J4087" t="s">
        <v>14857</v>
      </c>
    </row>
    <row r="4088" spans="1:10" x14ac:dyDescent="0.25">
      <c r="A4088">
        <v>324847</v>
      </c>
      <c r="B4088" t="s">
        <v>4277</v>
      </c>
      <c r="C4088" t="str">
        <f>"9780415423830"</f>
        <v>9780415423830</v>
      </c>
      <c r="D4088" t="str">
        <f>"9780203944820"</f>
        <v>9780203944820</v>
      </c>
      <c r="E4088" t="s">
        <v>15</v>
      </c>
      <c r="F4088" t="s">
        <v>16</v>
      </c>
      <c r="G4088" s="1">
        <v>39332</v>
      </c>
      <c r="H4088" s="1">
        <v>39480</v>
      </c>
      <c r="I4088" t="s">
        <v>12</v>
      </c>
      <c r="J4088" t="s">
        <v>14858</v>
      </c>
    </row>
    <row r="4089" spans="1:10" x14ac:dyDescent="0.25">
      <c r="A4089">
        <v>324848</v>
      </c>
      <c r="B4089" t="s">
        <v>4278</v>
      </c>
      <c r="C4089" t="str">
        <f>"9780415391979"</f>
        <v>9780415391979</v>
      </c>
      <c r="D4089" t="str">
        <f>"9780203945223"</f>
        <v>9780203945223</v>
      </c>
      <c r="E4089" t="s">
        <v>16</v>
      </c>
      <c r="F4089" t="s">
        <v>16</v>
      </c>
      <c r="G4089" s="1">
        <v>39301</v>
      </c>
      <c r="H4089" s="1">
        <v>39480</v>
      </c>
      <c r="I4089" t="s">
        <v>12</v>
      </c>
      <c r="J4089" t="s">
        <v>14859</v>
      </c>
    </row>
    <row r="4090" spans="1:10" x14ac:dyDescent="0.25">
      <c r="A4090">
        <v>324852</v>
      </c>
      <c r="B4090" t="s">
        <v>4279</v>
      </c>
      <c r="C4090" t="str">
        <f>"9780415772150"</f>
        <v>9780415772150</v>
      </c>
      <c r="D4090" t="str">
        <f>"9780203945568"</f>
        <v>9780203945568</v>
      </c>
      <c r="E4090" t="s">
        <v>15</v>
      </c>
      <c r="F4090" t="s">
        <v>16</v>
      </c>
      <c r="G4090" s="1">
        <v>39332</v>
      </c>
      <c r="H4090" s="1">
        <v>39480</v>
      </c>
      <c r="I4090" t="s">
        <v>12</v>
      </c>
      <c r="J4090" t="s">
        <v>14860</v>
      </c>
    </row>
    <row r="4091" spans="1:10" x14ac:dyDescent="0.25">
      <c r="A4091">
        <v>324863</v>
      </c>
      <c r="B4091" t="s">
        <v>4280</v>
      </c>
      <c r="C4091" t="str">
        <f>"9780415360869"</f>
        <v>9780415360869</v>
      </c>
      <c r="D4091" t="str">
        <f>"9780203799413"</f>
        <v>9780203799413</v>
      </c>
      <c r="E4091" t="s">
        <v>16</v>
      </c>
      <c r="F4091" t="s">
        <v>153</v>
      </c>
      <c r="G4091" s="1">
        <v>39226</v>
      </c>
      <c r="H4091" s="1">
        <v>39377</v>
      </c>
      <c r="I4091" t="s">
        <v>12</v>
      </c>
      <c r="J4091" t="s">
        <v>14861</v>
      </c>
    </row>
    <row r="4092" spans="1:10" x14ac:dyDescent="0.25">
      <c r="A4092">
        <v>324864</v>
      </c>
      <c r="B4092" t="s">
        <v>4281</v>
      </c>
      <c r="C4092" t="str">
        <f>"9780415425421"</f>
        <v>9780415425421</v>
      </c>
      <c r="D4092" t="str">
        <f>"9780203944677"</f>
        <v>9780203944677</v>
      </c>
      <c r="E4092" t="s">
        <v>15</v>
      </c>
      <c r="F4092" t="s">
        <v>1019</v>
      </c>
      <c r="G4092" s="1">
        <v>39297</v>
      </c>
      <c r="H4092" s="1">
        <v>39474</v>
      </c>
      <c r="I4092" t="s">
        <v>12</v>
      </c>
      <c r="J4092" t="s">
        <v>14862</v>
      </c>
    </row>
    <row r="4093" spans="1:10" x14ac:dyDescent="0.25">
      <c r="A4093">
        <v>324865</v>
      </c>
      <c r="B4093" t="s">
        <v>4282</v>
      </c>
      <c r="C4093" t="str">
        <f>"9780415372978"</f>
        <v>9780415372978</v>
      </c>
      <c r="D4093" t="str">
        <f>"9780203946985"</f>
        <v>9780203946985</v>
      </c>
      <c r="E4093" t="s">
        <v>15</v>
      </c>
      <c r="F4093" t="s">
        <v>16</v>
      </c>
      <c r="G4093" s="1">
        <v>39325</v>
      </c>
      <c r="H4093" s="1">
        <v>39474</v>
      </c>
      <c r="I4093" t="s">
        <v>12</v>
      </c>
      <c r="J4093" t="s">
        <v>14863</v>
      </c>
    </row>
    <row r="4094" spans="1:10" x14ac:dyDescent="0.25">
      <c r="A4094">
        <v>324866</v>
      </c>
      <c r="B4094" t="s">
        <v>4283</v>
      </c>
      <c r="C4094" t="str">
        <f>"9780415404433"</f>
        <v>9780415404433</v>
      </c>
      <c r="D4094" t="str">
        <f>"9780203962084"</f>
        <v>9780203962084</v>
      </c>
      <c r="E4094" t="s">
        <v>144</v>
      </c>
      <c r="F4094" t="s">
        <v>153</v>
      </c>
      <c r="G4094" s="1">
        <v>39344</v>
      </c>
      <c r="H4094" s="1">
        <v>39474</v>
      </c>
      <c r="I4094" t="s">
        <v>12</v>
      </c>
      <c r="J4094" t="s">
        <v>14864</v>
      </c>
    </row>
    <row r="4095" spans="1:10" x14ac:dyDescent="0.25">
      <c r="A4095">
        <v>324871</v>
      </c>
      <c r="B4095" t="s">
        <v>4284</v>
      </c>
      <c r="C4095" t="str">
        <f>"9780415427753"</f>
        <v>9780415427753</v>
      </c>
      <c r="D4095" t="str">
        <f>"9780203944806"</f>
        <v>9780203944806</v>
      </c>
      <c r="E4095" t="s">
        <v>16</v>
      </c>
      <c r="F4095" t="s">
        <v>16</v>
      </c>
      <c r="G4095" s="1">
        <v>39338</v>
      </c>
      <c r="H4095" s="1">
        <v>39474</v>
      </c>
      <c r="I4095" t="s">
        <v>12</v>
      </c>
      <c r="J4095" t="s">
        <v>14865</v>
      </c>
    </row>
    <row r="4096" spans="1:10" x14ac:dyDescent="0.25">
      <c r="A4096">
        <v>324874</v>
      </c>
      <c r="B4096" t="s">
        <v>4285</v>
      </c>
      <c r="C4096" t="str">
        <f>"9780415426541"</f>
        <v>9780415426541</v>
      </c>
      <c r="D4096" t="str">
        <f>"9780203946510"</f>
        <v>9780203946510</v>
      </c>
      <c r="E4096" t="s">
        <v>15</v>
      </c>
      <c r="F4096" t="s">
        <v>16</v>
      </c>
      <c r="G4096" s="1">
        <v>39323</v>
      </c>
      <c r="H4096" s="1">
        <v>39474</v>
      </c>
      <c r="I4096" t="s">
        <v>12</v>
      </c>
      <c r="J4096" t="s">
        <v>14866</v>
      </c>
    </row>
    <row r="4097" spans="1:10" x14ac:dyDescent="0.25">
      <c r="A4097">
        <v>324877</v>
      </c>
      <c r="B4097" t="s">
        <v>4286</v>
      </c>
      <c r="C4097" t="str">
        <f>"9780415433914"</f>
        <v>9780415433914</v>
      </c>
      <c r="D4097" t="str">
        <f>"9780203945605"</f>
        <v>9780203945605</v>
      </c>
      <c r="E4097" t="s">
        <v>15</v>
      </c>
      <c r="F4097" t="s">
        <v>16</v>
      </c>
      <c r="G4097" s="1">
        <v>39343</v>
      </c>
      <c r="H4097" s="1">
        <v>41878</v>
      </c>
      <c r="I4097" t="s">
        <v>12</v>
      </c>
      <c r="J4097" t="s">
        <v>14867</v>
      </c>
    </row>
    <row r="4098" spans="1:10" x14ac:dyDescent="0.25">
      <c r="A4098">
        <v>324883</v>
      </c>
      <c r="B4098" t="s">
        <v>4287</v>
      </c>
      <c r="C4098" t="str">
        <f>"9780415380522"</f>
        <v>9780415380522</v>
      </c>
      <c r="D4098" t="str">
        <f>"9780203932971"</f>
        <v>9780203932971</v>
      </c>
      <c r="E4098" t="s">
        <v>15</v>
      </c>
      <c r="F4098" t="s">
        <v>16</v>
      </c>
      <c r="G4098" s="1">
        <v>39325</v>
      </c>
      <c r="H4098" s="1">
        <v>39569</v>
      </c>
      <c r="I4098" t="s">
        <v>12</v>
      </c>
      <c r="J4098" t="s">
        <v>14868</v>
      </c>
    </row>
    <row r="4099" spans="1:10" x14ac:dyDescent="0.25">
      <c r="A4099">
        <v>324886</v>
      </c>
      <c r="B4099" t="s">
        <v>4288</v>
      </c>
      <c r="C4099" t="str">
        <f>"9780415404662"</f>
        <v>9780415404662</v>
      </c>
      <c r="D4099" t="str">
        <f>"9781134137305"</f>
        <v>9781134137305</v>
      </c>
      <c r="E4099" t="s">
        <v>15</v>
      </c>
      <c r="F4099" t="s">
        <v>16</v>
      </c>
      <c r="G4099" s="1">
        <v>39342</v>
      </c>
      <c r="H4099" s="1">
        <v>39569</v>
      </c>
      <c r="I4099" t="s">
        <v>12</v>
      </c>
      <c r="J4099" t="s">
        <v>14869</v>
      </c>
    </row>
    <row r="4100" spans="1:10" x14ac:dyDescent="0.25">
      <c r="A4100">
        <v>324887</v>
      </c>
      <c r="B4100" t="s">
        <v>4289</v>
      </c>
      <c r="C4100" t="str">
        <f>"9780415425711"</f>
        <v>9780415425711</v>
      </c>
      <c r="D4100" t="str">
        <f>"9780203946329"</f>
        <v>9780203946329</v>
      </c>
      <c r="E4100" t="s">
        <v>15</v>
      </c>
      <c r="F4100" t="s">
        <v>16</v>
      </c>
      <c r="G4100" s="1">
        <v>39343</v>
      </c>
      <c r="H4100" s="1">
        <v>39569</v>
      </c>
      <c r="I4100" t="s">
        <v>12</v>
      </c>
      <c r="J4100" t="s">
        <v>14870</v>
      </c>
    </row>
    <row r="4101" spans="1:10" x14ac:dyDescent="0.25">
      <c r="A4101">
        <v>324888</v>
      </c>
      <c r="B4101" t="s">
        <v>4290</v>
      </c>
      <c r="C4101" t="str">
        <f>"9780415396790"</f>
        <v>9780415396790</v>
      </c>
      <c r="D4101" t="str">
        <f>"9780203946961"</f>
        <v>9780203946961</v>
      </c>
      <c r="E4101" t="s">
        <v>15</v>
      </c>
      <c r="F4101" t="s">
        <v>16</v>
      </c>
      <c r="G4101" s="1">
        <v>39350</v>
      </c>
      <c r="H4101" s="1">
        <v>39569</v>
      </c>
      <c r="I4101" t="s">
        <v>12</v>
      </c>
      <c r="J4101" t="s">
        <v>14871</v>
      </c>
    </row>
    <row r="4102" spans="1:10" x14ac:dyDescent="0.25">
      <c r="A4102">
        <v>324889</v>
      </c>
      <c r="B4102" t="s">
        <v>4291</v>
      </c>
      <c r="C4102" t="str">
        <f>"9780415771160"</f>
        <v>9780415771160</v>
      </c>
      <c r="D4102" t="str">
        <f>"9780203945544"</f>
        <v>9780203945544</v>
      </c>
      <c r="E4102" t="s">
        <v>15</v>
      </c>
      <c r="F4102" t="s">
        <v>16</v>
      </c>
      <c r="G4102" s="1">
        <v>39342</v>
      </c>
      <c r="H4102" s="1">
        <v>41877</v>
      </c>
      <c r="I4102" t="s">
        <v>12</v>
      </c>
      <c r="J4102" t="s">
        <v>14872</v>
      </c>
    </row>
    <row r="4103" spans="1:10" x14ac:dyDescent="0.25">
      <c r="A4103">
        <v>324892</v>
      </c>
      <c r="B4103" t="s">
        <v>4292</v>
      </c>
      <c r="C4103" t="str">
        <f>"9780415771528"</f>
        <v>9780415771528</v>
      </c>
      <c r="D4103" t="str">
        <f>"9780203944783"</f>
        <v>9780203944783</v>
      </c>
      <c r="E4103" t="s">
        <v>15</v>
      </c>
      <c r="F4103" t="s">
        <v>16</v>
      </c>
      <c r="G4103" s="1">
        <v>39448</v>
      </c>
      <c r="H4103" s="1">
        <v>39569</v>
      </c>
      <c r="I4103" t="s">
        <v>12</v>
      </c>
      <c r="J4103" t="s">
        <v>14873</v>
      </c>
    </row>
    <row r="4104" spans="1:10" x14ac:dyDescent="0.25">
      <c r="A4104">
        <v>324894</v>
      </c>
      <c r="B4104" t="s">
        <v>4293</v>
      </c>
      <c r="C4104" t="str">
        <f>"9780415428712"</f>
        <v>9780415428712</v>
      </c>
      <c r="D4104" t="str">
        <f>"9780203940723"</f>
        <v>9780203940723</v>
      </c>
      <c r="E4104" t="s">
        <v>16</v>
      </c>
      <c r="F4104" t="s">
        <v>16</v>
      </c>
      <c r="G4104" s="1">
        <v>39308</v>
      </c>
      <c r="H4104" s="1">
        <v>39421</v>
      </c>
      <c r="I4104" t="s">
        <v>12</v>
      </c>
      <c r="J4104" t="s">
        <v>14874</v>
      </c>
    </row>
    <row r="4105" spans="1:10" x14ac:dyDescent="0.25">
      <c r="A4105">
        <v>324895</v>
      </c>
      <c r="B4105" t="s">
        <v>4294</v>
      </c>
      <c r="C4105" t="str">
        <f>"9780415375122"</f>
        <v>9780415375122</v>
      </c>
      <c r="D4105" t="str">
        <f>"9780203940594"</f>
        <v>9780203940594</v>
      </c>
      <c r="E4105" t="s">
        <v>15</v>
      </c>
      <c r="F4105" t="s">
        <v>16</v>
      </c>
      <c r="G4105" s="1">
        <v>39344</v>
      </c>
      <c r="H4105" s="1">
        <v>41877</v>
      </c>
      <c r="I4105" t="s">
        <v>12</v>
      </c>
      <c r="J4105" t="s">
        <v>14875</v>
      </c>
    </row>
    <row r="4106" spans="1:10" x14ac:dyDescent="0.25">
      <c r="A4106">
        <v>324896</v>
      </c>
      <c r="B4106" t="s">
        <v>4295</v>
      </c>
      <c r="C4106" t="str">
        <f>"9780415314312"</f>
        <v>9780415314312</v>
      </c>
      <c r="D4106" t="str">
        <f>"9780203963685"</f>
        <v>9780203963685</v>
      </c>
      <c r="E4106" t="s">
        <v>15</v>
      </c>
      <c r="F4106" t="s">
        <v>16</v>
      </c>
      <c r="G4106" s="1">
        <v>39248</v>
      </c>
      <c r="H4106" s="1">
        <v>39569</v>
      </c>
      <c r="I4106" t="s">
        <v>12</v>
      </c>
      <c r="J4106" t="s">
        <v>14876</v>
      </c>
    </row>
    <row r="4107" spans="1:10" x14ac:dyDescent="0.25">
      <c r="A4107">
        <v>324899</v>
      </c>
      <c r="B4107" t="s">
        <v>4296</v>
      </c>
      <c r="C4107" t="str">
        <f>"9780415434362"</f>
        <v>9780415434362</v>
      </c>
      <c r="D4107" t="str">
        <f>"9780203939949"</f>
        <v>9780203939949</v>
      </c>
      <c r="E4107" t="s">
        <v>15</v>
      </c>
      <c r="F4107" t="s">
        <v>16</v>
      </c>
      <c r="G4107" s="1">
        <v>39385</v>
      </c>
      <c r="H4107" s="1">
        <v>39474</v>
      </c>
      <c r="I4107" t="s">
        <v>12</v>
      </c>
      <c r="J4107" t="s">
        <v>14877</v>
      </c>
    </row>
    <row r="4108" spans="1:10" x14ac:dyDescent="0.25">
      <c r="A4108">
        <v>324900</v>
      </c>
      <c r="B4108" t="s">
        <v>4297</v>
      </c>
      <c r="C4108" t="str">
        <f>"9780415425650"</f>
        <v>9780415425650</v>
      </c>
      <c r="D4108" t="str">
        <f>"9780203939789"</f>
        <v>9780203939789</v>
      </c>
      <c r="E4108" t="s">
        <v>15</v>
      </c>
      <c r="F4108" t="s">
        <v>16</v>
      </c>
      <c r="G4108" s="1">
        <v>39385</v>
      </c>
      <c r="H4108" s="1">
        <v>39474</v>
      </c>
      <c r="I4108" t="s">
        <v>12</v>
      </c>
      <c r="J4108" t="s">
        <v>14878</v>
      </c>
    </row>
    <row r="4109" spans="1:10" x14ac:dyDescent="0.25">
      <c r="A4109">
        <v>324904</v>
      </c>
      <c r="B4109" t="s">
        <v>4298</v>
      </c>
      <c r="C4109" t="str">
        <f>"9780415393966"</f>
        <v>9780415393966</v>
      </c>
      <c r="D4109" t="str">
        <f>"9780203939413"</f>
        <v>9780203939413</v>
      </c>
      <c r="E4109" t="s">
        <v>15</v>
      </c>
      <c r="F4109" t="s">
        <v>16</v>
      </c>
      <c r="G4109" s="1">
        <v>39370</v>
      </c>
      <c r="H4109" s="1">
        <v>39474</v>
      </c>
      <c r="I4109" t="s">
        <v>12</v>
      </c>
      <c r="J4109" t="s">
        <v>14879</v>
      </c>
    </row>
    <row r="4110" spans="1:10" x14ac:dyDescent="0.25">
      <c r="A4110">
        <v>324905</v>
      </c>
      <c r="B4110" t="s">
        <v>4299</v>
      </c>
      <c r="C4110" t="str">
        <f>"9780415433624"</f>
        <v>9780415433624</v>
      </c>
      <c r="D4110" t="str">
        <f>"9780203937549"</f>
        <v>9780203937549</v>
      </c>
      <c r="E4110" t="s">
        <v>144</v>
      </c>
      <c r="F4110" t="s">
        <v>144</v>
      </c>
      <c r="G4110" s="1">
        <v>39226</v>
      </c>
      <c r="H4110" s="1">
        <v>39569</v>
      </c>
      <c r="I4110" t="s">
        <v>12</v>
      </c>
      <c r="J4110" t="s">
        <v>14880</v>
      </c>
    </row>
    <row r="4111" spans="1:10" x14ac:dyDescent="0.25">
      <c r="A4111">
        <v>324906</v>
      </c>
      <c r="B4111" t="s">
        <v>4300</v>
      </c>
      <c r="C4111" t="str">
        <f>"9780415444026"</f>
        <v>9780415444026</v>
      </c>
      <c r="D4111" t="str">
        <f>"9780203936115"</f>
        <v>9780203936115</v>
      </c>
      <c r="E4111" t="s">
        <v>144</v>
      </c>
      <c r="F4111" t="s">
        <v>144</v>
      </c>
      <c r="G4111" s="1">
        <v>39268</v>
      </c>
      <c r="H4111" s="1">
        <v>39569</v>
      </c>
      <c r="I4111" t="s">
        <v>12</v>
      </c>
      <c r="J4111" t="s">
        <v>14881</v>
      </c>
    </row>
    <row r="4112" spans="1:10" x14ac:dyDescent="0.25">
      <c r="A4112">
        <v>324908</v>
      </c>
      <c r="B4112" t="s">
        <v>4301</v>
      </c>
      <c r="C4112" t="str">
        <f>"9780415436298"</f>
        <v>9780415436298</v>
      </c>
      <c r="D4112" t="str">
        <f>"9780203938416"</f>
        <v>9780203938416</v>
      </c>
      <c r="E4112" t="s">
        <v>144</v>
      </c>
      <c r="F4112" t="s">
        <v>144</v>
      </c>
      <c r="G4112" s="1">
        <v>39254</v>
      </c>
      <c r="H4112" s="1">
        <v>39569</v>
      </c>
      <c r="I4112" t="s">
        <v>12</v>
      </c>
      <c r="J4112" t="s">
        <v>14882</v>
      </c>
    </row>
    <row r="4113" spans="1:10" x14ac:dyDescent="0.25">
      <c r="A4113">
        <v>324910</v>
      </c>
      <c r="B4113" t="s">
        <v>4302</v>
      </c>
      <c r="C4113" t="str">
        <f>"9780415434102"</f>
        <v>9780415434102</v>
      </c>
      <c r="D4113" t="str">
        <f>"9780203940549"</f>
        <v>9780203940549</v>
      </c>
      <c r="E4113" t="s">
        <v>15</v>
      </c>
      <c r="F4113" t="s">
        <v>16</v>
      </c>
      <c r="G4113" s="1">
        <v>39350</v>
      </c>
      <c r="H4113" s="1">
        <v>39474</v>
      </c>
      <c r="I4113" t="s">
        <v>12</v>
      </c>
      <c r="J4113" t="s">
        <v>14883</v>
      </c>
    </row>
    <row r="4114" spans="1:10" x14ac:dyDescent="0.25">
      <c r="A4114">
        <v>324912</v>
      </c>
      <c r="B4114" t="s">
        <v>4303</v>
      </c>
      <c r="C4114" t="str">
        <f>"9780415771993"</f>
        <v>9780415771993</v>
      </c>
      <c r="D4114" t="str">
        <f>"9780203940501"</f>
        <v>9780203940501</v>
      </c>
      <c r="E4114" t="s">
        <v>15</v>
      </c>
      <c r="F4114" t="s">
        <v>16</v>
      </c>
      <c r="G4114" s="1">
        <v>39350</v>
      </c>
      <c r="H4114" s="1">
        <v>39474</v>
      </c>
      <c r="I4114" t="s">
        <v>12</v>
      </c>
      <c r="J4114" t="s">
        <v>14884</v>
      </c>
    </row>
    <row r="4115" spans="1:10" x14ac:dyDescent="0.25">
      <c r="A4115">
        <v>324913</v>
      </c>
      <c r="B4115" t="s">
        <v>4304</v>
      </c>
      <c r="C4115" t="str">
        <f>"9780415432054"</f>
        <v>9780415432054</v>
      </c>
      <c r="D4115" t="str">
        <f>"9780203940495"</f>
        <v>9780203940495</v>
      </c>
      <c r="E4115" t="s">
        <v>15</v>
      </c>
      <c r="F4115" t="s">
        <v>16</v>
      </c>
      <c r="G4115" s="1">
        <v>39350</v>
      </c>
      <c r="H4115" s="1">
        <v>39474</v>
      </c>
      <c r="I4115" t="s">
        <v>12</v>
      </c>
      <c r="J4115" t="s">
        <v>14885</v>
      </c>
    </row>
    <row r="4116" spans="1:10" x14ac:dyDescent="0.25">
      <c r="A4116">
        <v>324915</v>
      </c>
      <c r="B4116" t="s">
        <v>4305</v>
      </c>
      <c r="C4116" t="str">
        <f>"9780415363273"</f>
        <v>9780415363273</v>
      </c>
      <c r="D4116" t="str">
        <f>"9780203013632"</f>
        <v>9780203013632</v>
      </c>
      <c r="E4116" t="s">
        <v>15</v>
      </c>
      <c r="F4116" t="s">
        <v>16</v>
      </c>
      <c r="G4116" s="1">
        <v>39386</v>
      </c>
      <c r="H4116" s="1">
        <v>39481</v>
      </c>
      <c r="I4116" t="s">
        <v>12</v>
      </c>
      <c r="J4116" t="s">
        <v>14886</v>
      </c>
    </row>
    <row r="4117" spans="1:10" x14ac:dyDescent="0.25">
      <c r="A4117">
        <v>324916</v>
      </c>
      <c r="B4117" t="s">
        <v>4306</v>
      </c>
      <c r="C4117" t="str">
        <f>"9780415360333"</f>
        <v>9780415360333</v>
      </c>
      <c r="D4117" t="str">
        <f>"9780203007983"</f>
        <v>9780203007983</v>
      </c>
      <c r="E4117" t="s">
        <v>15</v>
      </c>
      <c r="F4117" t="s">
        <v>16</v>
      </c>
      <c r="G4117" s="1">
        <v>39374</v>
      </c>
      <c r="H4117" s="1">
        <v>39481</v>
      </c>
      <c r="I4117" t="s">
        <v>12</v>
      </c>
      <c r="J4117" t="s">
        <v>14887</v>
      </c>
    </row>
    <row r="4118" spans="1:10" x14ac:dyDescent="0.25">
      <c r="A4118">
        <v>324921</v>
      </c>
      <c r="B4118" t="s">
        <v>4307</v>
      </c>
      <c r="C4118" t="str">
        <f>"9780415420167"</f>
        <v>9780415420167</v>
      </c>
      <c r="D4118" t="str">
        <f>"9780203934715"</f>
        <v>9780203934715</v>
      </c>
      <c r="E4118" t="s">
        <v>15</v>
      </c>
      <c r="F4118" t="s">
        <v>16</v>
      </c>
      <c r="G4118" s="1">
        <v>39349</v>
      </c>
      <c r="H4118" s="1">
        <v>39481</v>
      </c>
      <c r="I4118" t="s">
        <v>12</v>
      </c>
      <c r="J4118" t="s">
        <v>14888</v>
      </c>
    </row>
    <row r="4119" spans="1:10" x14ac:dyDescent="0.25">
      <c r="A4119">
        <v>324924</v>
      </c>
      <c r="B4119" t="s">
        <v>4308</v>
      </c>
      <c r="C4119" t="str">
        <f>"9780415426053"</f>
        <v>9780415426053</v>
      </c>
      <c r="D4119" t="str">
        <f>"9780203944905"</f>
        <v>9780203944905</v>
      </c>
      <c r="E4119" t="s">
        <v>15</v>
      </c>
      <c r="F4119" t="s">
        <v>16</v>
      </c>
      <c r="G4119" s="1">
        <v>39385</v>
      </c>
      <c r="H4119" s="1">
        <v>39475</v>
      </c>
      <c r="I4119" t="s">
        <v>12</v>
      </c>
      <c r="J4119" t="s">
        <v>14889</v>
      </c>
    </row>
    <row r="4120" spans="1:10" x14ac:dyDescent="0.25">
      <c r="A4120">
        <v>324925</v>
      </c>
      <c r="B4120" t="s">
        <v>4309</v>
      </c>
      <c r="C4120" t="str">
        <f>"9780415773836"</f>
        <v>9780415773836</v>
      </c>
      <c r="D4120" t="str">
        <f>"9780203946114"</f>
        <v>9780203946114</v>
      </c>
      <c r="E4120" t="s">
        <v>15</v>
      </c>
      <c r="F4120" t="s">
        <v>16</v>
      </c>
      <c r="G4120" s="1">
        <v>39295</v>
      </c>
      <c r="H4120" s="1">
        <v>39470</v>
      </c>
      <c r="I4120" t="s">
        <v>12</v>
      </c>
      <c r="J4120" t="s">
        <v>14890</v>
      </c>
    </row>
    <row r="4121" spans="1:10" x14ac:dyDescent="0.25">
      <c r="A4121">
        <v>324926</v>
      </c>
      <c r="B4121" t="s">
        <v>4310</v>
      </c>
      <c r="C4121" t="str">
        <f>"9780415411745"</f>
        <v>9780415411745</v>
      </c>
      <c r="D4121" t="str">
        <f>"9780203939796"</f>
        <v>9780203939796</v>
      </c>
      <c r="E4121" t="s">
        <v>15</v>
      </c>
      <c r="F4121" t="s">
        <v>16</v>
      </c>
      <c r="G4121" s="1">
        <v>39364</v>
      </c>
      <c r="H4121" s="1">
        <v>39475</v>
      </c>
      <c r="I4121" t="s">
        <v>12</v>
      </c>
      <c r="J4121" t="s">
        <v>14891</v>
      </c>
    </row>
    <row r="4122" spans="1:10" x14ac:dyDescent="0.25">
      <c r="A4122">
        <v>324927</v>
      </c>
      <c r="B4122" t="s">
        <v>4311</v>
      </c>
      <c r="C4122" t="str">
        <f>"9780415396424"</f>
        <v>9780415396424</v>
      </c>
      <c r="D4122" t="str">
        <f>"9780203944639"</f>
        <v>9780203944639</v>
      </c>
      <c r="E4122" t="s">
        <v>15</v>
      </c>
      <c r="F4122" t="s">
        <v>16</v>
      </c>
      <c r="G4122" s="1">
        <v>39323</v>
      </c>
      <c r="H4122" s="1">
        <v>39470</v>
      </c>
      <c r="I4122" t="s">
        <v>12</v>
      </c>
      <c r="J4122" t="s">
        <v>14892</v>
      </c>
    </row>
    <row r="4123" spans="1:10" x14ac:dyDescent="0.25">
      <c r="A4123">
        <v>324929</v>
      </c>
      <c r="B4123" t="s">
        <v>4312</v>
      </c>
      <c r="C4123" t="str">
        <f>"9780415430876"</f>
        <v>9780415430876</v>
      </c>
      <c r="D4123" t="str">
        <f>"9780203939277"</f>
        <v>9780203939277</v>
      </c>
      <c r="E4123" t="s">
        <v>15</v>
      </c>
      <c r="F4123" t="s">
        <v>16</v>
      </c>
      <c r="G4123" s="1">
        <v>39366</v>
      </c>
      <c r="H4123" s="1">
        <v>39475</v>
      </c>
      <c r="I4123" t="s">
        <v>12</v>
      </c>
      <c r="J4123" t="s">
        <v>14893</v>
      </c>
    </row>
    <row r="4124" spans="1:10" x14ac:dyDescent="0.25">
      <c r="A4124">
        <v>324933</v>
      </c>
      <c r="B4124" t="s">
        <v>4313</v>
      </c>
      <c r="C4124" t="str">
        <f>"9780415405522"</f>
        <v>9780415405522</v>
      </c>
      <c r="D4124" t="str">
        <f>"9781482265859"</f>
        <v>9781482265859</v>
      </c>
      <c r="E4124" t="s">
        <v>144</v>
      </c>
      <c r="F4124" t="s">
        <v>144</v>
      </c>
      <c r="G4124" s="1">
        <v>39385</v>
      </c>
      <c r="H4124" s="1">
        <v>39470</v>
      </c>
      <c r="I4124" t="s">
        <v>12</v>
      </c>
      <c r="J4124" t="s">
        <v>14894</v>
      </c>
    </row>
    <row r="4125" spans="1:10" x14ac:dyDescent="0.25">
      <c r="A4125">
        <v>324939</v>
      </c>
      <c r="B4125" t="s">
        <v>4314</v>
      </c>
      <c r="C4125" t="str">
        <f>"9780415358224"</f>
        <v>9780415358224</v>
      </c>
      <c r="D4125" t="str">
        <f>"9780203004340"</f>
        <v>9780203004340</v>
      </c>
      <c r="E4125" t="s">
        <v>15</v>
      </c>
      <c r="F4125" t="s">
        <v>16</v>
      </c>
      <c r="G4125" s="1">
        <v>39337</v>
      </c>
      <c r="H4125" s="1">
        <v>39475</v>
      </c>
      <c r="I4125" t="s">
        <v>12</v>
      </c>
      <c r="J4125" t="s">
        <v>14895</v>
      </c>
    </row>
    <row r="4126" spans="1:10" x14ac:dyDescent="0.25">
      <c r="A4126">
        <v>324943</v>
      </c>
      <c r="B4126" t="s">
        <v>4315</v>
      </c>
      <c r="C4126" t="str">
        <f>"9780415338240"</f>
        <v>9780415338240</v>
      </c>
      <c r="D4126" t="str">
        <f>"9780203432310"</f>
        <v>9780203432310</v>
      </c>
      <c r="E4126" t="s">
        <v>15</v>
      </c>
      <c r="F4126" t="s">
        <v>16</v>
      </c>
      <c r="G4126" s="1">
        <v>39385</v>
      </c>
      <c r="H4126" s="1">
        <v>39475</v>
      </c>
      <c r="I4126" t="s">
        <v>12</v>
      </c>
      <c r="J4126" t="s">
        <v>14896</v>
      </c>
    </row>
    <row r="4127" spans="1:10" x14ac:dyDescent="0.25">
      <c r="A4127">
        <v>324944</v>
      </c>
      <c r="B4127" t="s">
        <v>4316</v>
      </c>
      <c r="C4127" t="str">
        <f>"9780415444668"</f>
        <v>9780415444668</v>
      </c>
      <c r="D4127" t="str">
        <f>"9780203932643"</f>
        <v>9780203932643</v>
      </c>
      <c r="E4127" t="s">
        <v>15</v>
      </c>
      <c r="F4127" t="s">
        <v>16</v>
      </c>
      <c r="G4127" s="1">
        <v>39373</v>
      </c>
      <c r="H4127" s="1">
        <v>39470</v>
      </c>
      <c r="I4127" t="s">
        <v>12</v>
      </c>
      <c r="J4127" t="s">
        <v>14897</v>
      </c>
    </row>
    <row r="4128" spans="1:10" x14ac:dyDescent="0.25">
      <c r="A4128">
        <v>324951</v>
      </c>
      <c r="B4128" t="s">
        <v>4317</v>
      </c>
      <c r="C4128" t="str">
        <f>"9780415408929"</f>
        <v>9780415408929</v>
      </c>
      <c r="D4128" t="str">
        <f>"9780203934562"</f>
        <v>9780203934562</v>
      </c>
      <c r="E4128" t="s">
        <v>15</v>
      </c>
      <c r="F4128" t="s">
        <v>16</v>
      </c>
      <c r="G4128" s="1">
        <v>39385</v>
      </c>
      <c r="H4128" s="1">
        <v>39470</v>
      </c>
      <c r="I4128" t="s">
        <v>12</v>
      </c>
      <c r="J4128" t="s">
        <v>14898</v>
      </c>
    </row>
    <row r="4129" spans="1:10" x14ac:dyDescent="0.25">
      <c r="A4129">
        <v>324952</v>
      </c>
      <c r="B4129" t="s">
        <v>4318</v>
      </c>
      <c r="C4129" t="str">
        <f>"9780415419536"</f>
        <v>9780415419536</v>
      </c>
      <c r="D4129" t="str">
        <f>"9780203934609"</f>
        <v>9780203934609</v>
      </c>
      <c r="E4129" t="s">
        <v>15</v>
      </c>
      <c r="F4129" t="s">
        <v>139</v>
      </c>
      <c r="G4129" s="1">
        <v>39385</v>
      </c>
      <c r="H4129" s="1">
        <v>39475</v>
      </c>
      <c r="I4129" t="s">
        <v>12</v>
      </c>
      <c r="J4129" t="s">
        <v>14899</v>
      </c>
    </row>
    <row r="4130" spans="1:10" x14ac:dyDescent="0.25">
      <c r="A4130">
        <v>324953</v>
      </c>
      <c r="B4130" t="s">
        <v>4319</v>
      </c>
      <c r="C4130" t="str">
        <f>"9780415440165"</f>
        <v>9780415440165</v>
      </c>
      <c r="D4130" t="str">
        <f>"9780203934432"</f>
        <v>9780203934432</v>
      </c>
      <c r="E4130" t="s">
        <v>15</v>
      </c>
      <c r="F4130" t="s">
        <v>16</v>
      </c>
      <c r="G4130" s="1">
        <v>39353</v>
      </c>
      <c r="H4130" s="1">
        <v>39475</v>
      </c>
      <c r="I4130" t="s">
        <v>12</v>
      </c>
      <c r="J4130" t="s">
        <v>14900</v>
      </c>
    </row>
    <row r="4131" spans="1:10" x14ac:dyDescent="0.25">
      <c r="A4131">
        <v>324954</v>
      </c>
      <c r="B4131" t="s">
        <v>4320</v>
      </c>
      <c r="C4131" t="str">
        <f>"9780415268462"</f>
        <v>9780415268462</v>
      </c>
      <c r="D4131" t="str">
        <f>"9781482264791"</f>
        <v>9781482264791</v>
      </c>
      <c r="E4131" t="s">
        <v>15</v>
      </c>
      <c r="F4131" t="s">
        <v>139</v>
      </c>
      <c r="G4131" s="1">
        <v>39385</v>
      </c>
      <c r="H4131" s="1">
        <v>42249</v>
      </c>
      <c r="I4131" t="s">
        <v>12</v>
      </c>
      <c r="J4131" t="s">
        <v>14901</v>
      </c>
    </row>
    <row r="4132" spans="1:10" x14ac:dyDescent="0.25">
      <c r="A4132">
        <v>324955</v>
      </c>
      <c r="B4132" t="s">
        <v>4321</v>
      </c>
      <c r="C4132" t="str">
        <f>"9780415411783"</f>
        <v>9780415411783</v>
      </c>
      <c r="D4132" t="str">
        <f>"9780203944882"</f>
        <v>9780203944882</v>
      </c>
      <c r="E4132" t="s">
        <v>15</v>
      </c>
      <c r="F4132" t="s">
        <v>16</v>
      </c>
      <c r="G4132" s="1">
        <v>39385</v>
      </c>
      <c r="H4132" s="1">
        <v>39475</v>
      </c>
      <c r="I4132" t="s">
        <v>12</v>
      </c>
      <c r="J4132" t="s">
        <v>14902</v>
      </c>
    </row>
    <row r="4133" spans="1:10" x14ac:dyDescent="0.25">
      <c r="A4133">
        <v>324958</v>
      </c>
      <c r="B4133" t="s">
        <v>4322</v>
      </c>
      <c r="C4133" t="str">
        <f>"9780415431774"</f>
        <v>9780415431774</v>
      </c>
      <c r="D4133" t="str">
        <f>"9780203940525"</f>
        <v>9780203940525</v>
      </c>
      <c r="E4133" t="s">
        <v>15</v>
      </c>
      <c r="F4133" t="s">
        <v>16</v>
      </c>
      <c r="G4133" s="1">
        <v>39385</v>
      </c>
      <c r="H4133" s="1">
        <v>41877</v>
      </c>
      <c r="I4133" t="s">
        <v>12</v>
      </c>
      <c r="J4133" t="s">
        <v>14903</v>
      </c>
    </row>
    <row r="4134" spans="1:10" x14ac:dyDescent="0.25">
      <c r="A4134">
        <v>324962</v>
      </c>
      <c r="B4134" t="s">
        <v>4323</v>
      </c>
      <c r="C4134" t="str">
        <f>"9780415381673"</f>
        <v>9780415381673</v>
      </c>
      <c r="D4134" t="str">
        <f>"9780203939703"</f>
        <v>9780203939703</v>
      </c>
      <c r="E4134" t="s">
        <v>15</v>
      </c>
      <c r="F4134" t="s">
        <v>16</v>
      </c>
      <c r="G4134" s="1">
        <v>39392</v>
      </c>
      <c r="H4134" s="1">
        <v>39471</v>
      </c>
      <c r="I4134" t="s">
        <v>12</v>
      </c>
      <c r="J4134" t="s">
        <v>14904</v>
      </c>
    </row>
    <row r="4135" spans="1:10" x14ac:dyDescent="0.25">
      <c r="A4135">
        <v>324963</v>
      </c>
      <c r="B4135" t="s">
        <v>4324</v>
      </c>
      <c r="C4135" t="str">
        <f>"9780415440233"</f>
        <v>9780415440233</v>
      </c>
      <c r="D4135" t="str">
        <f>"9780203940662"</f>
        <v>9780203940662</v>
      </c>
      <c r="E4135" t="s">
        <v>15</v>
      </c>
      <c r="F4135" t="s">
        <v>16</v>
      </c>
      <c r="G4135" s="1">
        <v>39385</v>
      </c>
      <c r="H4135" s="1">
        <v>39475</v>
      </c>
      <c r="I4135" t="s">
        <v>12</v>
      </c>
      <c r="J4135" t="s">
        <v>14905</v>
      </c>
    </row>
    <row r="4136" spans="1:10" x14ac:dyDescent="0.25">
      <c r="A4136">
        <v>324964</v>
      </c>
      <c r="B4136" t="s">
        <v>4325</v>
      </c>
      <c r="C4136" t="str">
        <f>"9780415287340"</f>
        <v>9780415287340</v>
      </c>
      <c r="D4136" t="str">
        <f>"9780203968895"</f>
        <v>9780203968895</v>
      </c>
      <c r="E4136" t="s">
        <v>15</v>
      </c>
      <c r="F4136" t="s">
        <v>16</v>
      </c>
      <c r="G4136" s="1">
        <v>38979</v>
      </c>
      <c r="H4136" s="1">
        <v>39475</v>
      </c>
      <c r="I4136" t="s">
        <v>12</v>
      </c>
      <c r="J4136" t="s">
        <v>14906</v>
      </c>
    </row>
    <row r="4137" spans="1:10" x14ac:dyDescent="0.25">
      <c r="A4137">
        <v>324965</v>
      </c>
      <c r="B4137" t="s">
        <v>4326</v>
      </c>
      <c r="C4137" t="str">
        <f>"9780415408776"</f>
        <v>9780415408776</v>
      </c>
      <c r="D4137" t="str">
        <f>"9780203945872"</f>
        <v>9780203945872</v>
      </c>
      <c r="E4137" t="s">
        <v>15</v>
      </c>
      <c r="F4137" t="s">
        <v>16</v>
      </c>
      <c r="G4137" s="1">
        <v>39332</v>
      </c>
      <c r="H4137" s="1">
        <v>39475</v>
      </c>
      <c r="I4137" t="s">
        <v>12</v>
      </c>
      <c r="J4137" t="s">
        <v>14907</v>
      </c>
    </row>
    <row r="4138" spans="1:10" x14ac:dyDescent="0.25">
      <c r="A4138">
        <v>324966</v>
      </c>
      <c r="B4138" t="s">
        <v>4327</v>
      </c>
      <c r="C4138" t="str">
        <f>"9780415399296"</f>
        <v>9780415399296</v>
      </c>
      <c r="D4138" t="str">
        <f>"9780203960905"</f>
        <v>9780203960905</v>
      </c>
      <c r="E4138" t="s">
        <v>15</v>
      </c>
      <c r="F4138" t="s">
        <v>16</v>
      </c>
      <c r="G4138" s="1">
        <v>39388</v>
      </c>
      <c r="H4138" s="1">
        <v>39475</v>
      </c>
      <c r="I4138" t="s">
        <v>12</v>
      </c>
      <c r="J4138" t="s">
        <v>14908</v>
      </c>
    </row>
    <row r="4139" spans="1:10" x14ac:dyDescent="0.25">
      <c r="A4139">
        <v>324972</v>
      </c>
      <c r="B4139" t="s">
        <v>4328</v>
      </c>
      <c r="C4139" t="str">
        <f>"9780415433310"</f>
        <v>9780415433310</v>
      </c>
      <c r="D4139" t="str">
        <f>"9780203946466"</f>
        <v>9780203946466</v>
      </c>
      <c r="E4139" t="s">
        <v>15</v>
      </c>
      <c r="F4139" t="s">
        <v>16</v>
      </c>
      <c r="G4139" s="1">
        <v>39400</v>
      </c>
      <c r="H4139" s="1">
        <v>39475</v>
      </c>
      <c r="I4139" t="s">
        <v>12</v>
      </c>
      <c r="J4139" t="s">
        <v>14909</v>
      </c>
    </row>
    <row r="4140" spans="1:10" x14ac:dyDescent="0.25">
      <c r="A4140">
        <v>324973</v>
      </c>
      <c r="B4140" t="s">
        <v>4329</v>
      </c>
      <c r="C4140" t="str">
        <f>"9780415437745"</f>
        <v>9780415437745</v>
      </c>
      <c r="D4140" t="str">
        <f>"9780203946046"</f>
        <v>9780203946046</v>
      </c>
      <c r="E4140" t="s">
        <v>15</v>
      </c>
      <c r="F4140" t="s">
        <v>16</v>
      </c>
      <c r="G4140" s="1">
        <v>39370</v>
      </c>
      <c r="H4140" s="1">
        <v>39475</v>
      </c>
      <c r="I4140" t="s">
        <v>12</v>
      </c>
      <c r="J4140" t="s">
        <v>14910</v>
      </c>
    </row>
    <row r="4141" spans="1:10" x14ac:dyDescent="0.25">
      <c r="A4141">
        <v>324975</v>
      </c>
      <c r="B4141" t="s">
        <v>4330</v>
      </c>
      <c r="C4141" t="str">
        <f>"9780415395618"</f>
        <v>9780415395618</v>
      </c>
      <c r="D4141" t="str">
        <f>"9780203946169"</f>
        <v>9780203946169</v>
      </c>
      <c r="E4141" t="s">
        <v>15</v>
      </c>
      <c r="F4141" t="s">
        <v>16</v>
      </c>
      <c r="G4141" s="1">
        <v>39331</v>
      </c>
      <c r="H4141" s="1">
        <v>39470</v>
      </c>
      <c r="I4141" t="s">
        <v>12</v>
      </c>
      <c r="J4141" t="s">
        <v>14911</v>
      </c>
    </row>
    <row r="4142" spans="1:10" x14ac:dyDescent="0.25">
      <c r="A4142">
        <v>324976</v>
      </c>
      <c r="B4142" t="s">
        <v>4331</v>
      </c>
      <c r="C4142" t="str">
        <f>"9781583917879"</f>
        <v>9781583917879</v>
      </c>
      <c r="D4142" t="str">
        <f>"9780203945919"</f>
        <v>9780203945919</v>
      </c>
      <c r="E4142" t="s">
        <v>15</v>
      </c>
      <c r="F4142" t="s">
        <v>16</v>
      </c>
      <c r="G4142" s="1">
        <v>39343</v>
      </c>
      <c r="H4142" s="1">
        <v>39475</v>
      </c>
      <c r="I4142" t="s">
        <v>12</v>
      </c>
      <c r="J4142" t="s">
        <v>14912</v>
      </c>
    </row>
    <row r="4143" spans="1:10" x14ac:dyDescent="0.25">
      <c r="A4143">
        <v>324977</v>
      </c>
      <c r="B4143" t="s">
        <v>4332</v>
      </c>
      <c r="C4143" t="str">
        <f>"9780415415576"</f>
        <v>9780415415576</v>
      </c>
      <c r="D4143" t="str">
        <f>"9780203945902"</f>
        <v>9780203945902</v>
      </c>
      <c r="E4143" t="s">
        <v>15</v>
      </c>
      <c r="F4143" t="s">
        <v>16</v>
      </c>
      <c r="G4143" s="1">
        <v>39370</v>
      </c>
      <c r="H4143" s="1">
        <v>39475</v>
      </c>
      <c r="I4143" t="s">
        <v>12</v>
      </c>
      <c r="J4143" t="s">
        <v>14913</v>
      </c>
    </row>
    <row r="4144" spans="1:10" x14ac:dyDescent="0.25">
      <c r="A4144">
        <v>324980</v>
      </c>
      <c r="B4144" t="s">
        <v>4333</v>
      </c>
      <c r="C4144" t="str">
        <f>"9780415354202"</f>
        <v>9780415354202</v>
      </c>
      <c r="D4144" t="str">
        <f>"9780203000908"</f>
        <v>9780203000908</v>
      </c>
      <c r="E4144" t="s">
        <v>15</v>
      </c>
      <c r="F4144" t="s">
        <v>16</v>
      </c>
      <c r="G4144" s="1">
        <v>39414</v>
      </c>
      <c r="H4144" s="1">
        <v>39475</v>
      </c>
      <c r="I4144" t="s">
        <v>12</v>
      </c>
      <c r="J4144" t="s">
        <v>14914</v>
      </c>
    </row>
    <row r="4145" spans="1:10" x14ac:dyDescent="0.25">
      <c r="A4145">
        <v>324981</v>
      </c>
      <c r="B4145" t="s">
        <v>4334</v>
      </c>
      <c r="C4145" t="str">
        <f>"9780415357234"</f>
        <v>9780415357234</v>
      </c>
      <c r="D4145" t="str">
        <f>"9780203003107"</f>
        <v>9780203003107</v>
      </c>
      <c r="E4145" t="s">
        <v>15</v>
      </c>
      <c r="F4145" t="s">
        <v>16</v>
      </c>
      <c r="G4145" s="1">
        <v>39391</v>
      </c>
      <c r="H4145" s="1">
        <v>39470</v>
      </c>
      <c r="I4145" t="s">
        <v>12</v>
      </c>
      <c r="J4145" t="s">
        <v>14915</v>
      </c>
    </row>
    <row r="4146" spans="1:10" x14ac:dyDescent="0.25">
      <c r="A4146">
        <v>324990</v>
      </c>
      <c r="B4146" t="s">
        <v>4335</v>
      </c>
      <c r="C4146" t="str">
        <f>"9780415409766"</f>
        <v>9780415409766</v>
      </c>
      <c r="D4146" t="str">
        <f>"9780203938874"</f>
        <v>9780203938874</v>
      </c>
      <c r="E4146" t="s">
        <v>15</v>
      </c>
      <c r="F4146" t="s">
        <v>16</v>
      </c>
      <c r="G4146" s="1">
        <v>39387</v>
      </c>
      <c r="H4146" s="1">
        <v>39476</v>
      </c>
      <c r="I4146" t="s">
        <v>12</v>
      </c>
      <c r="J4146" t="s">
        <v>14916</v>
      </c>
    </row>
    <row r="4147" spans="1:10" x14ac:dyDescent="0.25">
      <c r="A4147">
        <v>324991</v>
      </c>
      <c r="B4147" t="s">
        <v>4336</v>
      </c>
      <c r="C4147" t="str">
        <f>"9780415430715"</f>
        <v>9780415430715</v>
      </c>
      <c r="D4147" t="str">
        <f>"9780203939079"</f>
        <v>9780203939079</v>
      </c>
      <c r="E4147" t="s">
        <v>15</v>
      </c>
      <c r="F4147" t="s">
        <v>16</v>
      </c>
      <c r="G4147" s="1">
        <v>39391</v>
      </c>
      <c r="H4147" s="1">
        <v>39475</v>
      </c>
      <c r="I4147" t="s">
        <v>12</v>
      </c>
      <c r="J4147" t="s">
        <v>14917</v>
      </c>
    </row>
    <row r="4148" spans="1:10" x14ac:dyDescent="0.25">
      <c r="A4148">
        <v>324993</v>
      </c>
      <c r="B4148" t="s">
        <v>4337</v>
      </c>
      <c r="C4148" t="str">
        <f>"9780415402958"</f>
        <v>9780415402958</v>
      </c>
      <c r="D4148" t="str">
        <f>"9780203939345"</f>
        <v>9780203939345</v>
      </c>
      <c r="E4148" t="s">
        <v>15</v>
      </c>
      <c r="F4148" t="s">
        <v>16</v>
      </c>
      <c r="G4148" s="1">
        <v>39385</v>
      </c>
      <c r="H4148" s="1">
        <v>39484</v>
      </c>
      <c r="I4148" t="s">
        <v>12</v>
      </c>
      <c r="J4148" t="s">
        <v>14918</v>
      </c>
    </row>
    <row r="4149" spans="1:10" x14ac:dyDescent="0.25">
      <c r="A4149">
        <v>324995</v>
      </c>
      <c r="B4149" t="s">
        <v>4338</v>
      </c>
      <c r="C4149" t="str">
        <f>"9780415397438"</f>
        <v>9780415397438</v>
      </c>
      <c r="D4149" t="str">
        <f>"9780203939314"</f>
        <v>9780203939314</v>
      </c>
      <c r="E4149" t="s">
        <v>15</v>
      </c>
      <c r="F4149" t="s">
        <v>16</v>
      </c>
      <c r="G4149" s="1">
        <v>39391</v>
      </c>
      <c r="H4149" s="1">
        <v>39470</v>
      </c>
      <c r="I4149" t="s">
        <v>12</v>
      </c>
      <c r="J4149" t="s">
        <v>14919</v>
      </c>
    </row>
    <row r="4150" spans="1:10" x14ac:dyDescent="0.25">
      <c r="A4150">
        <v>324996</v>
      </c>
      <c r="B4150" t="s">
        <v>4339</v>
      </c>
      <c r="C4150" t="str">
        <f>"9780415389518"</f>
        <v>9780415389518</v>
      </c>
      <c r="D4150" t="str">
        <f>"9780203939185"</f>
        <v>9780203939185</v>
      </c>
      <c r="E4150" t="s">
        <v>15</v>
      </c>
      <c r="F4150" t="s">
        <v>16</v>
      </c>
      <c r="G4150" s="1">
        <v>39385</v>
      </c>
      <c r="H4150" s="1">
        <v>39470</v>
      </c>
      <c r="I4150" t="s">
        <v>12</v>
      </c>
      <c r="J4150" t="s">
        <v>14920</v>
      </c>
    </row>
    <row r="4151" spans="1:10" x14ac:dyDescent="0.25">
      <c r="A4151">
        <v>324998</v>
      </c>
      <c r="B4151" t="s">
        <v>4340</v>
      </c>
      <c r="C4151" t="str">
        <f>"9780415962032"</f>
        <v>9780415962032</v>
      </c>
      <c r="D4151" t="str">
        <f>"9780203937518"</f>
        <v>9780203937518</v>
      </c>
      <c r="E4151" t="s">
        <v>15</v>
      </c>
      <c r="F4151" t="s">
        <v>16</v>
      </c>
      <c r="G4151" s="1">
        <v>39321</v>
      </c>
      <c r="H4151" s="1">
        <v>39475</v>
      </c>
      <c r="I4151" t="s">
        <v>12</v>
      </c>
      <c r="J4151" t="s">
        <v>14921</v>
      </c>
    </row>
    <row r="4152" spans="1:10" x14ac:dyDescent="0.25">
      <c r="A4152">
        <v>324999</v>
      </c>
      <c r="B4152" t="s">
        <v>4341</v>
      </c>
      <c r="C4152" t="str">
        <f>"9780415447102"</f>
        <v>9780415447102</v>
      </c>
      <c r="D4152" t="str">
        <f>"9780203935743"</f>
        <v>9780203935743</v>
      </c>
      <c r="E4152" t="s">
        <v>15</v>
      </c>
      <c r="F4152" t="s">
        <v>16</v>
      </c>
      <c r="G4152" s="1">
        <v>39436</v>
      </c>
      <c r="H4152" s="1">
        <v>39475</v>
      </c>
      <c r="I4152" t="s">
        <v>12</v>
      </c>
      <c r="J4152" t="s">
        <v>14922</v>
      </c>
    </row>
    <row r="4153" spans="1:10" x14ac:dyDescent="0.25">
      <c r="A4153">
        <v>325001</v>
      </c>
      <c r="B4153" t="s">
        <v>4342</v>
      </c>
      <c r="C4153" t="str">
        <f>"9780415402385"</f>
        <v>9780415402385</v>
      </c>
      <c r="D4153" t="str">
        <f>"9780203939826"</f>
        <v>9780203939826</v>
      </c>
      <c r="E4153" t="s">
        <v>15</v>
      </c>
      <c r="F4153" t="s">
        <v>16</v>
      </c>
      <c r="G4153" s="1">
        <v>39400</v>
      </c>
      <c r="H4153" s="1">
        <v>39475</v>
      </c>
      <c r="I4153" t="s">
        <v>12</v>
      </c>
      <c r="J4153" t="s">
        <v>14923</v>
      </c>
    </row>
    <row r="4154" spans="1:10" x14ac:dyDescent="0.25">
      <c r="A4154">
        <v>325003</v>
      </c>
      <c r="B4154" t="s">
        <v>4343</v>
      </c>
      <c r="C4154" t="str">
        <f>"9780415399272"</f>
        <v>9780415399272</v>
      </c>
      <c r="D4154" t="str">
        <f>"9780203939925"</f>
        <v>9780203939925</v>
      </c>
      <c r="E4154" t="s">
        <v>15</v>
      </c>
      <c r="F4154" t="s">
        <v>16</v>
      </c>
      <c r="G4154" s="1">
        <v>39385</v>
      </c>
      <c r="H4154" s="1">
        <v>39470</v>
      </c>
      <c r="I4154" t="s">
        <v>12</v>
      </c>
      <c r="J4154" t="s">
        <v>14924</v>
      </c>
    </row>
    <row r="4155" spans="1:10" x14ac:dyDescent="0.25">
      <c r="A4155">
        <v>325004</v>
      </c>
      <c r="B4155" t="s">
        <v>4344</v>
      </c>
      <c r="C4155" t="str">
        <f>"9780415419444"</f>
        <v>9780415419444</v>
      </c>
      <c r="D4155" t="str">
        <f>"9780203939598"</f>
        <v>9780203939598</v>
      </c>
      <c r="E4155" t="s">
        <v>15</v>
      </c>
      <c r="F4155" t="s">
        <v>16</v>
      </c>
      <c r="G4155" s="1">
        <v>39385</v>
      </c>
      <c r="H4155" s="1">
        <v>39475</v>
      </c>
      <c r="I4155" t="s">
        <v>12</v>
      </c>
      <c r="J4155" t="s">
        <v>14925</v>
      </c>
    </row>
    <row r="4156" spans="1:10" x14ac:dyDescent="0.25">
      <c r="A4156">
        <v>325005</v>
      </c>
      <c r="B4156" t="s">
        <v>4345</v>
      </c>
      <c r="C4156" t="str">
        <f>"9780415773027"</f>
        <v>9780415773027</v>
      </c>
      <c r="D4156" t="str">
        <f>"9780203939819"</f>
        <v>9780203939819</v>
      </c>
      <c r="E4156" t="s">
        <v>15</v>
      </c>
      <c r="F4156" t="s">
        <v>16</v>
      </c>
      <c r="G4156" s="1">
        <v>39391</v>
      </c>
      <c r="H4156" s="1">
        <v>41877</v>
      </c>
      <c r="I4156" t="s">
        <v>12</v>
      </c>
      <c r="J4156" t="s">
        <v>14926</v>
      </c>
    </row>
    <row r="4157" spans="1:10" x14ac:dyDescent="0.25">
      <c r="A4157">
        <v>325006</v>
      </c>
      <c r="B4157" t="s">
        <v>4346</v>
      </c>
      <c r="C4157" t="str">
        <f>"9780415774123"</f>
        <v>9780415774123</v>
      </c>
      <c r="D4157" t="str">
        <f>"9780203939741"</f>
        <v>9780203939741</v>
      </c>
      <c r="E4157" t="s">
        <v>15</v>
      </c>
      <c r="F4157" t="s">
        <v>16</v>
      </c>
      <c r="G4157" s="1">
        <v>39414</v>
      </c>
      <c r="H4157" s="1">
        <v>39470</v>
      </c>
      <c r="I4157" t="s">
        <v>12</v>
      </c>
      <c r="J4157" t="s">
        <v>14927</v>
      </c>
    </row>
    <row r="4158" spans="1:10" x14ac:dyDescent="0.25">
      <c r="A4158">
        <v>325010</v>
      </c>
      <c r="B4158" t="s">
        <v>4347</v>
      </c>
      <c r="C4158" t="str">
        <f>"9780415427357"</f>
        <v>9780415427357</v>
      </c>
      <c r="D4158" t="str">
        <f>"9780203940099"</f>
        <v>9780203940099</v>
      </c>
      <c r="E4158" t="s">
        <v>15</v>
      </c>
      <c r="F4158" t="s">
        <v>16</v>
      </c>
      <c r="G4158" s="1">
        <v>39388</v>
      </c>
      <c r="H4158" s="1">
        <v>39475</v>
      </c>
      <c r="I4158" t="s">
        <v>12</v>
      </c>
      <c r="J4158" t="s">
        <v>14928</v>
      </c>
    </row>
    <row r="4159" spans="1:10" x14ac:dyDescent="0.25">
      <c r="A4159">
        <v>325011</v>
      </c>
      <c r="B4159" t="s">
        <v>4348</v>
      </c>
      <c r="C4159" t="str">
        <f>"9780415425728"</f>
        <v>9780415425728</v>
      </c>
      <c r="D4159" t="str">
        <f>"9780203940587"</f>
        <v>9780203940587</v>
      </c>
      <c r="E4159" t="s">
        <v>15</v>
      </c>
      <c r="F4159" t="s">
        <v>16</v>
      </c>
      <c r="G4159" s="1">
        <v>39385</v>
      </c>
      <c r="H4159" s="1">
        <v>39475</v>
      </c>
      <c r="I4159" t="s">
        <v>12</v>
      </c>
      <c r="J4159" t="s">
        <v>14929</v>
      </c>
    </row>
    <row r="4160" spans="1:10" x14ac:dyDescent="0.25">
      <c r="A4160">
        <v>325012</v>
      </c>
      <c r="B4160" t="s">
        <v>4349</v>
      </c>
      <c r="C4160" t="str">
        <f>"9780415418782"</f>
        <v>9780415418782</v>
      </c>
      <c r="D4160" t="str">
        <f>"9780203941430"</f>
        <v>9780203941430</v>
      </c>
      <c r="E4160" t="s">
        <v>15</v>
      </c>
      <c r="F4160" t="s">
        <v>16</v>
      </c>
      <c r="G4160" s="1">
        <v>39391</v>
      </c>
      <c r="H4160" s="1">
        <v>39471</v>
      </c>
      <c r="I4160" t="s">
        <v>12</v>
      </c>
      <c r="J4160" t="s">
        <v>14930</v>
      </c>
    </row>
    <row r="4161" spans="1:10" x14ac:dyDescent="0.25">
      <c r="A4161">
        <v>325014</v>
      </c>
      <c r="B4161" t="s">
        <v>4350</v>
      </c>
      <c r="C4161" t="str">
        <f>"9780415399791"</f>
        <v>9780415399791</v>
      </c>
      <c r="D4161" t="str">
        <f>"9780203934517"</f>
        <v>9780203934517</v>
      </c>
      <c r="E4161" t="s">
        <v>15</v>
      </c>
      <c r="F4161" t="s">
        <v>16</v>
      </c>
      <c r="G4161" s="1">
        <v>36867</v>
      </c>
      <c r="H4161" s="1">
        <v>39470</v>
      </c>
      <c r="I4161" t="s">
        <v>12</v>
      </c>
      <c r="J4161" t="s">
        <v>14931</v>
      </c>
    </row>
    <row r="4162" spans="1:10" x14ac:dyDescent="0.25">
      <c r="A4162">
        <v>325016</v>
      </c>
      <c r="B4162" t="s">
        <v>4351</v>
      </c>
      <c r="C4162" t="str">
        <f>"9780415772372"</f>
        <v>9780415772372</v>
      </c>
      <c r="D4162" t="str">
        <f>"9780203939932"</f>
        <v>9780203939932</v>
      </c>
      <c r="E4162" t="s">
        <v>15</v>
      </c>
      <c r="F4162" t="s">
        <v>16</v>
      </c>
      <c r="G4162" s="1">
        <v>39388</v>
      </c>
      <c r="H4162" s="1">
        <v>39475</v>
      </c>
      <c r="I4162" t="s">
        <v>12</v>
      </c>
      <c r="J4162" t="s">
        <v>14932</v>
      </c>
    </row>
    <row r="4163" spans="1:10" x14ac:dyDescent="0.25">
      <c r="A4163">
        <v>325018</v>
      </c>
      <c r="B4163" t="s">
        <v>4352</v>
      </c>
      <c r="C4163" t="str">
        <f>"9780415393683"</f>
        <v>9780415393683</v>
      </c>
      <c r="D4163" t="str">
        <f>"9780203965740"</f>
        <v>9780203965740</v>
      </c>
      <c r="E4163" t="s">
        <v>15</v>
      </c>
      <c r="F4163" t="s">
        <v>16</v>
      </c>
      <c r="G4163" s="1">
        <v>39187</v>
      </c>
      <c r="H4163" s="1">
        <v>42053</v>
      </c>
      <c r="I4163" t="s">
        <v>12</v>
      </c>
      <c r="J4163" t="s">
        <v>14933</v>
      </c>
    </row>
    <row r="4164" spans="1:10" x14ac:dyDescent="0.25">
      <c r="A4164">
        <v>325019</v>
      </c>
      <c r="B4164" t="s">
        <v>4353</v>
      </c>
      <c r="C4164" t="str">
        <f>"9780415430531"</f>
        <v>9780415430531</v>
      </c>
      <c r="D4164" t="str">
        <f>"9780203961933"</f>
        <v>9780203961933</v>
      </c>
      <c r="E4164" t="s">
        <v>144</v>
      </c>
      <c r="F4164" t="s">
        <v>16</v>
      </c>
      <c r="G4164" s="1">
        <v>39415</v>
      </c>
      <c r="H4164" s="1">
        <v>41052</v>
      </c>
      <c r="I4164" t="s">
        <v>12</v>
      </c>
      <c r="J4164" t="s">
        <v>14934</v>
      </c>
    </row>
    <row r="4165" spans="1:10" x14ac:dyDescent="0.25">
      <c r="A4165">
        <v>325023</v>
      </c>
      <c r="B4165" t="s">
        <v>4354</v>
      </c>
      <c r="C4165" t="str">
        <f>"9780415374934"</f>
        <v>9780415374934</v>
      </c>
      <c r="D4165" t="str">
        <f>"9780203934173"</f>
        <v>9780203934173</v>
      </c>
      <c r="E4165" t="s">
        <v>15</v>
      </c>
      <c r="F4165" t="s">
        <v>16</v>
      </c>
      <c r="G4165" s="1">
        <v>39428</v>
      </c>
      <c r="H4165" s="1">
        <v>39475</v>
      </c>
      <c r="I4165" t="s">
        <v>12</v>
      </c>
      <c r="J4165" t="s">
        <v>14935</v>
      </c>
    </row>
    <row r="4166" spans="1:10" x14ac:dyDescent="0.25">
      <c r="A4166">
        <v>325025</v>
      </c>
      <c r="B4166" t="s">
        <v>4355</v>
      </c>
      <c r="C4166" t="str">
        <f>"9780415395793"</f>
        <v>9780415395793</v>
      </c>
      <c r="D4166" t="str">
        <f>"9780203938898"</f>
        <v>9780203938898</v>
      </c>
      <c r="E4166" t="s">
        <v>15</v>
      </c>
      <c r="F4166" t="s">
        <v>16</v>
      </c>
      <c r="G4166" s="1">
        <v>39430</v>
      </c>
      <c r="H4166" s="1">
        <v>41878</v>
      </c>
      <c r="I4166" t="s">
        <v>12</v>
      </c>
      <c r="J4166" t="s">
        <v>14936</v>
      </c>
    </row>
    <row r="4167" spans="1:10" x14ac:dyDescent="0.25">
      <c r="A4167">
        <v>325026</v>
      </c>
      <c r="B4167" t="s">
        <v>4356</v>
      </c>
      <c r="C4167" t="str">
        <f>"9780415357432"</f>
        <v>9780415357432</v>
      </c>
      <c r="D4167" t="str">
        <f>"9780203003480"</f>
        <v>9780203003480</v>
      </c>
      <c r="E4167" t="s">
        <v>15</v>
      </c>
      <c r="F4167" t="s">
        <v>16</v>
      </c>
      <c r="G4167" s="1">
        <v>39422</v>
      </c>
      <c r="H4167" s="1">
        <v>39475</v>
      </c>
      <c r="I4167" t="s">
        <v>12</v>
      </c>
      <c r="J4167" t="s">
        <v>14937</v>
      </c>
    </row>
    <row r="4168" spans="1:10" x14ac:dyDescent="0.25">
      <c r="A4168">
        <v>325027</v>
      </c>
      <c r="B4168" t="s">
        <v>4357</v>
      </c>
      <c r="C4168" t="str">
        <f>"9780415437356"</f>
        <v>9780415437356</v>
      </c>
      <c r="D4168" t="str">
        <f>"9780203934449"</f>
        <v>9780203934449</v>
      </c>
      <c r="E4168" t="s">
        <v>15</v>
      </c>
      <c r="F4168" t="s">
        <v>16</v>
      </c>
      <c r="G4168" s="1">
        <v>39415</v>
      </c>
      <c r="H4168" s="1">
        <v>39475</v>
      </c>
      <c r="I4168" t="s">
        <v>12</v>
      </c>
      <c r="J4168" t="s">
        <v>14938</v>
      </c>
    </row>
    <row r="4169" spans="1:10" x14ac:dyDescent="0.25">
      <c r="A4169">
        <v>325029</v>
      </c>
      <c r="B4169" t="s">
        <v>4358</v>
      </c>
      <c r="C4169" t="str">
        <f>"9780415431989"</f>
        <v>9780415431989</v>
      </c>
      <c r="D4169" t="str">
        <f>"9780203946459"</f>
        <v>9780203946459</v>
      </c>
      <c r="E4169" t="s">
        <v>15</v>
      </c>
      <c r="F4169" t="s">
        <v>16</v>
      </c>
      <c r="G4169" s="1">
        <v>39387</v>
      </c>
      <c r="H4169" s="1">
        <v>39470</v>
      </c>
      <c r="I4169" t="s">
        <v>12</v>
      </c>
      <c r="J4169" t="s">
        <v>14939</v>
      </c>
    </row>
    <row r="4170" spans="1:10" x14ac:dyDescent="0.25">
      <c r="A4170">
        <v>325031</v>
      </c>
      <c r="B4170" t="s">
        <v>4359</v>
      </c>
      <c r="C4170" t="str">
        <f>"9780415373517"</f>
        <v>9780415373517</v>
      </c>
      <c r="D4170" t="str">
        <f>"9780203940389"</f>
        <v>9780203940389</v>
      </c>
      <c r="E4170" t="s">
        <v>15</v>
      </c>
      <c r="F4170" t="s">
        <v>16</v>
      </c>
      <c r="G4170" s="1">
        <v>39385</v>
      </c>
      <c r="H4170" s="1">
        <v>41877</v>
      </c>
      <c r="I4170" t="s">
        <v>12</v>
      </c>
      <c r="J4170" t="s">
        <v>14940</v>
      </c>
    </row>
    <row r="4171" spans="1:10" x14ac:dyDescent="0.25">
      <c r="A4171">
        <v>325032</v>
      </c>
      <c r="B4171" t="s">
        <v>4360</v>
      </c>
      <c r="C4171" t="str">
        <f>"9780415400015"</f>
        <v>9780415400015</v>
      </c>
      <c r="D4171" t="str">
        <f>"9780203940150"</f>
        <v>9780203940150</v>
      </c>
      <c r="E4171" t="s">
        <v>15</v>
      </c>
      <c r="F4171" t="s">
        <v>16</v>
      </c>
      <c r="G4171" s="1">
        <v>39391</v>
      </c>
      <c r="H4171" s="1">
        <v>41877</v>
      </c>
      <c r="I4171" t="s">
        <v>12</v>
      </c>
      <c r="J4171" t="s">
        <v>14941</v>
      </c>
    </row>
    <row r="4172" spans="1:10" x14ac:dyDescent="0.25">
      <c r="A4172">
        <v>325036</v>
      </c>
      <c r="B4172" t="s">
        <v>4361</v>
      </c>
      <c r="C4172" t="str">
        <f>"9780415701976"</f>
        <v>9780415701976</v>
      </c>
      <c r="D4172" t="str">
        <f>"9780203939024"</f>
        <v>9780203939024</v>
      </c>
      <c r="E4172" t="s">
        <v>15</v>
      </c>
      <c r="F4172" t="s">
        <v>16</v>
      </c>
      <c r="G4172" s="1">
        <v>39423</v>
      </c>
      <c r="H4172" s="1">
        <v>41877</v>
      </c>
      <c r="I4172" t="s">
        <v>12</v>
      </c>
      <c r="J4172" t="s">
        <v>14942</v>
      </c>
    </row>
    <row r="4173" spans="1:10" x14ac:dyDescent="0.25">
      <c r="A4173">
        <v>325044</v>
      </c>
      <c r="B4173" t="s">
        <v>4362</v>
      </c>
      <c r="C4173" t="str">
        <f>"9780415438469"</f>
        <v>9780415438469</v>
      </c>
      <c r="D4173" t="str">
        <f>"9780203939895"</f>
        <v>9780203939895</v>
      </c>
      <c r="E4173" t="s">
        <v>15</v>
      </c>
      <c r="F4173" t="s">
        <v>16</v>
      </c>
      <c r="G4173" s="1">
        <v>39359</v>
      </c>
      <c r="H4173" s="1">
        <v>39470</v>
      </c>
      <c r="I4173" t="s">
        <v>12</v>
      </c>
      <c r="J4173" t="s">
        <v>14943</v>
      </c>
    </row>
    <row r="4174" spans="1:10" x14ac:dyDescent="0.25">
      <c r="A4174">
        <v>325045</v>
      </c>
      <c r="B4174" t="s">
        <v>4363</v>
      </c>
      <c r="C4174" t="str">
        <f>"9780415435772"</f>
        <v>9780415435772</v>
      </c>
      <c r="D4174" t="str">
        <f>"9780203946640"</f>
        <v>9780203946640</v>
      </c>
      <c r="E4174" t="s">
        <v>15</v>
      </c>
      <c r="F4174" t="s">
        <v>16</v>
      </c>
      <c r="G4174" s="1">
        <v>39406</v>
      </c>
      <c r="H4174" s="1">
        <v>39475</v>
      </c>
      <c r="I4174" t="s">
        <v>12</v>
      </c>
      <c r="J4174" t="s">
        <v>14944</v>
      </c>
    </row>
    <row r="4175" spans="1:10" x14ac:dyDescent="0.25">
      <c r="A4175">
        <v>325046</v>
      </c>
      <c r="B4175" t="s">
        <v>4364</v>
      </c>
      <c r="C4175" t="str">
        <f>"9780415701488"</f>
        <v>9780415701488</v>
      </c>
      <c r="D4175" t="str">
        <f>"9780203799352"</f>
        <v>9780203799352</v>
      </c>
      <c r="E4175" t="s">
        <v>15</v>
      </c>
      <c r="F4175" t="s">
        <v>16</v>
      </c>
      <c r="G4175" s="1">
        <v>39402</v>
      </c>
      <c r="H4175" s="1">
        <v>39470</v>
      </c>
      <c r="I4175" t="s">
        <v>12</v>
      </c>
      <c r="J4175" t="s">
        <v>14945</v>
      </c>
    </row>
    <row r="4176" spans="1:10" x14ac:dyDescent="0.25">
      <c r="A4176">
        <v>325050</v>
      </c>
      <c r="B4176" t="s">
        <v>4365</v>
      </c>
      <c r="C4176" t="str">
        <f>"9780415771801"</f>
        <v>9780415771801</v>
      </c>
      <c r="D4176" t="str">
        <f>"9780203937815"</f>
        <v>9780203937815</v>
      </c>
      <c r="E4176" t="s">
        <v>15</v>
      </c>
      <c r="F4176" t="s">
        <v>16</v>
      </c>
      <c r="G4176" s="1">
        <v>39406</v>
      </c>
      <c r="H4176" s="1">
        <v>41877</v>
      </c>
      <c r="I4176" t="s">
        <v>12</v>
      </c>
      <c r="J4176" t="s">
        <v>14946</v>
      </c>
    </row>
    <row r="4177" spans="1:10" x14ac:dyDescent="0.25">
      <c r="A4177">
        <v>325051</v>
      </c>
      <c r="B4177" t="s">
        <v>4366</v>
      </c>
      <c r="C4177" t="str">
        <f>"9781843123828"</f>
        <v>9781843123828</v>
      </c>
      <c r="D4177" t="str">
        <f>"9780203935255"</f>
        <v>9780203935255</v>
      </c>
      <c r="E4177" t="s">
        <v>4274</v>
      </c>
      <c r="F4177" t="s">
        <v>4274</v>
      </c>
      <c r="G4177" s="1">
        <v>39449</v>
      </c>
      <c r="H4177" s="1">
        <v>39475</v>
      </c>
      <c r="I4177" t="s">
        <v>12</v>
      </c>
      <c r="J4177" t="s">
        <v>14947</v>
      </c>
    </row>
    <row r="4178" spans="1:10" x14ac:dyDescent="0.25">
      <c r="A4178">
        <v>325052</v>
      </c>
      <c r="B4178" t="s">
        <v>4367</v>
      </c>
      <c r="C4178" t="str">
        <f>"9780415434423"</f>
        <v>9780415434423</v>
      </c>
      <c r="D4178" t="str">
        <f>"9780203934906"</f>
        <v>9780203934906</v>
      </c>
      <c r="E4178" t="s">
        <v>16</v>
      </c>
      <c r="F4178" t="s">
        <v>1170</v>
      </c>
      <c r="G4178" s="1">
        <v>39419</v>
      </c>
      <c r="H4178" s="1">
        <v>39475</v>
      </c>
      <c r="I4178" t="s">
        <v>12</v>
      </c>
      <c r="J4178" t="s">
        <v>14948</v>
      </c>
    </row>
    <row r="4179" spans="1:10" x14ac:dyDescent="0.25">
      <c r="A4179">
        <v>325053</v>
      </c>
      <c r="B4179" t="s">
        <v>4368</v>
      </c>
      <c r="C4179" t="str">
        <f>"9780415445344"</f>
        <v>9780415445344</v>
      </c>
      <c r="D4179" t="str">
        <f>"9780203934463"</f>
        <v>9780203934463</v>
      </c>
      <c r="E4179" t="s">
        <v>15</v>
      </c>
      <c r="F4179" t="s">
        <v>16</v>
      </c>
      <c r="G4179" s="1">
        <v>39326</v>
      </c>
      <c r="H4179" s="1">
        <v>39475</v>
      </c>
      <c r="I4179" t="s">
        <v>12</v>
      </c>
      <c r="J4179" t="s">
        <v>14949</v>
      </c>
    </row>
    <row r="4180" spans="1:10" x14ac:dyDescent="0.25">
      <c r="A4180">
        <v>325055</v>
      </c>
      <c r="B4180" t="s">
        <v>4369</v>
      </c>
      <c r="C4180" t="str">
        <f>"9780415978316"</f>
        <v>9780415978316</v>
      </c>
      <c r="D4180" t="str">
        <f>"9780203935026"</f>
        <v>9780203935026</v>
      </c>
      <c r="E4180" t="s">
        <v>15</v>
      </c>
      <c r="F4180" t="s">
        <v>16</v>
      </c>
      <c r="G4180" s="1">
        <v>39394</v>
      </c>
      <c r="H4180" s="1">
        <v>39475</v>
      </c>
      <c r="I4180" t="s">
        <v>12</v>
      </c>
      <c r="J4180" t="s">
        <v>14950</v>
      </c>
    </row>
    <row r="4181" spans="1:10" x14ac:dyDescent="0.25">
      <c r="A4181">
        <v>325057</v>
      </c>
      <c r="B4181" t="s">
        <v>4370</v>
      </c>
      <c r="C4181" t="str">
        <f>"9780415357876"</f>
        <v>9780415357876</v>
      </c>
      <c r="D4181" t="str">
        <f>"9780203003947"</f>
        <v>9780203003947</v>
      </c>
      <c r="E4181" t="s">
        <v>15</v>
      </c>
      <c r="F4181" t="s">
        <v>16</v>
      </c>
      <c r="G4181" s="1">
        <v>39427</v>
      </c>
      <c r="H4181" s="1">
        <v>39475</v>
      </c>
      <c r="I4181" t="s">
        <v>12</v>
      </c>
      <c r="J4181" t="s">
        <v>14951</v>
      </c>
    </row>
    <row r="4182" spans="1:10" x14ac:dyDescent="0.25">
      <c r="A4182">
        <v>325059</v>
      </c>
      <c r="B4182" t="s">
        <v>4371</v>
      </c>
      <c r="C4182" t="str">
        <f>"9780415437073"</f>
        <v>9780415437073</v>
      </c>
      <c r="D4182" t="str">
        <f>"9780203939420"</f>
        <v>9780203939420</v>
      </c>
      <c r="E4182" t="s">
        <v>15</v>
      </c>
      <c r="F4182" t="s">
        <v>16</v>
      </c>
      <c r="G4182" s="1">
        <v>39414</v>
      </c>
      <c r="H4182" s="1">
        <v>41877</v>
      </c>
      <c r="I4182" t="s">
        <v>12</v>
      </c>
      <c r="J4182" t="s">
        <v>14952</v>
      </c>
    </row>
    <row r="4183" spans="1:10" x14ac:dyDescent="0.25">
      <c r="A4183">
        <v>325060</v>
      </c>
      <c r="B4183" t="s">
        <v>4372</v>
      </c>
      <c r="C4183" t="str">
        <f>"9780415411806"</f>
        <v>9780415411806</v>
      </c>
      <c r="D4183" t="str">
        <f>"9780203934371"</f>
        <v>9780203934371</v>
      </c>
      <c r="E4183" t="s">
        <v>15</v>
      </c>
      <c r="F4183" t="s">
        <v>16</v>
      </c>
      <c r="G4183" s="1">
        <v>39428</v>
      </c>
      <c r="H4183" s="1">
        <v>39475</v>
      </c>
      <c r="I4183" t="s">
        <v>12</v>
      </c>
      <c r="J4183" t="s">
        <v>14953</v>
      </c>
    </row>
    <row r="4184" spans="1:10" x14ac:dyDescent="0.25">
      <c r="A4184">
        <v>325062</v>
      </c>
      <c r="B4184" t="s">
        <v>4373</v>
      </c>
      <c r="C4184" t="str">
        <f>"9780415397803"</f>
        <v>9780415397803</v>
      </c>
      <c r="D4184" t="str">
        <f>"9780203934333"</f>
        <v>9780203934333</v>
      </c>
      <c r="E4184" t="s">
        <v>15</v>
      </c>
      <c r="F4184" t="s">
        <v>16</v>
      </c>
      <c r="G4184" s="1">
        <v>39426</v>
      </c>
      <c r="H4184" s="1">
        <v>39475</v>
      </c>
      <c r="I4184" t="s">
        <v>12</v>
      </c>
      <c r="J4184" t="s">
        <v>14954</v>
      </c>
    </row>
    <row r="4185" spans="1:10" x14ac:dyDescent="0.25">
      <c r="A4185">
        <v>325063</v>
      </c>
      <c r="B4185" t="s">
        <v>4374</v>
      </c>
      <c r="C4185" t="str">
        <f>"9780415398428"</f>
        <v>9780415398428</v>
      </c>
      <c r="D4185" t="str">
        <f>"9780203935170"</f>
        <v>9780203935170</v>
      </c>
      <c r="E4185" t="s">
        <v>15</v>
      </c>
      <c r="F4185" t="s">
        <v>16</v>
      </c>
      <c r="G4185" s="1">
        <v>39427</v>
      </c>
      <c r="H4185" s="1">
        <v>39470</v>
      </c>
      <c r="I4185" t="s">
        <v>12</v>
      </c>
      <c r="J4185" t="s">
        <v>14955</v>
      </c>
    </row>
    <row r="4186" spans="1:10" x14ac:dyDescent="0.25">
      <c r="A4186">
        <v>325065</v>
      </c>
      <c r="B4186" t="s">
        <v>4375</v>
      </c>
      <c r="C4186" t="str">
        <f>"9780415397896"</f>
        <v>9780415397896</v>
      </c>
      <c r="D4186" t="str">
        <f>"9780203939383"</f>
        <v>9780203939383</v>
      </c>
      <c r="E4186" t="s">
        <v>15</v>
      </c>
      <c r="F4186" t="s">
        <v>16</v>
      </c>
      <c r="G4186" s="1">
        <v>39443</v>
      </c>
      <c r="H4186" s="1">
        <v>39470</v>
      </c>
      <c r="I4186" t="s">
        <v>12</v>
      </c>
      <c r="J4186" t="s">
        <v>14956</v>
      </c>
    </row>
    <row r="4187" spans="1:10" x14ac:dyDescent="0.25">
      <c r="A4187">
        <v>325066</v>
      </c>
      <c r="B4187" t="s">
        <v>4376</v>
      </c>
      <c r="C4187" t="str">
        <f>"9780415944229"</f>
        <v>9780415944229</v>
      </c>
      <c r="D4187" t="str">
        <f>"9780203934005"</f>
        <v>9780203934005</v>
      </c>
      <c r="E4187" t="s">
        <v>15</v>
      </c>
      <c r="F4187" t="s">
        <v>16</v>
      </c>
      <c r="G4187" s="1">
        <v>39366</v>
      </c>
      <c r="H4187" s="1">
        <v>39470</v>
      </c>
      <c r="I4187" t="s">
        <v>12</v>
      </c>
      <c r="J4187" t="s">
        <v>14957</v>
      </c>
    </row>
    <row r="4188" spans="1:10" x14ac:dyDescent="0.25">
      <c r="A4188">
        <v>325067</v>
      </c>
      <c r="B4188" t="s">
        <v>4377</v>
      </c>
      <c r="C4188" t="str">
        <f>"9780415396387"</f>
        <v>9780415396387</v>
      </c>
      <c r="D4188" t="str">
        <f>"9780203934234"</f>
        <v>9780203934234</v>
      </c>
      <c r="E4188" t="s">
        <v>15</v>
      </c>
      <c r="F4188" t="s">
        <v>16</v>
      </c>
      <c r="G4188" s="1">
        <v>39428</v>
      </c>
      <c r="H4188" s="1">
        <v>39475</v>
      </c>
      <c r="I4188" t="s">
        <v>12</v>
      </c>
      <c r="J4188" t="s">
        <v>14958</v>
      </c>
    </row>
    <row r="4189" spans="1:10" x14ac:dyDescent="0.25">
      <c r="A4189">
        <v>325068</v>
      </c>
      <c r="B4189" t="s">
        <v>4378</v>
      </c>
      <c r="C4189" t="str">
        <f>"9780415961011"</f>
        <v>9780415961011</v>
      </c>
      <c r="D4189" t="str">
        <f>"9780203934548"</f>
        <v>9780203934548</v>
      </c>
      <c r="E4189" t="s">
        <v>15</v>
      </c>
      <c r="F4189" t="s">
        <v>16</v>
      </c>
      <c r="G4189" s="1">
        <v>39379</v>
      </c>
      <c r="H4189" s="1">
        <v>39470</v>
      </c>
      <c r="I4189" t="s">
        <v>12</v>
      </c>
      <c r="J4189" t="s">
        <v>14959</v>
      </c>
    </row>
    <row r="4190" spans="1:10" x14ac:dyDescent="0.25">
      <c r="A4190">
        <v>325069</v>
      </c>
      <c r="B4190" t="s">
        <v>4379</v>
      </c>
      <c r="C4190" t="str">
        <f>"9780415974684"</f>
        <v>9780415974684</v>
      </c>
      <c r="D4190" t="str">
        <f>"9780203935163"</f>
        <v>9780203935163</v>
      </c>
      <c r="E4190" t="s">
        <v>15</v>
      </c>
      <c r="F4190" t="s">
        <v>16</v>
      </c>
      <c r="G4190" s="1">
        <v>39384</v>
      </c>
      <c r="H4190" s="1">
        <v>39475</v>
      </c>
      <c r="I4190" t="s">
        <v>12</v>
      </c>
      <c r="J4190" t="s">
        <v>14960</v>
      </c>
    </row>
    <row r="4191" spans="1:10" x14ac:dyDescent="0.25">
      <c r="A4191">
        <v>325071</v>
      </c>
      <c r="B4191" t="s">
        <v>4380</v>
      </c>
      <c r="C4191" t="str">
        <f>"9780415980357"</f>
        <v>9780415980357</v>
      </c>
      <c r="D4191" t="str">
        <f>"9780203935514"</f>
        <v>9780203935514</v>
      </c>
      <c r="E4191" t="s">
        <v>15</v>
      </c>
      <c r="F4191" t="s">
        <v>16</v>
      </c>
      <c r="G4191" s="1">
        <v>39385</v>
      </c>
      <c r="H4191" s="1">
        <v>39475</v>
      </c>
      <c r="I4191" t="s">
        <v>12</v>
      </c>
      <c r="J4191" t="s">
        <v>14961</v>
      </c>
    </row>
    <row r="4192" spans="1:10" x14ac:dyDescent="0.25">
      <c r="A4192">
        <v>325073</v>
      </c>
      <c r="B4192" t="s">
        <v>4381</v>
      </c>
      <c r="C4192" t="str">
        <f>"9780415404266"</f>
        <v>9780415404266</v>
      </c>
      <c r="D4192" t="str">
        <f>"9780203934319"</f>
        <v>9780203934319</v>
      </c>
      <c r="E4192" t="s">
        <v>15</v>
      </c>
      <c r="F4192" t="s">
        <v>16</v>
      </c>
      <c r="G4192" s="1">
        <v>39415</v>
      </c>
      <c r="H4192" s="1">
        <v>39475</v>
      </c>
      <c r="I4192" t="s">
        <v>12</v>
      </c>
      <c r="J4192" t="s">
        <v>14962</v>
      </c>
    </row>
    <row r="4193" spans="1:10" x14ac:dyDescent="0.25">
      <c r="A4193">
        <v>325078</v>
      </c>
      <c r="B4193" t="s">
        <v>4382</v>
      </c>
      <c r="C4193" t="str">
        <f>"9780415436793"</f>
        <v>9780415436793</v>
      </c>
      <c r="D4193" t="str">
        <f>"9780203939727"</f>
        <v>9780203939727</v>
      </c>
      <c r="E4193" t="s">
        <v>15</v>
      </c>
      <c r="F4193" t="s">
        <v>139</v>
      </c>
      <c r="G4193" s="1">
        <v>39423</v>
      </c>
      <c r="H4193" s="1">
        <v>39470</v>
      </c>
      <c r="I4193" t="s">
        <v>12</v>
      </c>
      <c r="J4193" t="s">
        <v>14963</v>
      </c>
    </row>
    <row r="4194" spans="1:10" x14ac:dyDescent="0.25">
      <c r="A4194">
        <v>325079</v>
      </c>
      <c r="B4194" t="s">
        <v>4383</v>
      </c>
      <c r="C4194" t="str">
        <f>"9780415324960"</f>
        <v>9780415324960</v>
      </c>
      <c r="D4194" t="str">
        <f>"9780203358085"</f>
        <v>9780203358085</v>
      </c>
      <c r="E4194" t="s">
        <v>15</v>
      </c>
      <c r="F4194" t="s">
        <v>16</v>
      </c>
      <c r="G4194" s="1">
        <v>39430</v>
      </c>
      <c r="H4194" s="1">
        <v>39475</v>
      </c>
      <c r="I4194" t="s">
        <v>12</v>
      </c>
      <c r="J4194" t="s">
        <v>14964</v>
      </c>
    </row>
    <row r="4195" spans="1:10" x14ac:dyDescent="0.25">
      <c r="A4195">
        <v>325080</v>
      </c>
      <c r="B4195" t="s">
        <v>4384</v>
      </c>
      <c r="C4195" t="str">
        <f>"9780415446860"</f>
        <v>9780415446860</v>
      </c>
      <c r="D4195" t="str">
        <f>"9780203933961"</f>
        <v>9780203933961</v>
      </c>
      <c r="E4195" t="s">
        <v>15</v>
      </c>
      <c r="F4195" t="s">
        <v>16</v>
      </c>
      <c r="G4195" s="1">
        <v>39427</v>
      </c>
      <c r="H4195" s="1">
        <v>39475</v>
      </c>
      <c r="I4195" t="s">
        <v>12</v>
      </c>
      <c r="J4195" t="s">
        <v>14965</v>
      </c>
    </row>
    <row r="4196" spans="1:10" x14ac:dyDescent="0.25">
      <c r="A4196">
        <v>325081</v>
      </c>
      <c r="B4196" t="s">
        <v>4385</v>
      </c>
      <c r="C4196" t="str">
        <f>"9780415448895"</f>
        <v>9780415448895</v>
      </c>
      <c r="D4196" t="str">
        <f>"9780203936016"</f>
        <v>9780203936016</v>
      </c>
      <c r="E4196" t="s">
        <v>15</v>
      </c>
      <c r="F4196" t="s">
        <v>16</v>
      </c>
      <c r="G4196" s="1">
        <v>39423</v>
      </c>
      <c r="H4196" s="1">
        <v>41877</v>
      </c>
      <c r="I4196" t="s">
        <v>12</v>
      </c>
      <c r="J4196" t="s">
        <v>14966</v>
      </c>
    </row>
    <row r="4197" spans="1:10" x14ac:dyDescent="0.25">
      <c r="A4197">
        <v>325086</v>
      </c>
      <c r="B4197" t="s">
        <v>4386</v>
      </c>
      <c r="C4197" t="str">
        <f>"9780415956338"</f>
        <v>9780415956338</v>
      </c>
      <c r="D4197" t="str">
        <f>"9780203935897"</f>
        <v>9780203935897</v>
      </c>
      <c r="E4197" t="s">
        <v>15</v>
      </c>
      <c r="F4197" t="s">
        <v>16</v>
      </c>
      <c r="G4197" s="1">
        <v>39371</v>
      </c>
      <c r="H4197" s="1">
        <v>39475</v>
      </c>
      <c r="I4197" t="s">
        <v>12</v>
      </c>
      <c r="J4197" t="s">
        <v>14967</v>
      </c>
    </row>
    <row r="4198" spans="1:10" x14ac:dyDescent="0.25">
      <c r="A4198">
        <v>325087</v>
      </c>
      <c r="B4198" t="s">
        <v>4387</v>
      </c>
      <c r="C4198" t="str">
        <f>"9780415958493"</f>
        <v>9780415958493</v>
      </c>
      <c r="D4198" t="str">
        <f>"9780203935132"</f>
        <v>9780203935132</v>
      </c>
      <c r="E4198" t="s">
        <v>15</v>
      </c>
      <c r="F4198" t="s">
        <v>16</v>
      </c>
      <c r="G4198" s="1">
        <v>39525</v>
      </c>
      <c r="H4198" s="1">
        <v>39475</v>
      </c>
      <c r="I4198" t="s">
        <v>12</v>
      </c>
      <c r="J4198" t="s">
        <v>14968</v>
      </c>
    </row>
    <row r="4199" spans="1:10" x14ac:dyDescent="0.25">
      <c r="A4199">
        <v>325091</v>
      </c>
      <c r="B4199" t="s">
        <v>4388</v>
      </c>
      <c r="C4199" t="str">
        <f>"9780415436144"</f>
        <v>9780415436144</v>
      </c>
      <c r="D4199" t="str">
        <f>"9780203940532"</f>
        <v>9780203940532</v>
      </c>
      <c r="E4199" t="s">
        <v>15</v>
      </c>
      <c r="F4199" t="s">
        <v>16</v>
      </c>
      <c r="G4199" s="1">
        <v>39387</v>
      </c>
      <c r="H4199" s="1">
        <v>39470</v>
      </c>
      <c r="I4199" t="s">
        <v>12</v>
      </c>
      <c r="J4199" t="s">
        <v>14969</v>
      </c>
    </row>
    <row r="4200" spans="1:10" x14ac:dyDescent="0.25">
      <c r="A4200">
        <v>325093</v>
      </c>
      <c r="B4200" t="s">
        <v>4389</v>
      </c>
      <c r="C4200" t="str">
        <f>"9780415773003"</f>
        <v>9780415773003</v>
      </c>
      <c r="D4200" t="str">
        <f>"9780203933589"</f>
        <v>9780203933589</v>
      </c>
      <c r="E4200" t="s">
        <v>15</v>
      </c>
      <c r="F4200" t="s">
        <v>16</v>
      </c>
      <c r="G4200" s="1">
        <v>39427</v>
      </c>
      <c r="H4200" s="1">
        <v>41877</v>
      </c>
      <c r="I4200" t="s">
        <v>12</v>
      </c>
      <c r="J4200" t="s">
        <v>14970</v>
      </c>
    </row>
    <row r="4201" spans="1:10" x14ac:dyDescent="0.25">
      <c r="A4201">
        <v>325094</v>
      </c>
      <c r="B4201" t="s">
        <v>4390</v>
      </c>
      <c r="C4201" t="str">
        <f>"9780415955775"</f>
        <v>9780415955775</v>
      </c>
      <c r="D4201" t="str">
        <f>"9780203933626"</f>
        <v>9780203933626</v>
      </c>
      <c r="E4201" t="s">
        <v>15</v>
      </c>
      <c r="F4201" t="s">
        <v>16</v>
      </c>
      <c r="G4201" s="1">
        <v>39386</v>
      </c>
      <c r="H4201" s="1">
        <v>39475</v>
      </c>
      <c r="I4201" t="s">
        <v>12</v>
      </c>
      <c r="J4201" t="s">
        <v>14971</v>
      </c>
    </row>
    <row r="4202" spans="1:10" x14ac:dyDescent="0.25">
      <c r="A4202">
        <v>325095</v>
      </c>
      <c r="B4202" t="s">
        <v>4391</v>
      </c>
      <c r="C4202" t="str">
        <f>"9780415410922"</f>
        <v>9780415410922</v>
      </c>
      <c r="D4202" t="str">
        <f>"9780203933619"</f>
        <v>9780203933619</v>
      </c>
      <c r="E4202" t="s">
        <v>15</v>
      </c>
      <c r="F4202" t="s">
        <v>16</v>
      </c>
      <c r="G4202" s="1">
        <v>39433</v>
      </c>
      <c r="H4202" s="1">
        <v>39475</v>
      </c>
      <c r="I4202" t="s">
        <v>12</v>
      </c>
      <c r="J4202" t="s">
        <v>14972</v>
      </c>
    </row>
    <row r="4203" spans="1:10" x14ac:dyDescent="0.25">
      <c r="A4203">
        <v>325096</v>
      </c>
      <c r="B4203" t="s">
        <v>4392</v>
      </c>
      <c r="C4203" t="str">
        <f>"9780415962155"</f>
        <v>9780415962155</v>
      </c>
      <c r="D4203" t="str">
        <f>"9780203935651"</f>
        <v>9780203935651</v>
      </c>
      <c r="E4203" t="s">
        <v>15</v>
      </c>
      <c r="F4203" t="s">
        <v>16</v>
      </c>
      <c r="G4203" s="1">
        <v>39356</v>
      </c>
      <c r="H4203" s="1">
        <v>39470</v>
      </c>
      <c r="I4203" t="s">
        <v>12</v>
      </c>
      <c r="J4203" t="s">
        <v>14973</v>
      </c>
    </row>
    <row r="4204" spans="1:10" x14ac:dyDescent="0.25">
      <c r="A4204">
        <v>325101</v>
      </c>
      <c r="B4204" t="s">
        <v>4393</v>
      </c>
      <c r="C4204" t="str">
        <f>"9780415437684"</f>
        <v>9780415437684</v>
      </c>
      <c r="D4204" t="str">
        <f>"9780203932292"</f>
        <v>9780203932292</v>
      </c>
      <c r="E4204" t="s">
        <v>4274</v>
      </c>
      <c r="F4204" t="s">
        <v>4274</v>
      </c>
      <c r="G4204" s="1">
        <v>39412</v>
      </c>
      <c r="H4204" s="1">
        <v>39475</v>
      </c>
      <c r="I4204" t="s">
        <v>12</v>
      </c>
      <c r="J4204" t="s">
        <v>14974</v>
      </c>
    </row>
    <row r="4205" spans="1:10" x14ac:dyDescent="0.25">
      <c r="A4205">
        <v>325102</v>
      </c>
      <c r="B4205" t="s">
        <v>4394</v>
      </c>
      <c r="C4205" t="str">
        <f>"9780415432733"</f>
        <v>9780415432733</v>
      </c>
      <c r="D4205" t="str">
        <f>"9780203931899"</f>
        <v>9780203931899</v>
      </c>
      <c r="E4205" t="s">
        <v>16</v>
      </c>
      <c r="F4205" t="s">
        <v>16</v>
      </c>
      <c r="G4205" s="1">
        <v>39317</v>
      </c>
      <c r="H4205" s="1">
        <v>39475</v>
      </c>
      <c r="I4205" t="s">
        <v>12</v>
      </c>
      <c r="J4205" t="s">
        <v>14975</v>
      </c>
    </row>
    <row r="4206" spans="1:10" x14ac:dyDescent="0.25">
      <c r="A4206">
        <v>325105</v>
      </c>
      <c r="B4206" t="s">
        <v>4395</v>
      </c>
      <c r="C4206" t="str">
        <f>"9780415434249"</f>
        <v>9780415434249</v>
      </c>
      <c r="D4206" t="str">
        <f>"9780203933480"</f>
        <v>9780203933480</v>
      </c>
      <c r="E4206" t="s">
        <v>15</v>
      </c>
      <c r="F4206" t="s">
        <v>16</v>
      </c>
      <c r="G4206" s="1">
        <v>39385</v>
      </c>
      <c r="H4206" s="1">
        <v>39475</v>
      </c>
      <c r="I4206" t="s">
        <v>12</v>
      </c>
      <c r="J4206" t="s">
        <v>14976</v>
      </c>
    </row>
    <row r="4207" spans="1:10" x14ac:dyDescent="0.25">
      <c r="A4207">
        <v>325109</v>
      </c>
      <c r="B4207" t="s">
        <v>4396</v>
      </c>
      <c r="C4207" t="str">
        <f>"9780415354042"</f>
        <v>9780415354042</v>
      </c>
      <c r="D4207" t="str">
        <f>"9780203000526"</f>
        <v>9780203000526</v>
      </c>
      <c r="E4207" t="s">
        <v>15</v>
      </c>
      <c r="F4207" t="s">
        <v>16</v>
      </c>
      <c r="G4207" s="1">
        <v>39430</v>
      </c>
      <c r="H4207" s="1">
        <v>39471</v>
      </c>
      <c r="I4207" t="s">
        <v>12</v>
      </c>
      <c r="J4207" t="s">
        <v>14977</v>
      </c>
    </row>
    <row r="4208" spans="1:10" x14ac:dyDescent="0.25">
      <c r="A4208">
        <v>325110</v>
      </c>
      <c r="B4208" t="s">
        <v>4397</v>
      </c>
      <c r="C4208" t="str">
        <f>"9780415426015"</f>
        <v>9780415426015</v>
      </c>
      <c r="D4208" t="str">
        <f>"9780203933879"</f>
        <v>9780203933879</v>
      </c>
      <c r="E4208" t="s">
        <v>15</v>
      </c>
      <c r="F4208" t="s">
        <v>16</v>
      </c>
      <c r="G4208" s="1">
        <v>39373</v>
      </c>
      <c r="H4208" s="1">
        <v>39471</v>
      </c>
      <c r="I4208" t="s">
        <v>12</v>
      </c>
      <c r="J4208" t="s">
        <v>14978</v>
      </c>
    </row>
    <row r="4209" spans="1:10" x14ac:dyDescent="0.25">
      <c r="A4209">
        <v>325111</v>
      </c>
      <c r="B4209" t="s">
        <v>4398</v>
      </c>
      <c r="C4209" t="str">
        <f>"9780415411165"</f>
        <v>9780415411165</v>
      </c>
      <c r="D4209" t="str">
        <f>"9780203934296"</f>
        <v>9780203934296</v>
      </c>
      <c r="E4209" t="s">
        <v>15</v>
      </c>
      <c r="F4209" t="s">
        <v>16</v>
      </c>
      <c r="G4209" s="1">
        <v>39414</v>
      </c>
      <c r="H4209" s="1">
        <v>41877</v>
      </c>
      <c r="I4209" t="s">
        <v>12</v>
      </c>
      <c r="J4209" t="s">
        <v>14979</v>
      </c>
    </row>
    <row r="4210" spans="1:10" x14ac:dyDescent="0.25">
      <c r="A4210">
        <v>325114</v>
      </c>
      <c r="B4210" t="s">
        <v>4399</v>
      </c>
      <c r="C4210" t="str">
        <f>"9780415433747"</f>
        <v>9780415433747</v>
      </c>
      <c r="D4210" t="str">
        <f>"9780203946442"</f>
        <v>9780203946442</v>
      </c>
      <c r="E4210" t="s">
        <v>15</v>
      </c>
      <c r="F4210" t="s">
        <v>16</v>
      </c>
      <c r="G4210" s="1">
        <v>39427</v>
      </c>
      <c r="H4210" s="1">
        <v>39475</v>
      </c>
      <c r="I4210" t="s">
        <v>12</v>
      </c>
      <c r="J4210" t="s">
        <v>14980</v>
      </c>
    </row>
    <row r="4211" spans="1:10" x14ac:dyDescent="0.25">
      <c r="A4211">
        <v>325119</v>
      </c>
      <c r="B4211" t="s">
        <v>4400</v>
      </c>
      <c r="C4211" t="str">
        <f>"9780415416634"</f>
        <v>9780415416634</v>
      </c>
      <c r="D4211" t="str">
        <f>"9780203939352"</f>
        <v>9780203939352</v>
      </c>
      <c r="E4211" t="s">
        <v>15</v>
      </c>
      <c r="F4211" t="s">
        <v>16</v>
      </c>
      <c r="G4211" s="1">
        <v>39427</v>
      </c>
      <c r="H4211" s="1">
        <v>39524</v>
      </c>
      <c r="I4211" t="s">
        <v>12</v>
      </c>
      <c r="J4211" t="s">
        <v>14981</v>
      </c>
    </row>
    <row r="4212" spans="1:10" x14ac:dyDescent="0.25">
      <c r="A4212">
        <v>325120</v>
      </c>
      <c r="B4212" t="s">
        <v>4401</v>
      </c>
      <c r="C4212" t="str">
        <f>"9780415401654"</f>
        <v>9780415401654</v>
      </c>
      <c r="D4212" t="str">
        <f>"9780203935804"</f>
        <v>9780203935804</v>
      </c>
      <c r="E4212" t="s">
        <v>15</v>
      </c>
      <c r="F4212" t="s">
        <v>16</v>
      </c>
      <c r="G4212" s="1">
        <v>39426</v>
      </c>
      <c r="H4212" s="1">
        <v>39471</v>
      </c>
      <c r="I4212" t="s">
        <v>12</v>
      </c>
      <c r="J4212" t="s">
        <v>14982</v>
      </c>
    </row>
    <row r="4213" spans="1:10" x14ac:dyDescent="0.25">
      <c r="A4213">
        <v>325121</v>
      </c>
      <c r="B4213" t="s">
        <v>4402</v>
      </c>
      <c r="C4213" t="str">
        <f>"9780415339933"</f>
        <v>9780415339933</v>
      </c>
      <c r="D4213" t="str">
        <f>"9781134298730"</f>
        <v>9781134298730</v>
      </c>
      <c r="E4213" t="s">
        <v>15</v>
      </c>
      <c r="F4213" t="s">
        <v>16</v>
      </c>
      <c r="G4213" s="1">
        <v>39423</v>
      </c>
      <c r="H4213" s="1">
        <v>42334</v>
      </c>
      <c r="I4213" t="s">
        <v>12</v>
      </c>
      <c r="J4213" t="s">
        <v>14983</v>
      </c>
    </row>
    <row r="4214" spans="1:10" x14ac:dyDescent="0.25">
      <c r="A4214">
        <v>325124</v>
      </c>
      <c r="B4214" t="s">
        <v>4403</v>
      </c>
      <c r="C4214" t="str">
        <f>"9780714656069"</f>
        <v>9780714656069</v>
      </c>
      <c r="D4214" t="str">
        <f>"9780203336205"</f>
        <v>9780203336205</v>
      </c>
      <c r="E4214" t="s">
        <v>15</v>
      </c>
      <c r="F4214" t="s">
        <v>16</v>
      </c>
      <c r="G4214" s="1">
        <v>39430</v>
      </c>
      <c r="H4214" s="1">
        <v>39475</v>
      </c>
      <c r="I4214" t="s">
        <v>12</v>
      </c>
      <c r="J4214" t="s">
        <v>14984</v>
      </c>
    </row>
    <row r="4215" spans="1:10" x14ac:dyDescent="0.25">
      <c r="A4215">
        <v>325125</v>
      </c>
      <c r="B4215" t="s">
        <v>4404</v>
      </c>
      <c r="C4215" t="str">
        <f>"9780415366502"</f>
        <v>9780415366502</v>
      </c>
      <c r="D4215" t="str">
        <f>"9780203019177"</f>
        <v>9780203019177</v>
      </c>
      <c r="E4215" t="s">
        <v>16</v>
      </c>
      <c r="F4215" t="s">
        <v>16</v>
      </c>
      <c r="G4215" s="1">
        <v>39430</v>
      </c>
      <c r="H4215" s="1">
        <v>39471</v>
      </c>
      <c r="I4215" t="s">
        <v>12</v>
      </c>
      <c r="J4215" t="s">
        <v>14985</v>
      </c>
    </row>
    <row r="4216" spans="1:10" x14ac:dyDescent="0.25">
      <c r="A4216">
        <v>325128</v>
      </c>
      <c r="B4216" t="s">
        <v>4405</v>
      </c>
      <c r="C4216" t="str">
        <f>"9780415423328"</f>
        <v>9780415423328</v>
      </c>
      <c r="D4216" t="str">
        <f>"9780203934098"</f>
        <v>9780203934098</v>
      </c>
      <c r="E4216" t="s">
        <v>15</v>
      </c>
      <c r="F4216" t="s">
        <v>16</v>
      </c>
      <c r="G4216" s="1">
        <v>39414</v>
      </c>
      <c r="H4216" s="1">
        <v>39471</v>
      </c>
      <c r="I4216" t="s">
        <v>12</v>
      </c>
      <c r="J4216" t="s">
        <v>14986</v>
      </c>
    </row>
    <row r="4217" spans="1:10" x14ac:dyDescent="0.25">
      <c r="A4217">
        <v>325129</v>
      </c>
      <c r="B4217" t="s">
        <v>4406</v>
      </c>
      <c r="C4217" t="str">
        <f>"9780415437820"</f>
        <v>9780415437820</v>
      </c>
      <c r="D4217" t="str">
        <f>"9780203935316"</f>
        <v>9780203935316</v>
      </c>
      <c r="E4217" t="s">
        <v>15</v>
      </c>
      <c r="F4217" t="s">
        <v>16</v>
      </c>
      <c r="G4217" s="1">
        <v>39433</v>
      </c>
      <c r="H4217" s="1">
        <v>39475</v>
      </c>
      <c r="I4217" t="s">
        <v>12</v>
      </c>
      <c r="J4217" t="s">
        <v>14987</v>
      </c>
    </row>
    <row r="4218" spans="1:10" x14ac:dyDescent="0.25">
      <c r="A4218">
        <v>325130</v>
      </c>
      <c r="B4218" t="s">
        <v>4407</v>
      </c>
      <c r="C4218" t="str">
        <f>"9780415955867"</f>
        <v>9780415955867</v>
      </c>
      <c r="D4218" t="str">
        <f>"9780203931912"</f>
        <v>9780203931912</v>
      </c>
      <c r="E4218" t="s">
        <v>15</v>
      </c>
      <c r="F4218" t="s">
        <v>16</v>
      </c>
      <c r="G4218" s="1">
        <v>39357</v>
      </c>
      <c r="H4218" s="1">
        <v>39475</v>
      </c>
      <c r="I4218" t="s">
        <v>12</v>
      </c>
      <c r="J4218" t="s">
        <v>14988</v>
      </c>
    </row>
    <row r="4219" spans="1:10" x14ac:dyDescent="0.25">
      <c r="A4219">
        <v>325134</v>
      </c>
      <c r="B4219" t="s">
        <v>4408</v>
      </c>
      <c r="C4219" t="str">
        <f>"9780415430340"</f>
        <v>9780415430340</v>
      </c>
      <c r="D4219" t="str">
        <f>"9780203935521"</f>
        <v>9780203935521</v>
      </c>
      <c r="E4219" t="s">
        <v>15</v>
      </c>
      <c r="F4219" t="s">
        <v>16</v>
      </c>
      <c r="G4219" s="1">
        <v>39430</v>
      </c>
      <c r="H4219" s="1">
        <v>39475</v>
      </c>
      <c r="I4219" t="s">
        <v>12</v>
      </c>
      <c r="J4219" t="s">
        <v>14989</v>
      </c>
    </row>
    <row r="4220" spans="1:10" x14ac:dyDescent="0.25">
      <c r="A4220">
        <v>325135</v>
      </c>
      <c r="B4220" t="s">
        <v>4409</v>
      </c>
      <c r="C4220" t="str">
        <f>"9780415422369"</f>
        <v>9780415422369</v>
      </c>
      <c r="D4220" t="str">
        <f>"9780203936474"</f>
        <v>9780203936474</v>
      </c>
      <c r="E4220" t="s">
        <v>15</v>
      </c>
      <c r="F4220" t="s">
        <v>16</v>
      </c>
      <c r="G4220" s="1">
        <v>39423</v>
      </c>
      <c r="H4220" s="1">
        <v>39471</v>
      </c>
      <c r="I4220" t="s">
        <v>12</v>
      </c>
      <c r="J4220" t="s">
        <v>14990</v>
      </c>
    </row>
    <row r="4221" spans="1:10" x14ac:dyDescent="0.25">
      <c r="A4221">
        <v>325148</v>
      </c>
      <c r="B4221" t="s">
        <v>4410</v>
      </c>
      <c r="C4221" t="str">
        <f>"9780415422659"</f>
        <v>9780415422659</v>
      </c>
      <c r="D4221" t="str">
        <f>"9780203935828"</f>
        <v>9780203935828</v>
      </c>
      <c r="E4221" t="s">
        <v>15</v>
      </c>
      <c r="F4221" t="s">
        <v>16</v>
      </c>
      <c r="G4221" s="1">
        <v>39442</v>
      </c>
      <c r="H4221" s="1">
        <v>39471</v>
      </c>
      <c r="I4221" t="s">
        <v>12</v>
      </c>
      <c r="J4221" t="s">
        <v>14991</v>
      </c>
    </row>
    <row r="4222" spans="1:10" x14ac:dyDescent="0.25">
      <c r="A4222">
        <v>325151</v>
      </c>
      <c r="B4222" t="s">
        <v>4411</v>
      </c>
      <c r="C4222" t="str">
        <f>"9780415334532"</f>
        <v>9780415334532</v>
      </c>
      <c r="D4222" t="str">
        <f>"9780203371084"</f>
        <v>9780203371084</v>
      </c>
      <c r="E4222" t="s">
        <v>15</v>
      </c>
      <c r="F4222" t="s">
        <v>16</v>
      </c>
      <c r="G4222" s="1">
        <v>39442</v>
      </c>
      <c r="H4222" s="1">
        <v>39471</v>
      </c>
      <c r="I4222" t="s">
        <v>12</v>
      </c>
      <c r="J4222" t="s">
        <v>14992</v>
      </c>
    </row>
    <row r="4223" spans="1:10" x14ac:dyDescent="0.25">
      <c r="A4223">
        <v>325159</v>
      </c>
      <c r="B4223" t="s">
        <v>4412</v>
      </c>
      <c r="C4223" t="str">
        <f>"9780415423458"</f>
        <v>9780415423458</v>
      </c>
      <c r="D4223" t="str">
        <f>"9780203933794"</f>
        <v>9780203933794</v>
      </c>
      <c r="E4223" t="s">
        <v>15</v>
      </c>
      <c r="F4223" t="s">
        <v>16</v>
      </c>
      <c r="G4223" s="1">
        <v>39427</v>
      </c>
      <c r="H4223" s="1">
        <v>39471</v>
      </c>
      <c r="I4223" t="s">
        <v>12</v>
      </c>
      <c r="J4223" t="s">
        <v>14993</v>
      </c>
    </row>
    <row r="4224" spans="1:10" x14ac:dyDescent="0.25">
      <c r="A4224">
        <v>325161</v>
      </c>
      <c r="B4224" t="s">
        <v>4413</v>
      </c>
      <c r="C4224" t="str">
        <f>"9780419217008"</f>
        <v>9780419217008</v>
      </c>
      <c r="D4224" t="str">
        <f>"9780203936894"</f>
        <v>9780203936894</v>
      </c>
      <c r="E4224" t="s">
        <v>144</v>
      </c>
      <c r="F4224" t="s">
        <v>16</v>
      </c>
      <c r="G4224" s="1">
        <v>39436</v>
      </c>
      <c r="H4224" s="1">
        <v>39471</v>
      </c>
      <c r="I4224" t="s">
        <v>12</v>
      </c>
      <c r="J4224" t="s">
        <v>14994</v>
      </c>
    </row>
    <row r="4225" spans="1:10" x14ac:dyDescent="0.25">
      <c r="A4225">
        <v>325167</v>
      </c>
      <c r="B4225" t="s">
        <v>73</v>
      </c>
      <c r="C4225" t="str">
        <f>"9780415415446"</f>
        <v>9780415415446</v>
      </c>
      <c r="D4225" t="str">
        <f>"9780203933787"</f>
        <v>9780203933787</v>
      </c>
      <c r="E4225" t="s">
        <v>15</v>
      </c>
      <c r="F4225" t="s">
        <v>16</v>
      </c>
      <c r="G4225" s="1">
        <v>39391</v>
      </c>
      <c r="H4225" s="1">
        <v>39471</v>
      </c>
      <c r="I4225" t="s">
        <v>12</v>
      </c>
      <c r="J4225" t="s">
        <v>14995</v>
      </c>
    </row>
    <row r="4226" spans="1:10" x14ac:dyDescent="0.25">
      <c r="A4226">
        <v>325169</v>
      </c>
      <c r="B4226" t="s">
        <v>4414</v>
      </c>
      <c r="C4226" t="str">
        <f>"9780415963770"</f>
        <v>9780415963770</v>
      </c>
      <c r="D4226" t="str">
        <f>"9780203937785"</f>
        <v>9780203937785</v>
      </c>
      <c r="E4226" t="s">
        <v>15</v>
      </c>
      <c r="F4226" t="s">
        <v>16</v>
      </c>
      <c r="G4226" s="1">
        <v>39525</v>
      </c>
      <c r="H4226" s="1">
        <v>39471</v>
      </c>
      <c r="I4226" t="s">
        <v>12</v>
      </c>
      <c r="J4226" t="s">
        <v>14996</v>
      </c>
    </row>
    <row r="4227" spans="1:10" x14ac:dyDescent="0.25">
      <c r="A4227">
        <v>325170</v>
      </c>
      <c r="B4227" t="s">
        <v>4415</v>
      </c>
      <c r="C4227" t="str">
        <f>"9780415320153"</f>
        <v>9780415320153</v>
      </c>
      <c r="D4227" t="str">
        <f>"9780203967614"</f>
        <v>9780203967614</v>
      </c>
      <c r="E4227" t="s">
        <v>15</v>
      </c>
      <c r="F4227" t="s">
        <v>16</v>
      </c>
      <c r="G4227" s="1">
        <v>39433</v>
      </c>
      <c r="H4227" s="1">
        <v>39471</v>
      </c>
      <c r="I4227" t="s">
        <v>12</v>
      </c>
      <c r="J4227" t="s">
        <v>14997</v>
      </c>
    </row>
    <row r="4228" spans="1:10" x14ac:dyDescent="0.25">
      <c r="A4228">
        <v>325176</v>
      </c>
      <c r="B4228" t="s">
        <v>4416</v>
      </c>
      <c r="C4228" t="str">
        <f>"9780415412940"</f>
        <v>9780415412940</v>
      </c>
      <c r="D4228" t="str">
        <f>"9780203936061"</f>
        <v>9780203936061</v>
      </c>
      <c r="E4228" t="s">
        <v>15</v>
      </c>
      <c r="F4228" t="s">
        <v>16</v>
      </c>
      <c r="G4228" s="1">
        <v>39433</v>
      </c>
      <c r="H4228" s="1">
        <v>41877</v>
      </c>
      <c r="I4228" t="s">
        <v>12</v>
      </c>
      <c r="J4228" t="s">
        <v>14998</v>
      </c>
    </row>
    <row r="4229" spans="1:10" x14ac:dyDescent="0.25">
      <c r="A4229">
        <v>325180</v>
      </c>
      <c r="B4229" t="s">
        <v>4417</v>
      </c>
      <c r="C4229" t="str">
        <f>"9780415406307"</f>
        <v>9780415406307</v>
      </c>
      <c r="D4229" t="str">
        <f>"9780203937556"</f>
        <v>9780203937556</v>
      </c>
      <c r="E4229" t="s">
        <v>144</v>
      </c>
      <c r="F4229" t="s">
        <v>144</v>
      </c>
      <c r="G4229" s="1">
        <v>39373</v>
      </c>
      <c r="H4229" s="1">
        <v>39471</v>
      </c>
      <c r="I4229" t="s">
        <v>12</v>
      </c>
      <c r="J4229" t="s">
        <v>14999</v>
      </c>
    </row>
    <row r="4230" spans="1:10" x14ac:dyDescent="0.25">
      <c r="A4230">
        <v>325181</v>
      </c>
      <c r="B4230" t="s">
        <v>4418</v>
      </c>
      <c r="C4230" t="str">
        <f>"9780415433754"</f>
        <v>9780415433754</v>
      </c>
      <c r="D4230" t="str">
        <f>"9780203946374"</f>
        <v>9780203946374</v>
      </c>
      <c r="E4230" t="s">
        <v>15</v>
      </c>
      <c r="F4230" t="s">
        <v>16</v>
      </c>
      <c r="G4230" s="1">
        <v>39441</v>
      </c>
      <c r="H4230" s="1">
        <v>39475</v>
      </c>
      <c r="I4230" t="s">
        <v>12</v>
      </c>
      <c r="J4230" t="s">
        <v>15000</v>
      </c>
    </row>
    <row r="4231" spans="1:10" x14ac:dyDescent="0.25">
      <c r="A4231">
        <v>325183</v>
      </c>
      <c r="B4231" t="s">
        <v>4419</v>
      </c>
      <c r="C4231" t="str">
        <f>"9780415979849"</f>
        <v>9780415979849</v>
      </c>
      <c r="D4231" t="str">
        <f>"9780203934999"</f>
        <v>9780203934999</v>
      </c>
      <c r="E4231" t="s">
        <v>15</v>
      </c>
      <c r="F4231" t="s">
        <v>16</v>
      </c>
      <c r="G4231" s="1">
        <v>39386</v>
      </c>
      <c r="H4231" s="1">
        <v>39471</v>
      </c>
      <c r="I4231" t="s">
        <v>12</v>
      </c>
      <c r="J4231" t="s">
        <v>15001</v>
      </c>
    </row>
    <row r="4232" spans="1:10" x14ac:dyDescent="0.25">
      <c r="A4232">
        <v>325184</v>
      </c>
      <c r="B4232" t="s">
        <v>4420</v>
      </c>
      <c r="C4232" t="str">
        <f>"9780415428910"</f>
        <v>9780415428910</v>
      </c>
      <c r="D4232" t="str">
        <f>"9780203933954"</f>
        <v>9780203933954</v>
      </c>
      <c r="E4232" t="s">
        <v>15</v>
      </c>
      <c r="F4232" t="s">
        <v>16</v>
      </c>
      <c r="G4232" s="1">
        <v>39441</v>
      </c>
      <c r="H4232" s="1">
        <v>39475</v>
      </c>
      <c r="I4232" t="s">
        <v>12</v>
      </c>
      <c r="J4232" t="s">
        <v>15002</v>
      </c>
    </row>
    <row r="4233" spans="1:10" x14ac:dyDescent="0.25">
      <c r="A4233">
        <v>325185</v>
      </c>
      <c r="B4233" t="s">
        <v>4421</v>
      </c>
      <c r="C4233" t="str">
        <f>"9780415388450"</f>
        <v>9780415388450</v>
      </c>
      <c r="D4233" t="str">
        <f>"9780203086117"</f>
        <v>9780203086117</v>
      </c>
      <c r="E4233" t="s">
        <v>15</v>
      </c>
      <c r="F4233" t="s">
        <v>16</v>
      </c>
      <c r="G4233" s="1">
        <v>39436</v>
      </c>
      <c r="H4233" s="1">
        <v>39471</v>
      </c>
      <c r="I4233" t="s">
        <v>12</v>
      </c>
      <c r="J4233" t="s">
        <v>15003</v>
      </c>
    </row>
    <row r="4234" spans="1:10" x14ac:dyDescent="0.25">
      <c r="A4234">
        <v>325187</v>
      </c>
      <c r="B4234" t="s">
        <v>4422</v>
      </c>
      <c r="C4234" t="str">
        <f>"9780415447089"</f>
        <v>9780415447089</v>
      </c>
      <c r="D4234" t="str">
        <f>"9780203935767"</f>
        <v>9780203935767</v>
      </c>
      <c r="E4234" t="s">
        <v>15</v>
      </c>
      <c r="F4234" t="s">
        <v>16</v>
      </c>
      <c r="G4234" s="1">
        <v>39429</v>
      </c>
      <c r="H4234" s="1">
        <v>39475</v>
      </c>
      <c r="I4234" t="s">
        <v>12</v>
      </c>
      <c r="J4234" t="s">
        <v>15004</v>
      </c>
    </row>
    <row r="4235" spans="1:10" x14ac:dyDescent="0.25">
      <c r="A4235">
        <v>325194</v>
      </c>
      <c r="B4235" t="s">
        <v>4423</v>
      </c>
      <c r="C4235" t="str">
        <f>"9780415438001"</f>
        <v>9780415438001</v>
      </c>
      <c r="D4235" t="str">
        <f>"9780203938584"</f>
        <v>9780203938584</v>
      </c>
      <c r="E4235" t="s">
        <v>15</v>
      </c>
      <c r="F4235" t="s">
        <v>16</v>
      </c>
      <c r="G4235" s="1">
        <v>39436</v>
      </c>
      <c r="H4235" s="1">
        <v>39475</v>
      </c>
      <c r="I4235" t="s">
        <v>12</v>
      </c>
      <c r="J4235" t="s">
        <v>15005</v>
      </c>
    </row>
    <row r="4236" spans="1:10" x14ac:dyDescent="0.25">
      <c r="A4236">
        <v>325198</v>
      </c>
      <c r="B4236" t="s">
        <v>4424</v>
      </c>
      <c r="C4236" t="str">
        <f>"9780415421133"</f>
        <v>9780415421133</v>
      </c>
      <c r="D4236" t="str">
        <f>"9780203944691"</f>
        <v>9780203944691</v>
      </c>
      <c r="E4236" t="s">
        <v>15</v>
      </c>
      <c r="F4236" t="s">
        <v>16</v>
      </c>
      <c r="G4236" s="1">
        <v>39437</v>
      </c>
      <c r="H4236" s="1">
        <v>39471</v>
      </c>
      <c r="I4236" t="s">
        <v>12</v>
      </c>
      <c r="J4236" t="s">
        <v>15006</v>
      </c>
    </row>
    <row r="4237" spans="1:10" x14ac:dyDescent="0.25">
      <c r="A4237">
        <v>325199</v>
      </c>
      <c r="B4237" t="s">
        <v>4425</v>
      </c>
      <c r="C4237" t="str">
        <f>"9780415365185"</f>
        <v>9780415365185</v>
      </c>
      <c r="D4237" t="str">
        <f>"9780203016589"</f>
        <v>9780203016589</v>
      </c>
      <c r="E4237" t="s">
        <v>15</v>
      </c>
      <c r="F4237" t="s">
        <v>16</v>
      </c>
      <c r="G4237" s="1">
        <v>25927</v>
      </c>
      <c r="H4237" s="1">
        <v>39471</v>
      </c>
      <c r="I4237" t="s">
        <v>12</v>
      </c>
      <c r="J4237" t="s">
        <v>15007</v>
      </c>
    </row>
    <row r="4238" spans="1:10" x14ac:dyDescent="0.25">
      <c r="A4238">
        <v>325209</v>
      </c>
      <c r="B4238" t="s">
        <v>4426</v>
      </c>
      <c r="C4238" t="str">
        <f>"9780415423656"</f>
        <v>9780415423656</v>
      </c>
      <c r="D4238" t="str">
        <f>"9780203935798"</f>
        <v>9780203935798</v>
      </c>
      <c r="E4238" t="s">
        <v>15</v>
      </c>
      <c r="F4238" t="s">
        <v>16</v>
      </c>
      <c r="G4238" s="1">
        <v>39356</v>
      </c>
      <c r="H4238" s="1">
        <v>39471</v>
      </c>
      <c r="I4238" t="s">
        <v>12</v>
      </c>
      <c r="J4238" t="s">
        <v>15008</v>
      </c>
    </row>
    <row r="4239" spans="1:10" x14ac:dyDescent="0.25">
      <c r="A4239">
        <v>325214</v>
      </c>
      <c r="B4239" t="s">
        <v>4427</v>
      </c>
      <c r="C4239" t="str">
        <f>"9780415407656"</f>
        <v>9780415407656</v>
      </c>
      <c r="D4239" t="str">
        <f>"9780203931936"</f>
        <v>9780203931936</v>
      </c>
      <c r="E4239" t="s">
        <v>15</v>
      </c>
      <c r="F4239" t="s">
        <v>16</v>
      </c>
      <c r="G4239" s="1">
        <v>39353</v>
      </c>
      <c r="H4239" s="1">
        <v>39471</v>
      </c>
      <c r="I4239" t="s">
        <v>12</v>
      </c>
      <c r="J4239" t="s">
        <v>15009</v>
      </c>
    </row>
    <row r="4240" spans="1:10" x14ac:dyDescent="0.25">
      <c r="A4240">
        <v>325216</v>
      </c>
      <c r="B4240" t="s">
        <v>4428</v>
      </c>
      <c r="C4240" t="str">
        <f>"9780415314367"</f>
        <v>9780415314367</v>
      </c>
      <c r="D4240" t="str">
        <f>"9780203932759"</f>
        <v>9780203932759</v>
      </c>
      <c r="E4240" t="s">
        <v>15</v>
      </c>
      <c r="F4240" t="s">
        <v>16</v>
      </c>
      <c r="G4240" s="1">
        <v>39367</v>
      </c>
      <c r="H4240" s="1">
        <v>39471</v>
      </c>
      <c r="I4240" t="s">
        <v>12</v>
      </c>
      <c r="J4240" t="s">
        <v>15010</v>
      </c>
    </row>
    <row r="4241" spans="1:10" x14ac:dyDescent="0.25">
      <c r="A4241">
        <v>325218</v>
      </c>
      <c r="B4241" t="s">
        <v>4429</v>
      </c>
      <c r="C4241" t="str">
        <f>"9780415941907"</f>
        <v>9780415941907</v>
      </c>
      <c r="D4241" t="str">
        <f>"9780203944714"</f>
        <v>9780203944714</v>
      </c>
      <c r="E4241" t="s">
        <v>15</v>
      </c>
      <c r="F4241" t="s">
        <v>16</v>
      </c>
      <c r="G4241" s="1">
        <v>39385</v>
      </c>
      <c r="H4241" s="1">
        <v>39471</v>
      </c>
      <c r="I4241" t="s">
        <v>12</v>
      </c>
      <c r="J4241" t="s">
        <v>15011</v>
      </c>
    </row>
    <row r="4242" spans="1:10" x14ac:dyDescent="0.25">
      <c r="A4242">
        <v>325238</v>
      </c>
      <c r="B4242" t="s">
        <v>4430</v>
      </c>
      <c r="C4242" t="str">
        <f>"9780415447096"</f>
        <v>9780415447096</v>
      </c>
      <c r="D4242" t="str">
        <f>"9780203937204"</f>
        <v>9780203937204</v>
      </c>
      <c r="E4242" t="s">
        <v>4274</v>
      </c>
      <c r="F4242" t="s">
        <v>4274</v>
      </c>
      <c r="G4242" s="1">
        <v>39471</v>
      </c>
      <c r="H4242" s="1">
        <v>39471</v>
      </c>
      <c r="I4242" t="s">
        <v>12</v>
      </c>
      <c r="J4242" t="s">
        <v>15012</v>
      </c>
    </row>
    <row r="4243" spans="1:10" x14ac:dyDescent="0.25">
      <c r="A4243">
        <v>325241</v>
      </c>
      <c r="B4243" t="s">
        <v>4431</v>
      </c>
      <c r="C4243" t="str">
        <f>"9780415417273"</f>
        <v>9780415417273</v>
      </c>
      <c r="D4243" t="str">
        <f>"9780203936023"</f>
        <v>9780203936023</v>
      </c>
      <c r="E4243" t="s">
        <v>15</v>
      </c>
      <c r="F4243" t="s">
        <v>16</v>
      </c>
      <c r="G4243" s="1">
        <v>39429</v>
      </c>
      <c r="H4243" s="1">
        <v>41877</v>
      </c>
      <c r="I4243" t="s">
        <v>12</v>
      </c>
      <c r="J4243" t="s">
        <v>15013</v>
      </c>
    </row>
    <row r="4244" spans="1:10" x14ac:dyDescent="0.25">
      <c r="A4244">
        <v>325242</v>
      </c>
      <c r="B4244" t="s">
        <v>4432</v>
      </c>
      <c r="C4244" t="str">
        <f>"9780415369268"</f>
        <v>9780415369268</v>
      </c>
      <c r="D4244" t="str">
        <f>"9780203029459"</f>
        <v>9780203029459</v>
      </c>
      <c r="E4244" t="s">
        <v>15</v>
      </c>
      <c r="F4244" t="s">
        <v>16</v>
      </c>
      <c r="G4244" s="1">
        <v>38961</v>
      </c>
      <c r="H4244" s="1">
        <v>39471</v>
      </c>
      <c r="I4244" t="s">
        <v>12</v>
      </c>
      <c r="J4244" t="s">
        <v>15014</v>
      </c>
    </row>
    <row r="4245" spans="1:10" x14ac:dyDescent="0.25">
      <c r="A4245">
        <v>325246</v>
      </c>
      <c r="B4245" t="s">
        <v>4433</v>
      </c>
      <c r="C4245" t="str">
        <f>"9780415440189"</f>
        <v>9780415440189</v>
      </c>
      <c r="D4245" t="str">
        <f>"9780203938539"</f>
        <v>9780203938539</v>
      </c>
      <c r="E4245" t="s">
        <v>144</v>
      </c>
      <c r="F4245" t="s">
        <v>144</v>
      </c>
      <c r="G4245" s="1">
        <v>39399</v>
      </c>
      <c r="H4245" s="1">
        <v>39471</v>
      </c>
      <c r="I4245" t="s">
        <v>12</v>
      </c>
      <c r="J4245" t="s">
        <v>15015</v>
      </c>
    </row>
    <row r="4246" spans="1:10" x14ac:dyDescent="0.25">
      <c r="A4246">
        <v>325254</v>
      </c>
      <c r="B4246" t="s">
        <v>4434</v>
      </c>
      <c r="C4246" t="str">
        <f>"9780415353878"</f>
        <v>9780415353878</v>
      </c>
      <c r="D4246" t="str">
        <f>"9780203347485"</f>
        <v>9780203347485</v>
      </c>
      <c r="E4246" t="s">
        <v>15</v>
      </c>
      <c r="F4246" t="s">
        <v>16</v>
      </c>
      <c r="G4246" s="1">
        <v>39419</v>
      </c>
      <c r="H4246" s="1">
        <v>39471</v>
      </c>
      <c r="I4246" t="s">
        <v>12</v>
      </c>
      <c r="J4246" t="s">
        <v>15016</v>
      </c>
    </row>
    <row r="4247" spans="1:10" x14ac:dyDescent="0.25">
      <c r="A4247">
        <v>325256</v>
      </c>
      <c r="B4247" t="s">
        <v>4435</v>
      </c>
      <c r="C4247" t="str">
        <f>"9780415773034"</f>
        <v>9780415773034</v>
      </c>
      <c r="D4247" t="str">
        <f>"9780203935736"</f>
        <v>9780203935736</v>
      </c>
      <c r="E4247" t="s">
        <v>15</v>
      </c>
      <c r="F4247" t="s">
        <v>16</v>
      </c>
      <c r="G4247" s="1">
        <v>39479</v>
      </c>
      <c r="H4247" s="1">
        <v>39471</v>
      </c>
      <c r="I4247" t="s">
        <v>12</v>
      </c>
      <c r="J4247" t="s">
        <v>15017</v>
      </c>
    </row>
    <row r="4248" spans="1:10" x14ac:dyDescent="0.25">
      <c r="A4248">
        <v>325257</v>
      </c>
      <c r="B4248" t="s">
        <v>4436</v>
      </c>
      <c r="C4248" t="str">
        <f>"9780415774161"</f>
        <v>9780415774161</v>
      </c>
      <c r="D4248" t="str">
        <f>"9780203938102"</f>
        <v>9780203938102</v>
      </c>
      <c r="E4248" t="s">
        <v>15</v>
      </c>
      <c r="F4248" t="s">
        <v>16</v>
      </c>
      <c r="G4248" s="1">
        <v>39471</v>
      </c>
      <c r="H4248" s="1">
        <v>39471</v>
      </c>
      <c r="I4248" t="s">
        <v>12</v>
      </c>
      <c r="J4248" t="s">
        <v>15018</v>
      </c>
    </row>
    <row r="4249" spans="1:10" x14ac:dyDescent="0.25">
      <c r="A4249">
        <v>325259</v>
      </c>
      <c r="B4249" t="s">
        <v>4437</v>
      </c>
      <c r="C4249" t="str">
        <f>"9780415385824"</f>
        <v>9780415385824</v>
      </c>
      <c r="D4249" t="str">
        <f>"9780203964293"</f>
        <v>9780203964293</v>
      </c>
      <c r="E4249" t="s">
        <v>144</v>
      </c>
      <c r="F4249" t="s">
        <v>139</v>
      </c>
      <c r="G4249" s="1">
        <v>39414</v>
      </c>
      <c r="H4249" s="1">
        <v>39471</v>
      </c>
      <c r="I4249" t="s">
        <v>12</v>
      </c>
      <c r="J4249" t="s">
        <v>15019</v>
      </c>
    </row>
    <row r="4250" spans="1:10" x14ac:dyDescent="0.25">
      <c r="A4250">
        <v>325260</v>
      </c>
      <c r="B4250" t="s">
        <v>4438</v>
      </c>
      <c r="C4250" t="str">
        <f>"9780415418669"</f>
        <v>9780415418669</v>
      </c>
      <c r="D4250" t="str">
        <f>"9780203935934"</f>
        <v>9780203935934</v>
      </c>
      <c r="E4250" t="s">
        <v>15</v>
      </c>
      <c r="F4250" t="s">
        <v>139</v>
      </c>
      <c r="G4250" s="1">
        <v>39476</v>
      </c>
      <c r="H4250" s="1">
        <v>39471</v>
      </c>
      <c r="I4250" t="s">
        <v>12</v>
      </c>
      <c r="J4250" t="s">
        <v>15020</v>
      </c>
    </row>
    <row r="4251" spans="1:10" x14ac:dyDescent="0.25">
      <c r="A4251">
        <v>325264</v>
      </c>
      <c r="B4251" t="s">
        <v>4439</v>
      </c>
      <c r="C4251" t="str">
        <f>"9781844721054"</f>
        <v>9781844721054</v>
      </c>
      <c r="D4251" t="str">
        <f>"9780203940440"</f>
        <v>9780203940440</v>
      </c>
      <c r="E4251" t="s">
        <v>15</v>
      </c>
      <c r="F4251" t="s">
        <v>1019</v>
      </c>
      <c r="G4251" s="1">
        <v>39340</v>
      </c>
      <c r="H4251" s="1">
        <v>39471</v>
      </c>
      <c r="I4251" t="s">
        <v>12</v>
      </c>
      <c r="J4251" t="s">
        <v>15021</v>
      </c>
    </row>
    <row r="4252" spans="1:10" x14ac:dyDescent="0.25">
      <c r="A4252">
        <v>325265</v>
      </c>
      <c r="B4252" t="s">
        <v>4440</v>
      </c>
      <c r="C4252" t="str">
        <f>"9780415416153"</f>
        <v>9780415416153</v>
      </c>
      <c r="D4252" t="str">
        <f>"9780203935323"</f>
        <v>9780203935323</v>
      </c>
      <c r="E4252" t="s">
        <v>15</v>
      </c>
      <c r="F4252" t="s">
        <v>16</v>
      </c>
      <c r="G4252" s="1">
        <v>39429</v>
      </c>
      <c r="H4252" s="1">
        <v>39471</v>
      </c>
      <c r="I4252" t="s">
        <v>12</v>
      </c>
      <c r="J4252" t="s">
        <v>15022</v>
      </c>
    </row>
    <row r="4253" spans="1:10" x14ac:dyDescent="0.25">
      <c r="A4253">
        <v>325266</v>
      </c>
      <c r="B4253" t="s">
        <v>4441</v>
      </c>
      <c r="C4253" t="str">
        <f>"9780415412001"</f>
        <v>9780415412001</v>
      </c>
      <c r="D4253" t="str">
        <f>"9780203937594"</f>
        <v>9780203937594</v>
      </c>
      <c r="E4253" t="s">
        <v>15</v>
      </c>
      <c r="F4253" t="s">
        <v>16</v>
      </c>
      <c r="G4253" s="1">
        <v>39454</v>
      </c>
      <c r="H4253" s="1">
        <v>39471</v>
      </c>
      <c r="I4253" t="s">
        <v>12</v>
      </c>
      <c r="J4253" t="s">
        <v>15023</v>
      </c>
    </row>
    <row r="4254" spans="1:10" x14ac:dyDescent="0.25">
      <c r="A4254">
        <v>325268</v>
      </c>
      <c r="B4254" t="s">
        <v>4442</v>
      </c>
      <c r="C4254" t="str">
        <f>"9780415280693"</f>
        <v>9780415280693</v>
      </c>
      <c r="D4254" t="str">
        <f>"9780203936122"</f>
        <v>9780203936122</v>
      </c>
      <c r="E4254" t="s">
        <v>15</v>
      </c>
      <c r="F4254" t="s">
        <v>16</v>
      </c>
      <c r="G4254" s="1">
        <v>39264</v>
      </c>
      <c r="H4254" s="1">
        <v>39476</v>
      </c>
      <c r="I4254" t="s">
        <v>12</v>
      </c>
      <c r="J4254" t="s">
        <v>15024</v>
      </c>
    </row>
    <row r="4255" spans="1:10" x14ac:dyDescent="0.25">
      <c r="A4255">
        <v>325271</v>
      </c>
      <c r="B4255" t="s">
        <v>4443</v>
      </c>
      <c r="C4255" t="str">
        <f>"9780415090049"</f>
        <v>9780415090049</v>
      </c>
      <c r="D4255" t="str">
        <f>"9780203936214"</f>
        <v>9780203936214</v>
      </c>
      <c r="E4255" t="s">
        <v>15</v>
      </c>
      <c r="F4255" t="s">
        <v>16</v>
      </c>
      <c r="G4255" s="1">
        <v>39475</v>
      </c>
      <c r="H4255" s="1">
        <v>39471</v>
      </c>
      <c r="I4255" t="s">
        <v>12</v>
      </c>
      <c r="J4255" t="s">
        <v>15025</v>
      </c>
    </row>
    <row r="4256" spans="1:10" x14ac:dyDescent="0.25">
      <c r="A4256">
        <v>325282</v>
      </c>
      <c r="B4256" t="s">
        <v>4444</v>
      </c>
      <c r="C4256" t="str">
        <f>"9780415391214"</f>
        <v>9780415391214</v>
      </c>
      <c r="D4256" t="str">
        <f>"9780203086599"</f>
        <v>9780203086599</v>
      </c>
      <c r="E4256" t="s">
        <v>16</v>
      </c>
      <c r="F4256" t="s">
        <v>16</v>
      </c>
      <c r="G4256" s="1">
        <v>39355</v>
      </c>
      <c r="H4256" s="1">
        <v>39485</v>
      </c>
      <c r="I4256" t="s">
        <v>12</v>
      </c>
      <c r="J4256" t="s">
        <v>15026</v>
      </c>
    </row>
    <row r="4257" spans="1:10" x14ac:dyDescent="0.25">
      <c r="A4257">
        <v>325283</v>
      </c>
      <c r="B4257" t="s">
        <v>4445</v>
      </c>
      <c r="C4257" t="str">
        <f>"9780415383653"</f>
        <v>9780415383653</v>
      </c>
      <c r="D4257" t="str">
        <f>"9780203099643"</f>
        <v>9780203099643</v>
      </c>
      <c r="E4257" t="s">
        <v>15</v>
      </c>
      <c r="F4257" t="s">
        <v>16</v>
      </c>
      <c r="G4257" s="1">
        <v>39427</v>
      </c>
      <c r="H4257" s="1">
        <v>39471</v>
      </c>
      <c r="I4257" t="s">
        <v>12</v>
      </c>
      <c r="J4257" t="s">
        <v>15027</v>
      </c>
    </row>
    <row r="4258" spans="1:10" x14ac:dyDescent="0.25">
      <c r="A4258">
        <v>325289</v>
      </c>
      <c r="B4258" t="s">
        <v>4446</v>
      </c>
      <c r="C4258" t="str">
        <f>"9780415431224"</f>
        <v>9780415431224</v>
      </c>
      <c r="D4258" t="str">
        <f>"9780203934364"</f>
        <v>9780203934364</v>
      </c>
      <c r="E4258" t="s">
        <v>15</v>
      </c>
      <c r="F4258" t="s">
        <v>16</v>
      </c>
      <c r="G4258" s="1">
        <v>39478</v>
      </c>
      <c r="H4258" s="1">
        <v>39471</v>
      </c>
      <c r="I4258" t="s">
        <v>12</v>
      </c>
      <c r="J4258" t="s">
        <v>15028</v>
      </c>
    </row>
    <row r="4259" spans="1:10" x14ac:dyDescent="0.25">
      <c r="A4259">
        <v>325293</v>
      </c>
      <c r="B4259" t="s">
        <v>4447</v>
      </c>
      <c r="C4259" t="str">
        <f>"9780415371445"</f>
        <v>9780415371445</v>
      </c>
      <c r="D4259" t="str">
        <f>"9780203938041"</f>
        <v>9780203938041</v>
      </c>
      <c r="E4259" t="s">
        <v>15</v>
      </c>
      <c r="F4259" t="s">
        <v>16</v>
      </c>
      <c r="G4259" s="1">
        <v>39416</v>
      </c>
      <c r="H4259" s="1">
        <v>39471</v>
      </c>
      <c r="I4259" t="s">
        <v>12</v>
      </c>
      <c r="J4259" t="s">
        <v>15029</v>
      </c>
    </row>
    <row r="4260" spans="1:10" x14ac:dyDescent="0.25">
      <c r="A4260">
        <v>325294</v>
      </c>
      <c r="B4260" t="s">
        <v>4448</v>
      </c>
      <c r="C4260" t="str">
        <f>"9780415442473"</f>
        <v>9780415442473</v>
      </c>
      <c r="D4260" t="str">
        <f>"9780203936573"</f>
        <v>9780203936573</v>
      </c>
      <c r="E4260" t="s">
        <v>15</v>
      </c>
      <c r="F4260" t="s">
        <v>16</v>
      </c>
      <c r="G4260" s="1">
        <v>39429</v>
      </c>
      <c r="H4260" s="1">
        <v>39471</v>
      </c>
      <c r="I4260" t="s">
        <v>12</v>
      </c>
      <c r="J4260" t="s">
        <v>15030</v>
      </c>
    </row>
    <row r="4261" spans="1:10" x14ac:dyDescent="0.25">
      <c r="A4261">
        <v>325297</v>
      </c>
      <c r="B4261" t="s">
        <v>4449</v>
      </c>
      <c r="C4261" t="str">
        <f>"9780415365512"</f>
        <v>9780415365512</v>
      </c>
      <c r="D4261" t="str">
        <f>"9780203017388"</f>
        <v>9780203017388</v>
      </c>
      <c r="E4261" t="s">
        <v>15</v>
      </c>
      <c r="F4261" t="s">
        <v>16</v>
      </c>
      <c r="G4261" s="1">
        <v>39478</v>
      </c>
      <c r="H4261" s="1">
        <v>39471</v>
      </c>
      <c r="I4261" t="s">
        <v>12</v>
      </c>
      <c r="J4261" t="s">
        <v>15031</v>
      </c>
    </row>
    <row r="4262" spans="1:10" x14ac:dyDescent="0.25">
      <c r="A4262">
        <v>325301</v>
      </c>
      <c r="B4262" t="s">
        <v>4450</v>
      </c>
      <c r="C4262" t="str">
        <f>"9780415419963"</f>
        <v>9780415419963</v>
      </c>
      <c r="D4262" t="str">
        <f>"9780203937631"</f>
        <v>9780203937631</v>
      </c>
      <c r="E4262" t="s">
        <v>15</v>
      </c>
      <c r="F4262" t="s">
        <v>16</v>
      </c>
      <c r="G4262" s="1">
        <v>39435</v>
      </c>
      <c r="H4262" s="1">
        <v>39471</v>
      </c>
      <c r="I4262" t="s">
        <v>12</v>
      </c>
      <c r="J4262" t="s">
        <v>15032</v>
      </c>
    </row>
    <row r="4263" spans="1:10" x14ac:dyDescent="0.25">
      <c r="A4263">
        <v>325308</v>
      </c>
      <c r="B4263" t="s">
        <v>4451</v>
      </c>
      <c r="C4263" t="str">
        <f>"9780415412117"</f>
        <v>9780415412117</v>
      </c>
      <c r="D4263" t="str">
        <f>"9780203934289"</f>
        <v>9780203934289</v>
      </c>
      <c r="E4263" t="s">
        <v>15</v>
      </c>
      <c r="F4263" t="s">
        <v>16</v>
      </c>
      <c r="G4263" s="1">
        <v>39355</v>
      </c>
      <c r="H4263" s="1">
        <v>39471</v>
      </c>
      <c r="I4263" t="s">
        <v>12</v>
      </c>
      <c r="J4263" t="s">
        <v>15033</v>
      </c>
    </row>
    <row r="4264" spans="1:10" x14ac:dyDescent="0.25">
      <c r="A4264">
        <v>325311</v>
      </c>
      <c r="B4264" t="s">
        <v>4452</v>
      </c>
      <c r="C4264" t="str">
        <f>"9780415360951"</f>
        <v>9780415360951</v>
      </c>
      <c r="D4264" t="str">
        <f>"9780203008492"</f>
        <v>9780203008492</v>
      </c>
      <c r="E4264" t="s">
        <v>15</v>
      </c>
      <c r="F4264" t="s">
        <v>16</v>
      </c>
      <c r="G4264" s="1">
        <v>39188</v>
      </c>
      <c r="H4264" s="1">
        <v>39471</v>
      </c>
      <c r="I4264" t="s">
        <v>12</v>
      </c>
      <c r="J4264" t="s">
        <v>15034</v>
      </c>
    </row>
    <row r="4265" spans="1:10" x14ac:dyDescent="0.25">
      <c r="A4265">
        <v>325312</v>
      </c>
      <c r="B4265" t="s">
        <v>4453</v>
      </c>
      <c r="C4265" t="str">
        <f>"9780415981040"</f>
        <v>9780415981040</v>
      </c>
      <c r="D4265" t="str">
        <f>"9780203939833"</f>
        <v>9780203939833</v>
      </c>
      <c r="E4265" t="s">
        <v>15</v>
      </c>
      <c r="F4265" t="s">
        <v>16</v>
      </c>
      <c r="G4265" s="1">
        <v>39304</v>
      </c>
      <c r="H4265" s="1">
        <v>39471</v>
      </c>
      <c r="I4265" t="s">
        <v>12</v>
      </c>
      <c r="J4265" t="s">
        <v>15035</v>
      </c>
    </row>
    <row r="4266" spans="1:10" x14ac:dyDescent="0.25">
      <c r="A4266">
        <v>325314</v>
      </c>
      <c r="B4266" t="s">
        <v>4454</v>
      </c>
      <c r="C4266" t="str">
        <f>"9780415960922"</f>
        <v>9780415960922</v>
      </c>
      <c r="D4266" t="str">
        <f>"9780203932513"</f>
        <v>9780203932513</v>
      </c>
      <c r="E4266" t="s">
        <v>15</v>
      </c>
      <c r="F4266" t="s">
        <v>16</v>
      </c>
      <c r="G4266" s="1">
        <v>39339</v>
      </c>
      <c r="H4266" s="1">
        <v>39471</v>
      </c>
      <c r="I4266" t="s">
        <v>12</v>
      </c>
      <c r="J4266" t="s">
        <v>15036</v>
      </c>
    </row>
    <row r="4267" spans="1:10" x14ac:dyDescent="0.25">
      <c r="A4267">
        <v>325325</v>
      </c>
      <c r="B4267" t="s">
        <v>4455</v>
      </c>
      <c r="C4267" t="str">
        <f>"9780415955843"</f>
        <v>9780415955843</v>
      </c>
      <c r="D4267" t="str">
        <f>"9780203942185"</f>
        <v>9780203942185</v>
      </c>
      <c r="E4267" t="s">
        <v>15</v>
      </c>
      <c r="F4267" t="s">
        <v>16</v>
      </c>
      <c r="G4267" s="1">
        <v>39289</v>
      </c>
      <c r="H4267" s="1">
        <v>39471</v>
      </c>
      <c r="I4267" t="s">
        <v>12</v>
      </c>
      <c r="J4267" t="s">
        <v>15037</v>
      </c>
    </row>
    <row r="4268" spans="1:10" x14ac:dyDescent="0.25">
      <c r="A4268">
        <v>325351</v>
      </c>
      <c r="B4268" t="s">
        <v>4456</v>
      </c>
      <c r="C4268" t="str">
        <f>"9780415428521"</f>
        <v>9780415428521</v>
      </c>
      <c r="D4268" t="str">
        <f>"9780203937372"</f>
        <v>9780203937372</v>
      </c>
      <c r="E4268" t="s">
        <v>15</v>
      </c>
      <c r="F4268" t="s">
        <v>16</v>
      </c>
      <c r="G4268" s="1">
        <v>39472</v>
      </c>
      <c r="H4268" s="1">
        <v>39471</v>
      </c>
      <c r="I4268" t="s">
        <v>12</v>
      </c>
      <c r="J4268" t="s">
        <v>15038</v>
      </c>
    </row>
    <row r="4269" spans="1:10" x14ac:dyDescent="0.25">
      <c r="A4269">
        <v>325352</v>
      </c>
      <c r="B4269" t="s">
        <v>4457</v>
      </c>
      <c r="C4269" t="str">
        <f>"9780415444996"</f>
        <v>9780415444996</v>
      </c>
      <c r="D4269" t="str">
        <f>"9780203938249"</f>
        <v>9780203938249</v>
      </c>
      <c r="E4269" t="s">
        <v>15</v>
      </c>
      <c r="F4269" t="s">
        <v>16</v>
      </c>
      <c r="G4269" s="1">
        <v>39454</v>
      </c>
      <c r="H4269" s="1">
        <v>39471</v>
      </c>
      <c r="I4269" t="s">
        <v>12</v>
      </c>
      <c r="J4269" t="s">
        <v>15039</v>
      </c>
    </row>
    <row r="4270" spans="1:10" x14ac:dyDescent="0.25">
      <c r="A4270">
        <v>325353</v>
      </c>
      <c r="B4270" t="s">
        <v>4458</v>
      </c>
      <c r="C4270" t="str">
        <f>"9780415372183"</f>
        <v>9780415372183</v>
      </c>
      <c r="D4270" t="str">
        <f>"9780203932636"</f>
        <v>9780203932636</v>
      </c>
      <c r="E4270" t="s">
        <v>15</v>
      </c>
      <c r="F4270" t="s">
        <v>16</v>
      </c>
      <c r="G4270" s="1">
        <v>39493</v>
      </c>
      <c r="H4270" s="1">
        <v>39471</v>
      </c>
      <c r="I4270" t="s">
        <v>12</v>
      </c>
      <c r="J4270" t="s">
        <v>15040</v>
      </c>
    </row>
    <row r="4271" spans="1:10" x14ac:dyDescent="0.25">
      <c r="A4271">
        <v>325355</v>
      </c>
      <c r="B4271" t="s">
        <v>4459</v>
      </c>
      <c r="C4271" t="str">
        <f>"9780415958165"</f>
        <v>9780415958165</v>
      </c>
      <c r="D4271" t="str">
        <f>"9780203930809"</f>
        <v>9780203930809</v>
      </c>
      <c r="E4271" t="s">
        <v>15</v>
      </c>
      <c r="F4271" t="s">
        <v>16</v>
      </c>
      <c r="G4271" s="1">
        <v>39413</v>
      </c>
      <c r="H4271" s="1">
        <v>39471</v>
      </c>
      <c r="I4271" t="s">
        <v>12</v>
      </c>
      <c r="J4271" t="s">
        <v>15041</v>
      </c>
    </row>
    <row r="4272" spans="1:10" x14ac:dyDescent="0.25">
      <c r="A4272">
        <v>325357</v>
      </c>
      <c r="B4272" t="s">
        <v>4460</v>
      </c>
      <c r="C4272" t="str">
        <f>"9780415444606"</f>
        <v>9780415444606</v>
      </c>
      <c r="D4272" t="str">
        <f>"9780203938409"</f>
        <v>9780203938409</v>
      </c>
      <c r="E4272" t="s">
        <v>15</v>
      </c>
      <c r="F4272" t="s">
        <v>16</v>
      </c>
      <c r="G4272" s="1">
        <v>39458</v>
      </c>
      <c r="H4272" s="1">
        <v>39471</v>
      </c>
      <c r="I4272" t="s">
        <v>12</v>
      </c>
      <c r="J4272" t="s">
        <v>15042</v>
      </c>
    </row>
    <row r="4273" spans="1:10" x14ac:dyDescent="0.25">
      <c r="A4273">
        <v>325363</v>
      </c>
      <c r="B4273" t="s">
        <v>4461</v>
      </c>
      <c r="C4273" t="str">
        <f>"9780415429818"</f>
        <v>9780415429818</v>
      </c>
      <c r="D4273" t="str">
        <f>"9780203937419"</f>
        <v>9780203937419</v>
      </c>
      <c r="E4273" t="s">
        <v>15</v>
      </c>
      <c r="F4273" t="s">
        <v>16</v>
      </c>
      <c r="G4273" s="1">
        <v>39429</v>
      </c>
      <c r="H4273" s="1">
        <v>39471</v>
      </c>
      <c r="I4273" t="s">
        <v>12</v>
      </c>
      <c r="J4273" t="s">
        <v>15043</v>
      </c>
    </row>
    <row r="4274" spans="1:10" x14ac:dyDescent="0.25">
      <c r="A4274">
        <v>325364</v>
      </c>
      <c r="B4274" t="s">
        <v>4462</v>
      </c>
      <c r="C4274" t="str">
        <f>"9780415447393"</f>
        <v>9780415447393</v>
      </c>
      <c r="D4274" t="str">
        <f>"9780203937952"</f>
        <v>9780203937952</v>
      </c>
      <c r="E4274" t="s">
        <v>15</v>
      </c>
      <c r="F4274" t="s">
        <v>16</v>
      </c>
      <c r="G4274" s="1">
        <v>39441</v>
      </c>
      <c r="H4274" s="1">
        <v>39471</v>
      </c>
      <c r="I4274" t="s">
        <v>12</v>
      </c>
      <c r="J4274" t="s">
        <v>15044</v>
      </c>
    </row>
    <row r="4275" spans="1:10" x14ac:dyDescent="0.25">
      <c r="A4275">
        <v>325367</v>
      </c>
      <c r="B4275" t="s">
        <v>4463</v>
      </c>
      <c r="C4275" t="str">
        <f>"9780415773386"</f>
        <v>9780415773386</v>
      </c>
      <c r="D4275" t="str">
        <f>"9780203938218"</f>
        <v>9780203938218</v>
      </c>
      <c r="E4275" t="s">
        <v>15</v>
      </c>
      <c r="F4275" t="s">
        <v>16</v>
      </c>
      <c r="G4275" s="1">
        <v>39441</v>
      </c>
      <c r="H4275" s="1">
        <v>39471</v>
      </c>
      <c r="I4275" t="s">
        <v>12</v>
      </c>
      <c r="J4275" t="s">
        <v>15045</v>
      </c>
    </row>
    <row r="4276" spans="1:10" x14ac:dyDescent="0.25">
      <c r="A4276">
        <v>325391</v>
      </c>
      <c r="B4276" t="s">
        <v>4464</v>
      </c>
      <c r="C4276" t="str">
        <f>"9780415368414"</f>
        <v>9780415368414</v>
      </c>
      <c r="D4276" t="str">
        <f>"9780203028230"</f>
        <v>9780203028230</v>
      </c>
      <c r="E4276" t="s">
        <v>15</v>
      </c>
      <c r="F4276" t="s">
        <v>16</v>
      </c>
      <c r="G4276" s="1">
        <v>39419</v>
      </c>
      <c r="H4276" s="1">
        <v>39471</v>
      </c>
      <c r="I4276" t="s">
        <v>12</v>
      </c>
      <c r="J4276" t="s">
        <v>15046</v>
      </c>
    </row>
    <row r="4277" spans="1:10" x14ac:dyDescent="0.25">
      <c r="A4277">
        <v>325392</v>
      </c>
      <c r="B4277" t="s">
        <v>4465</v>
      </c>
      <c r="C4277" t="str">
        <f>"9780415701280"</f>
        <v>9780415701280</v>
      </c>
      <c r="D4277" t="str">
        <f>"9780203799505"</f>
        <v>9780203799505</v>
      </c>
      <c r="E4277" t="s">
        <v>15</v>
      </c>
      <c r="F4277" t="s">
        <v>16</v>
      </c>
      <c r="G4277" s="1">
        <v>39438</v>
      </c>
      <c r="H4277" s="1">
        <v>39471</v>
      </c>
      <c r="I4277" t="s">
        <v>12</v>
      </c>
      <c r="J4277" t="s">
        <v>15047</v>
      </c>
    </row>
    <row r="4278" spans="1:10" x14ac:dyDescent="0.25">
      <c r="A4278">
        <v>325395</v>
      </c>
      <c r="B4278" t="s">
        <v>4466</v>
      </c>
      <c r="C4278" t="str">
        <f>"9780415446303"</f>
        <v>9780415446303</v>
      </c>
      <c r="D4278" t="str">
        <f>"9780203931981"</f>
        <v>9780203931981</v>
      </c>
      <c r="E4278" t="s">
        <v>15</v>
      </c>
      <c r="F4278" t="s">
        <v>16</v>
      </c>
      <c r="G4278" s="1">
        <v>39476</v>
      </c>
      <c r="H4278" s="1">
        <v>41878</v>
      </c>
      <c r="I4278" t="s">
        <v>12</v>
      </c>
      <c r="J4278" t="s">
        <v>15048</v>
      </c>
    </row>
    <row r="4279" spans="1:10" x14ac:dyDescent="0.25">
      <c r="A4279">
        <v>325396</v>
      </c>
      <c r="B4279" t="s">
        <v>4467</v>
      </c>
      <c r="C4279" t="str">
        <f>"9780415365055"</f>
        <v>9780415365055</v>
      </c>
      <c r="D4279" t="str">
        <f>"9780203016091"</f>
        <v>9780203016091</v>
      </c>
      <c r="E4279" t="s">
        <v>15</v>
      </c>
      <c r="F4279" t="s">
        <v>16</v>
      </c>
      <c r="G4279" s="1">
        <v>39422</v>
      </c>
      <c r="H4279" s="1">
        <v>39471</v>
      </c>
      <c r="I4279" t="s">
        <v>12</v>
      </c>
      <c r="J4279" t="s">
        <v>15049</v>
      </c>
    </row>
    <row r="4280" spans="1:10" x14ac:dyDescent="0.25">
      <c r="A4280">
        <v>325399</v>
      </c>
      <c r="B4280" t="s">
        <v>4468</v>
      </c>
      <c r="C4280" t="str">
        <f>"9780415963558"</f>
        <v>9780415963558</v>
      </c>
      <c r="D4280" t="str">
        <f>"9780203930380"</f>
        <v>9780203930380</v>
      </c>
      <c r="E4280" t="s">
        <v>15</v>
      </c>
      <c r="F4280" t="s">
        <v>16</v>
      </c>
      <c r="G4280" s="1">
        <v>39419</v>
      </c>
      <c r="H4280" s="1">
        <v>41052</v>
      </c>
      <c r="I4280" t="s">
        <v>12</v>
      </c>
      <c r="J4280" t="s">
        <v>15050</v>
      </c>
    </row>
    <row r="4281" spans="1:10" x14ac:dyDescent="0.25">
      <c r="A4281">
        <v>325400</v>
      </c>
      <c r="B4281" t="s">
        <v>4469</v>
      </c>
      <c r="C4281" t="str">
        <f>"9780415410410"</f>
        <v>9780415410410</v>
      </c>
      <c r="D4281" t="str">
        <f>"9780203927373"</f>
        <v>9780203927373</v>
      </c>
      <c r="E4281" t="s">
        <v>15</v>
      </c>
      <c r="F4281" t="s">
        <v>16</v>
      </c>
      <c r="G4281" s="1">
        <v>39525</v>
      </c>
      <c r="H4281" s="1">
        <v>39471</v>
      </c>
      <c r="I4281" t="s">
        <v>12</v>
      </c>
      <c r="J4281" t="s">
        <v>15051</v>
      </c>
    </row>
    <row r="4282" spans="1:10" x14ac:dyDescent="0.25">
      <c r="A4282">
        <v>325403</v>
      </c>
      <c r="B4282" t="s">
        <v>4470</v>
      </c>
      <c r="C4282" t="str">
        <f>"9780415409711"</f>
        <v>9780415409711</v>
      </c>
      <c r="D4282" t="str">
        <f>"9780203962480"</f>
        <v>9780203962480</v>
      </c>
      <c r="E4282" t="s">
        <v>144</v>
      </c>
      <c r="F4282" t="s">
        <v>16</v>
      </c>
      <c r="G4282" s="1">
        <v>39438</v>
      </c>
      <c r="H4282" s="1">
        <v>39471</v>
      </c>
      <c r="I4282" t="s">
        <v>12</v>
      </c>
      <c r="J4282" t="s">
        <v>15052</v>
      </c>
    </row>
    <row r="4283" spans="1:10" x14ac:dyDescent="0.25">
      <c r="A4283">
        <v>325404</v>
      </c>
      <c r="B4283" t="s">
        <v>4471</v>
      </c>
      <c r="C4283" t="str">
        <f>"9780415395472"</f>
        <v>9780415395472</v>
      </c>
      <c r="D4283" t="str">
        <f>"9780203934470"</f>
        <v>9780203934470</v>
      </c>
      <c r="E4283" t="s">
        <v>144</v>
      </c>
      <c r="F4283" t="s">
        <v>153</v>
      </c>
      <c r="G4283" s="1">
        <v>39476</v>
      </c>
      <c r="H4283" s="1">
        <v>39471</v>
      </c>
      <c r="I4283" t="s">
        <v>12</v>
      </c>
      <c r="J4283" t="s">
        <v>15053</v>
      </c>
    </row>
    <row r="4284" spans="1:10" x14ac:dyDescent="0.25">
      <c r="A4284">
        <v>325593</v>
      </c>
      <c r="B4284" t="s">
        <v>4472</v>
      </c>
      <c r="C4284" t="str">
        <f>"9783110184143"</f>
        <v>9783110184143</v>
      </c>
      <c r="D4284" t="str">
        <f>"9783110197563"</f>
        <v>9783110197563</v>
      </c>
      <c r="E4284" t="s">
        <v>2482</v>
      </c>
      <c r="F4284" t="s">
        <v>2483</v>
      </c>
      <c r="G4284" s="1">
        <v>38551</v>
      </c>
      <c r="H4284" s="1">
        <v>39555</v>
      </c>
      <c r="I4284" t="s">
        <v>12</v>
      </c>
      <c r="J4284" t="s">
        <v>15054</v>
      </c>
    </row>
    <row r="4285" spans="1:10" x14ac:dyDescent="0.25">
      <c r="A4285">
        <v>325612</v>
      </c>
      <c r="B4285" t="s">
        <v>4473</v>
      </c>
      <c r="C4285" t="str">
        <f>"9783110186031"</f>
        <v>9783110186031</v>
      </c>
      <c r="D4285" t="str">
        <f>"9783110197693"</f>
        <v>9783110197693</v>
      </c>
      <c r="E4285" t="s">
        <v>2482</v>
      </c>
      <c r="F4285" t="s">
        <v>2483</v>
      </c>
      <c r="G4285" s="1">
        <v>39037</v>
      </c>
      <c r="H4285" s="1">
        <v>39547</v>
      </c>
      <c r="I4285" t="s">
        <v>12</v>
      </c>
      <c r="J4285" t="s">
        <v>15055</v>
      </c>
    </row>
    <row r="4286" spans="1:10" x14ac:dyDescent="0.25">
      <c r="A4286">
        <v>325613</v>
      </c>
      <c r="B4286" t="s">
        <v>4474</v>
      </c>
      <c r="C4286" t="str">
        <f>"9783110198263"</f>
        <v>9783110198263</v>
      </c>
      <c r="D4286" t="str">
        <f>"9783110197709"</f>
        <v>9783110197709</v>
      </c>
      <c r="E4286" t="s">
        <v>2482</v>
      </c>
      <c r="F4286" t="s">
        <v>2483</v>
      </c>
      <c r="G4286" s="1">
        <v>39293</v>
      </c>
      <c r="H4286" s="1">
        <v>39547</v>
      </c>
      <c r="I4286" t="s">
        <v>12</v>
      </c>
      <c r="J4286" t="s">
        <v>15056</v>
      </c>
    </row>
    <row r="4287" spans="1:10" x14ac:dyDescent="0.25">
      <c r="A4287">
        <v>325614</v>
      </c>
      <c r="B4287" t="s">
        <v>4475</v>
      </c>
      <c r="C4287" t="str">
        <f>"9783110186178"</f>
        <v>9783110186178</v>
      </c>
      <c r="D4287" t="str">
        <f>"9783110197716"</f>
        <v>9783110197716</v>
      </c>
      <c r="E4287" t="s">
        <v>2482</v>
      </c>
      <c r="F4287" t="s">
        <v>2483</v>
      </c>
      <c r="G4287" s="1">
        <v>38701</v>
      </c>
      <c r="H4287" s="1">
        <v>39547</v>
      </c>
      <c r="I4287" t="s">
        <v>12</v>
      </c>
      <c r="J4287" t="s">
        <v>15057</v>
      </c>
    </row>
    <row r="4288" spans="1:10" x14ac:dyDescent="0.25">
      <c r="A4288">
        <v>325627</v>
      </c>
      <c r="B4288" t="s">
        <v>4476</v>
      </c>
      <c r="C4288" t="str">
        <f>"9783110189513"</f>
        <v>9783110189513</v>
      </c>
      <c r="D4288" t="str">
        <f>"9783110197761"</f>
        <v>9783110197761</v>
      </c>
      <c r="E4288" t="s">
        <v>2482</v>
      </c>
      <c r="F4288" t="s">
        <v>2483</v>
      </c>
      <c r="G4288" s="1">
        <v>39015</v>
      </c>
      <c r="H4288" s="1">
        <v>39547</v>
      </c>
      <c r="I4288" t="s">
        <v>12</v>
      </c>
      <c r="J4288" t="s">
        <v>15058</v>
      </c>
    </row>
    <row r="4289" spans="1:10" x14ac:dyDescent="0.25">
      <c r="A4289">
        <v>325630</v>
      </c>
      <c r="B4289" t="s">
        <v>4477</v>
      </c>
      <c r="C4289" t="str">
        <f>"9783110189681"</f>
        <v>9783110189681</v>
      </c>
      <c r="D4289" t="str">
        <f>"9783110197778"</f>
        <v>9783110197778</v>
      </c>
      <c r="E4289" t="s">
        <v>2482</v>
      </c>
      <c r="F4289" t="s">
        <v>2483</v>
      </c>
      <c r="G4289" s="1">
        <v>38950</v>
      </c>
      <c r="H4289" s="1">
        <v>39547</v>
      </c>
      <c r="I4289" t="s">
        <v>12</v>
      </c>
      <c r="J4289" t="s">
        <v>15059</v>
      </c>
    </row>
    <row r="4290" spans="1:10" x14ac:dyDescent="0.25">
      <c r="A4290">
        <v>325634</v>
      </c>
      <c r="B4290" t="s">
        <v>4478</v>
      </c>
      <c r="C4290" t="str">
        <f>"9783110190120"</f>
        <v>9783110190120</v>
      </c>
      <c r="D4290" t="str">
        <f>"9783110197808"</f>
        <v>9783110197808</v>
      </c>
      <c r="E4290" t="s">
        <v>2482</v>
      </c>
      <c r="F4290" t="s">
        <v>2483</v>
      </c>
      <c r="G4290" s="1">
        <v>38856</v>
      </c>
      <c r="H4290" s="1">
        <v>39552</v>
      </c>
      <c r="I4290" t="s">
        <v>12</v>
      </c>
      <c r="J4290" t="s">
        <v>15060</v>
      </c>
    </row>
    <row r="4291" spans="1:10" x14ac:dyDescent="0.25">
      <c r="A4291">
        <v>325635</v>
      </c>
      <c r="B4291" t="s">
        <v>4479</v>
      </c>
      <c r="C4291" t="str">
        <f>"9783110190199"</f>
        <v>9783110190199</v>
      </c>
      <c r="D4291" t="str">
        <f>"9783110197815"</f>
        <v>9783110197815</v>
      </c>
      <c r="E4291" t="s">
        <v>2482</v>
      </c>
      <c r="F4291" t="s">
        <v>2483</v>
      </c>
      <c r="G4291" s="1">
        <v>39020</v>
      </c>
      <c r="H4291" s="1">
        <v>39542</v>
      </c>
      <c r="I4291" t="s">
        <v>12</v>
      </c>
      <c r="J4291" t="s">
        <v>15061</v>
      </c>
    </row>
    <row r="4292" spans="1:10" x14ac:dyDescent="0.25">
      <c r="A4292">
        <v>325636</v>
      </c>
      <c r="B4292" t="s">
        <v>4480</v>
      </c>
      <c r="C4292" t="str">
        <f>"9783110190410"</f>
        <v>9783110190410</v>
      </c>
      <c r="D4292" t="str">
        <f>"9783110197822"</f>
        <v>9783110197822</v>
      </c>
      <c r="E4292" t="s">
        <v>2482</v>
      </c>
      <c r="F4292" t="s">
        <v>2483</v>
      </c>
      <c r="G4292" s="1">
        <v>39099</v>
      </c>
      <c r="H4292" s="1">
        <v>39552</v>
      </c>
      <c r="I4292" t="s">
        <v>12</v>
      </c>
      <c r="J4292" t="s">
        <v>15062</v>
      </c>
    </row>
    <row r="4293" spans="1:10" x14ac:dyDescent="0.25">
      <c r="A4293">
        <v>325637</v>
      </c>
      <c r="B4293" t="s">
        <v>4481</v>
      </c>
      <c r="C4293" t="str">
        <f>"9783110190434"</f>
        <v>9783110190434</v>
      </c>
      <c r="D4293" t="str">
        <f>"9783110197839"</f>
        <v>9783110197839</v>
      </c>
      <c r="E4293" t="s">
        <v>2482</v>
      </c>
      <c r="F4293" t="s">
        <v>2483</v>
      </c>
      <c r="G4293" s="1">
        <v>39132</v>
      </c>
      <c r="H4293" s="1">
        <v>39555</v>
      </c>
      <c r="I4293" t="s">
        <v>12</v>
      </c>
      <c r="J4293" t="s">
        <v>15063</v>
      </c>
    </row>
    <row r="4294" spans="1:10" x14ac:dyDescent="0.25">
      <c r="A4294">
        <v>325641</v>
      </c>
      <c r="B4294" t="s">
        <v>4482</v>
      </c>
      <c r="C4294" t="str">
        <f>"9783110190878"</f>
        <v>9783110190878</v>
      </c>
      <c r="D4294" t="str">
        <f>"9783110197860"</f>
        <v>9783110197860</v>
      </c>
      <c r="E4294" t="s">
        <v>2482</v>
      </c>
      <c r="F4294" t="s">
        <v>2483</v>
      </c>
      <c r="G4294" s="1">
        <v>39132</v>
      </c>
      <c r="H4294" s="1">
        <v>39552</v>
      </c>
      <c r="I4294" t="s">
        <v>12</v>
      </c>
      <c r="J4294" t="s">
        <v>15064</v>
      </c>
    </row>
    <row r="4295" spans="1:10" x14ac:dyDescent="0.25">
      <c r="A4295">
        <v>325650</v>
      </c>
      <c r="B4295" t="s">
        <v>4483</v>
      </c>
      <c r="C4295" t="str">
        <f>"9783110199475"</f>
        <v>9783110199475</v>
      </c>
      <c r="D4295" t="str">
        <f>"9783110200782"</f>
        <v>9783110200782</v>
      </c>
      <c r="E4295" t="s">
        <v>2482</v>
      </c>
      <c r="F4295" t="s">
        <v>2482</v>
      </c>
      <c r="G4295" s="1">
        <v>39132</v>
      </c>
      <c r="H4295" s="1">
        <v>39548</v>
      </c>
      <c r="I4295" t="s">
        <v>12</v>
      </c>
      <c r="J4295" t="s">
        <v>15065</v>
      </c>
    </row>
    <row r="4296" spans="1:10" x14ac:dyDescent="0.25">
      <c r="A4296">
        <v>325656</v>
      </c>
      <c r="B4296" t="s">
        <v>4484</v>
      </c>
      <c r="C4296" t="str">
        <f>"9783110173710"</f>
        <v>9783110173710</v>
      </c>
      <c r="D4296" t="str">
        <f>"9783110197150"</f>
        <v>9783110197150</v>
      </c>
      <c r="E4296" t="s">
        <v>2482</v>
      </c>
      <c r="F4296" t="s">
        <v>2483</v>
      </c>
      <c r="G4296" s="1">
        <v>37727</v>
      </c>
      <c r="H4296" s="1">
        <v>39505</v>
      </c>
      <c r="I4296" t="s">
        <v>12</v>
      </c>
      <c r="J4296" t="s">
        <v>15066</v>
      </c>
    </row>
    <row r="4297" spans="1:10" x14ac:dyDescent="0.25">
      <c r="A4297">
        <v>325676</v>
      </c>
      <c r="B4297" t="s">
        <v>4485</v>
      </c>
      <c r="C4297" t="str">
        <f>"9783110177893"</f>
        <v>9783110177893</v>
      </c>
      <c r="D4297" t="str">
        <f>"9783110200904"</f>
        <v>9783110200904</v>
      </c>
      <c r="E4297" t="s">
        <v>2482</v>
      </c>
      <c r="F4297" t="s">
        <v>2482</v>
      </c>
      <c r="G4297" s="1">
        <v>38103</v>
      </c>
      <c r="H4297" s="1">
        <v>39505</v>
      </c>
      <c r="I4297" t="s">
        <v>12</v>
      </c>
      <c r="J4297" t="s">
        <v>15067</v>
      </c>
    </row>
    <row r="4298" spans="1:10" x14ac:dyDescent="0.25">
      <c r="A4298">
        <v>325679</v>
      </c>
      <c r="B4298" t="s">
        <v>4486</v>
      </c>
      <c r="C4298" t="str">
        <f>"9783110178227"</f>
        <v>9783110178227</v>
      </c>
      <c r="D4298" t="str">
        <f>"9783110197266"</f>
        <v>9783110197266</v>
      </c>
      <c r="E4298" t="s">
        <v>2482</v>
      </c>
      <c r="F4298" t="s">
        <v>2483</v>
      </c>
      <c r="G4298" s="1">
        <v>38672</v>
      </c>
      <c r="H4298" s="1">
        <v>39505</v>
      </c>
      <c r="I4298" t="s">
        <v>12</v>
      </c>
      <c r="J4298" t="s">
        <v>15068</v>
      </c>
    </row>
    <row r="4299" spans="1:10" x14ac:dyDescent="0.25">
      <c r="A4299">
        <v>325688</v>
      </c>
      <c r="B4299" t="s">
        <v>4487</v>
      </c>
      <c r="C4299" t="str">
        <f>"9783110179491"</f>
        <v>9783110179491</v>
      </c>
      <c r="D4299" t="str">
        <f>"9783110197327"</f>
        <v>9783110197327</v>
      </c>
      <c r="E4299" t="s">
        <v>2482</v>
      </c>
      <c r="F4299" t="s">
        <v>2483</v>
      </c>
      <c r="G4299" s="1">
        <v>37944</v>
      </c>
      <c r="H4299" s="1">
        <v>39505</v>
      </c>
      <c r="I4299" t="s">
        <v>12</v>
      </c>
      <c r="J4299" t="s">
        <v>15069</v>
      </c>
    </row>
    <row r="4300" spans="1:10" x14ac:dyDescent="0.25">
      <c r="A4300">
        <v>325689</v>
      </c>
      <c r="B4300" t="s">
        <v>4488</v>
      </c>
      <c r="C4300" t="str">
        <f>"9783110179507"</f>
        <v>9783110179507</v>
      </c>
      <c r="D4300" t="str">
        <f>"9783110197334"</f>
        <v>9783110197334</v>
      </c>
      <c r="E4300" t="s">
        <v>2482</v>
      </c>
      <c r="F4300" t="s">
        <v>2483</v>
      </c>
      <c r="G4300" s="1">
        <v>38071</v>
      </c>
      <c r="H4300" s="1">
        <v>39505</v>
      </c>
      <c r="I4300" t="s">
        <v>12</v>
      </c>
      <c r="J4300" t="s">
        <v>15070</v>
      </c>
    </row>
    <row r="4301" spans="1:10" x14ac:dyDescent="0.25">
      <c r="A4301">
        <v>325691</v>
      </c>
      <c r="B4301" t="s">
        <v>4489</v>
      </c>
      <c r="C4301" t="str">
        <f>"9783110179538"</f>
        <v>9783110179538</v>
      </c>
      <c r="D4301" t="str">
        <f>"9783110197358"</f>
        <v>9783110197358</v>
      </c>
      <c r="E4301" t="s">
        <v>2482</v>
      </c>
      <c r="F4301" t="s">
        <v>2483</v>
      </c>
      <c r="G4301" s="1">
        <v>38337</v>
      </c>
      <c r="H4301" s="1">
        <v>39505</v>
      </c>
      <c r="I4301" t="s">
        <v>12</v>
      </c>
      <c r="J4301" t="s">
        <v>15071</v>
      </c>
    </row>
    <row r="4302" spans="1:10" x14ac:dyDescent="0.25">
      <c r="A4302">
        <v>325694</v>
      </c>
      <c r="B4302" t="s">
        <v>4490</v>
      </c>
      <c r="C4302" t="str">
        <f>"9783110179705"</f>
        <v>9783110179705</v>
      </c>
      <c r="D4302" t="str">
        <f>"9783110197372"</f>
        <v>9783110197372</v>
      </c>
      <c r="E4302" t="s">
        <v>2482</v>
      </c>
      <c r="F4302" t="s">
        <v>2483</v>
      </c>
      <c r="G4302" s="1">
        <v>38460</v>
      </c>
      <c r="H4302" s="1">
        <v>39505</v>
      </c>
      <c r="I4302" t="s">
        <v>12</v>
      </c>
      <c r="J4302" t="s">
        <v>15072</v>
      </c>
    </row>
    <row r="4303" spans="1:10" x14ac:dyDescent="0.25">
      <c r="A4303">
        <v>325700</v>
      </c>
      <c r="B4303" t="s">
        <v>4491</v>
      </c>
      <c r="C4303" t="str">
        <f>"9783110180800"</f>
        <v>9783110180800</v>
      </c>
      <c r="D4303" t="str">
        <f>"9783110197389"</f>
        <v>9783110197389</v>
      </c>
      <c r="E4303" t="s">
        <v>2482</v>
      </c>
      <c r="F4303" t="s">
        <v>2483</v>
      </c>
      <c r="G4303" s="1">
        <v>38133</v>
      </c>
      <c r="H4303" s="1">
        <v>39505</v>
      </c>
      <c r="I4303" t="s">
        <v>12</v>
      </c>
      <c r="J4303" t="s">
        <v>15073</v>
      </c>
    </row>
    <row r="4304" spans="1:10" x14ac:dyDescent="0.25">
      <c r="A4304">
        <v>325979</v>
      </c>
      <c r="B4304" t="s">
        <v>4492</v>
      </c>
      <c r="C4304" t="str">
        <f>"9780521662161"</f>
        <v>9780521662161</v>
      </c>
      <c r="D4304" t="str">
        <f>"9780511340970"</f>
        <v>9780511340970</v>
      </c>
      <c r="E4304" t="s">
        <v>18</v>
      </c>
      <c r="F4304" t="s">
        <v>18</v>
      </c>
      <c r="G4304" s="1">
        <v>39328</v>
      </c>
      <c r="H4304" s="1">
        <v>39475</v>
      </c>
      <c r="I4304" t="s">
        <v>12</v>
      </c>
      <c r="J4304" t="s">
        <v>15074</v>
      </c>
    </row>
    <row r="4305" spans="1:10" x14ac:dyDescent="0.25">
      <c r="A4305">
        <v>325986</v>
      </c>
      <c r="B4305" t="s">
        <v>4493</v>
      </c>
      <c r="C4305" t="str">
        <f>"9780521823890"</f>
        <v>9780521823890</v>
      </c>
      <c r="D4305" t="str">
        <f>"9780511341175"</f>
        <v>9780511341175</v>
      </c>
      <c r="E4305" t="s">
        <v>18</v>
      </c>
      <c r="F4305" t="s">
        <v>18</v>
      </c>
      <c r="G4305" s="1">
        <v>39324</v>
      </c>
      <c r="H4305" s="1">
        <v>39475</v>
      </c>
      <c r="I4305" t="s">
        <v>12</v>
      </c>
      <c r="J4305" t="s">
        <v>15075</v>
      </c>
    </row>
    <row r="4306" spans="1:10" x14ac:dyDescent="0.25">
      <c r="A4306">
        <v>325993</v>
      </c>
      <c r="B4306" t="s">
        <v>4494</v>
      </c>
      <c r="C4306" t="str">
        <f>"9780521847186"</f>
        <v>9780521847186</v>
      </c>
      <c r="D4306" t="str">
        <f>"9780511340833"</f>
        <v>9780511340833</v>
      </c>
      <c r="E4306" t="s">
        <v>18</v>
      </c>
      <c r="F4306" t="s">
        <v>18</v>
      </c>
      <c r="G4306" s="1">
        <v>39295</v>
      </c>
      <c r="H4306" s="1">
        <v>39475</v>
      </c>
      <c r="I4306" t="s">
        <v>12</v>
      </c>
      <c r="J4306" t="s">
        <v>15076</v>
      </c>
    </row>
    <row r="4307" spans="1:10" x14ac:dyDescent="0.25">
      <c r="A4307">
        <v>325999</v>
      </c>
      <c r="B4307" t="s">
        <v>4495</v>
      </c>
      <c r="C4307" t="str">
        <f>"9780521852555"</f>
        <v>9780521852555</v>
      </c>
      <c r="D4307" t="str">
        <f>"9780511340727"</f>
        <v>9780511340727</v>
      </c>
      <c r="E4307" t="s">
        <v>18</v>
      </c>
      <c r="F4307" t="s">
        <v>18</v>
      </c>
      <c r="G4307" s="1">
        <v>39324</v>
      </c>
      <c r="H4307" s="1">
        <v>39475</v>
      </c>
      <c r="I4307" t="s">
        <v>12</v>
      </c>
      <c r="J4307" t="s">
        <v>15077</v>
      </c>
    </row>
    <row r="4308" spans="1:10" x14ac:dyDescent="0.25">
      <c r="A4308">
        <v>326000</v>
      </c>
      <c r="B4308" t="s">
        <v>4496</v>
      </c>
      <c r="C4308" t="str">
        <f>"9780521852838"</f>
        <v>9780521852838</v>
      </c>
      <c r="D4308" t="str">
        <f>"9780511341205"</f>
        <v>9780511341205</v>
      </c>
      <c r="E4308" t="s">
        <v>18</v>
      </c>
      <c r="F4308" t="s">
        <v>18</v>
      </c>
      <c r="G4308" s="1">
        <v>39326</v>
      </c>
      <c r="H4308" s="1">
        <v>39472</v>
      </c>
      <c r="I4308" t="s">
        <v>12</v>
      </c>
      <c r="J4308" t="s">
        <v>15078</v>
      </c>
    </row>
    <row r="4309" spans="1:10" x14ac:dyDescent="0.25">
      <c r="A4309">
        <v>326009</v>
      </c>
      <c r="B4309" t="s">
        <v>4497</v>
      </c>
      <c r="C4309" t="str">
        <f>"9780521870429"</f>
        <v>9780521870429</v>
      </c>
      <c r="D4309" t="str">
        <f>"9780511341113"</f>
        <v>9780511341113</v>
      </c>
      <c r="E4309" t="s">
        <v>18</v>
      </c>
      <c r="F4309" t="s">
        <v>18</v>
      </c>
      <c r="G4309" s="1">
        <v>39254</v>
      </c>
      <c r="H4309" s="1">
        <v>39472</v>
      </c>
      <c r="I4309" t="s">
        <v>12</v>
      </c>
      <c r="J4309" t="s">
        <v>15079</v>
      </c>
    </row>
    <row r="4310" spans="1:10" x14ac:dyDescent="0.25">
      <c r="A4310">
        <v>326011</v>
      </c>
      <c r="B4310" t="s">
        <v>4498</v>
      </c>
      <c r="C4310" t="str">
        <f>"9780521871259"</f>
        <v>9780521871259</v>
      </c>
      <c r="D4310" t="str">
        <f>"9780511340888"</f>
        <v>9780511340888</v>
      </c>
      <c r="E4310" t="s">
        <v>18</v>
      </c>
      <c r="F4310" t="s">
        <v>18</v>
      </c>
      <c r="G4310" s="1">
        <v>39326</v>
      </c>
      <c r="H4310" s="1">
        <v>39472</v>
      </c>
      <c r="I4310" t="s">
        <v>12</v>
      </c>
      <c r="J4310" t="s">
        <v>15080</v>
      </c>
    </row>
    <row r="4311" spans="1:10" x14ac:dyDescent="0.25">
      <c r="A4311">
        <v>326012</v>
      </c>
      <c r="B4311" t="s">
        <v>4499</v>
      </c>
      <c r="C4311" t="str">
        <f>"9780521871303"</f>
        <v>9780521871303</v>
      </c>
      <c r="D4311" t="str">
        <f>"9780511341021"</f>
        <v>9780511341021</v>
      </c>
      <c r="E4311" t="s">
        <v>18</v>
      </c>
      <c r="F4311" t="s">
        <v>18</v>
      </c>
      <c r="G4311" s="1">
        <v>39264</v>
      </c>
      <c r="H4311" s="1">
        <v>39472</v>
      </c>
      <c r="I4311" t="s">
        <v>12</v>
      </c>
      <c r="J4311" t="s">
        <v>15081</v>
      </c>
    </row>
    <row r="4312" spans="1:10" x14ac:dyDescent="0.25">
      <c r="A4312">
        <v>326020</v>
      </c>
      <c r="B4312" t="s">
        <v>4500</v>
      </c>
      <c r="C4312" t="str">
        <f>"9780521876100"</f>
        <v>9780521876100</v>
      </c>
      <c r="D4312" t="str">
        <f>"9780511340925"</f>
        <v>9780511340925</v>
      </c>
      <c r="E4312" t="s">
        <v>18</v>
      </c>
      <c r="F4312" t="s">
        <v>18</v>
      </c>
      <c r="G4312" s="1">
        <v>39331</v>
      </c>
      <c r="H4312" s="1">
        <v>39472</v>
      </c>
      <c r="I4312" t="s">
        <v>12</v>
      </c>
      <c r="J4312" t="s">
        <v>15082</v>
      </c>
    </row>
    <row r="4313" spans="1:10" x14ac:dyDescent="0.25">
      <c r="A4313">
        <v>326023</v>
      </c>
      <c r="B4313" t="s">
        <v>4501</v>
      </c>
      <c r="C4313" t="str">
        <f>"9780521876582"</f>
        <v>9780521876582</v>
      </c>
      <c r="D4313" t="str">
        <f>"9780511340949"</f>
        <v>9780511340949</v>
      </c>
      <c r="E4313" t="s">
        <v>18</v>
      </c>
      <c r="F4313" t="s">
        <v>18</v>
      </c>
      <c r="G4313" s="1">
        <v>39324</v>
      </c>
      <c r="H4313" s="1">
        <v>39472</v>
      </c>
      <c r="I4313" t="s">
        <v>12</v>
      </c>
      <c r="J4313" t="s">
        <v>15083</v>
      </c>
    </row>
    <row r="4314" spans="1:10" x14ac:dyDescent="0.25">
      <c r="A4314">
        <v>326388</v>
      </c>
      <c r="B4314" t="s">
        <v>4502</v>
      </c>
      <c r="C4314" t="str">
        <f>"9780816646524"</f>
        <v>9780816646524</v>
      </c>
      <c r="D4314" t="str">
        <f>"9780816697687"</f>
        <v>9780816697687</v>
      </c>
      <c r="E4314" t="s">
        <v>3970</v>
      </c>
      <c r="F4314" t="s">
        <v>3970</v>
      </c>
      <c r="G4314" s="1">
        <v>39107</v>
      </c>
      <c r="H4314" s="1">
        <v>39475</v>
      </c>
      <c r="I4314" t="s">
        <v>12</v>
      </c>
      <c r="J4314" t="s">
        <v>15084</v>
      </c>
    </row>
    <row r="4315" spans="1:10" x14ac:dyDescent="0.25">
      <c r="A4315">
        <v>326397</v>
      </c>
      <c r="B4315" t="s">
        <v>4503</v>
      </c>
      <c r="C4315" t="str">
        <f>"9780816649358"</f>
        <v>9780816649358</v>
      </c>
      <c r="D4315" t="str">
        <f>"9780816699094"</f>
        <v>9780816699094</v>
      </c>
      <c r="E4315" t="s">
        <v>3970</v>
      </c>
      <c r="F4315" t="s">
        <v>3970</v>
      </c>
      <c r="G4315" s="1">
        <v>38970</v>
      </c>
      <c r="H4315" s="1">
        <v>39472</v>
      </c>
      <c r="I4315" t="s">
        <v>12</v>
      </c>
      <c r="J4315" t="s">
        <v>15085</v>
      </c>
    </row>
    <row r="4316" spans="1:10" x14ac:dyDescent="0.25">
      <c r="A4316">
        <v>326398</v>
      </c>
      <c r="B4316" t="s">
        <v>4504</v>
      </c>
      <c r="C4316" t="str">
        <f>"9780816649372"</f>
        <v>9780816649372</v>
      </c>
      <c r="D4316" t="str">
        <f>"9780816699100"</f>
        <v>9780816699100</v>
      </c>
      <c r="E4316" t="s">
        <v>3970</v>
      </c>
      <c r="F4316" t="s">
        <v>3970</v>
      </c>
      <c r="G4316" s="1">
        <v>38970</v>
      </c>
      <c r="H4316" s="1">
        <v>39650</v>
      </c>
      <c r="I4316" t="s">
        <v>12</v>
      </c>
      <c r="J4316" t="s">
        <v>15086</v>
      </c>
    </row>
    <row r="4317" spans="1:10" x14ac:dyDescent="0.25">
      <c r="A4317">
        <v>326399</v>
      </c>
      <c r="B4317" t="s">
        <v>4505</v>
      </c>
      <c r="C4317" t="str">
        <f>"9780816649419"</f>
        <v>9780816649419</v>
      </c>
      <c r="D4317" t="str">
        <f>"9780816654376"</f>
        <v>9780816654376</v>
      </c>
      <c r="E4317" t="s">
        <v>3970</v>
      </c>
      <c r="F4317" t="s">
        <v>3970</v>
      </c>
      <c r="G4317" s="1">
        <v>39184</v>
      </c>
      <c r="H4317" s="1">
        <v>39472</v>
      </c>
      <c r="I4317" t="s">
        <v>12</v>
      </c>
      <c r="J4317" t="s">
        <v>15087</v>
      </c>
    </row>
    <row r="4318" spans="1:10" x14ac:dyDescent="0.25">
      <c r="A4318">
        <v>326403</v>
      </c>
      <c r="B4318" t="s">
        <v>4506</v>
      </c>
      <c r="C4318" t="str">
        <f>"9781412908559"</f>
        <v>9781412908559</v>
      </c>
      <c r="D4318" t="str">
        <f>"9781847874641"</f>
        <v>9781847874641</v>
      </c>
      <c r="E4318" t="s">
        <v>1569</v>
      </c>
      <c r="F4318" t="s">
        <v>1570</v>
      </c>
      <c r="G4318" s="1">
        <v>38791</v>
      </c>
      <c r="H4318" s="1">
        <v>39472</v>
      </c>
      <c r="I4318" t="s">
        <v>12</v>
      </c>
      <c r="J4318" t="s">
        <v>15088</v>
      </c>
    </row>
    <row r="4319" spans="1:10" x14ac:dyDescent="0.25">
      <c r="A4319">
        <v>326404</v>
      </c>
      <c r="B4319" t="s">
        <v>4507</v>
      </c>
      <c r="C4319" t="str">
        <f>"9781412911108"</f>
        <v>9781412911108</v>
      </c>
      <c r="D4319" t="str">
        <f>"9781848604575"</f>
        <v>9781848604575</v>
      </c>
      <c r="E4319" t="s">
        <v>1569</v>
      </c>
      <c r="F4319" t="s">
        <v>1570</v>
      </c>
      <c r="G4319" s="1">
        <v>38855</v>
      </c>
      <c r="H4319" s="1">
        <v>39472</v>
      </c>
      <c r="I4319" t="s">
        <v>12</v>
      </c>
      <c r="J4319" t="s">
        <v>15089</v>
      </c>
    </row>
    <row r="4320" spans="1:10" x14ac:dyDescent="0.25">
      <c r="A4320">
        <v>327860</v>
      </c>
      <c r="B4320" t="s">
        <v>4508</v>
      </c>
      <c r="C4320" t="str">
        <f>"9781841501741"</f>
        <v>9781841501741</v>
      </c>
      <c r="D4320" t="str">
        <f>"9781841509877"</f>
        <v>9781841509877</v>
      </c>
      <c r="E4320" t="s">
        <v>2646</v>
      </c>
      <c r="F4320" t="s">
        <v>2647</v>
      </c>
      <c r="G4320" s="1">
        <v>39387</v>
      </c>
      <c r="H4320" s="1">
        <v>39632</v>
      </c>
      <c r="I4320" t="s">
        <v>12</v>
      </c>
      <c r="J4320" t="s">
        <v>15090</v>
      </c>
    </row>
    <row r="4321" spans="1:10" x14ac:dyDescent="0.25">
      <c r="A4321">
        <v>327862</v>
      </c>
      <c r="B4321" t="s">
        <v>4509</v>
      </c>
      <c r="C4321" t="str">
        <f>"9781841501710"</f>
        <v>9781841501710</v>
      </c>
      <c r="D4321" t="str">
        <f>"9781841509952"</f>
        <v>9781841509952</v>
      </c>
      <c r="E4321" t="s">
        <v>2646</v>
      </c>
      <c r="F4321" t="s">
        <v>2647</v>
      </c>
      <c r="G4321" s="1">
        <v>39356</v>
      </c>
      <c r="H4321" s="1">
        <v>39637</v>
      </c>
      <c r="I4321" t="s">
        <v>12</v>
      </c>
      <c r="J4321" t="s">
        <v>15091</v>
      </c>
    </row>
    <row r="4322" spans="1:10" x14ac:dyDescent="0.25">
      <c r="A4322">
        <v>327866</v>
      </c>
      <c r="B4322" t="s">
        <v>4510</v>
      </c>
      <c r="C4322" t="str">
        <f>"9781841501772"</f>
        <v>9781841501772</v>
      </c>
      <c r="D4322" t="str">
        <f>"9781841509969"</f>
        <v>9781841509969</v>
      </c>
      <c r="E4322" t="s">
        <v>2646</v>
      </c>
      <c r="F4322" t="s">
        <v>2647</v>
      </c>
      <c r="G4322" s="1">
        <v>39083</v>
      </c>
      <c r="H4322" s="1">
        <v>39644</v>
      </c>
      <c r="I4322" t="s">
        <v>12</v>
      </c>
      <c r="J4322" t="s">
        <v>15092</v>
      </c>
    </row>
    <row r="4323" spans="1:10" x14ac:dyDescent="0.25">
      <c r="A4323">
        <v>327867</v>
      </c>
      <c r="B4323" t="s">
        <v>4511</v>
      </c>
      <c r="C4323" t="str">
        <f>"9781841501727"</f>
        <v>9781841501727</v>
      </c>
      <c r="D4323" t="str">
        <f>"9781841509884"</f>
        <v>9781841509884</v>
      </c>
      <c r="E4323" t="s">
        <v>2646</v>
      </c>
      <c r="F4323" t="s">
        <v>2647</v>
      </c>
      <c r="G4323" s="1">
        <v>38961</v>
      </c>
      <c r="H4323" s="1">
        <v>39492</v>
      </c>
      <c r="I4323" t="s">
        <v>12</v>
      </c>
      <c r="J4323" t="s">
        <v>15093</v>
      </c>
    </row>
    <row r="4324" spans="1:10" x14ac:dyDescent="0.25">
      <c r="A4324">
        <v>327872</v>
      </c>
      <c r="B4324" t="s">
        <v>4512</v>
      </c>
      <c r="C4324" t="str">
        <f>"9781841501758"</f>
        <v>9781841501758</v>
      </c>
      <c r="D4324" t="str">
        <f>"9781841509976"</f>
        <v>9781841509976</v>
      </c>
      <c r="E4324" t="s">
        <v>2646</v>
      </c>
      <c r="F4324" t="s">
        <v>2647</v>
      </c>
      <c r="G4324" s="1">
        <v>39022</v>
      </c>
      <c r="H4324" s="1">
        <v>39644</v>
      </c>
      <c r="I4324" t="s">
        <v>12</v>
      </c>
      <c r="J4324" t="s">
        <v>15094</v>
      </c>
    </row>
    <row r="4325" spans="1:10" x14ac:dyDescent="0.25">
      <c r="A4325">
        <v>327882</v>
      </c>
      <c r="B4325" t="s">
        <v>4513</v>
      </c>
      <c r="C4325" t="str">
        <f>"9781845410728"</f>
        <v>9781845410728</v>
      </c>
      <c r="D4325" t="str">
        <f>"9781845410742"</f>
        <v>9781845410742</v>
      </c>
      <c r="E4325" t="s">
        <v>886</v>
      </c>
      <c r="F4325" t="s">
        <v>886</v>
      </c>
      <c r="G4325" s="1">
        <v>39374</v>
      </c>
      <c r="H4325" s="1">
        <v>39492</v>
      </c>
      <c r="I4325" t="s">
        <v>12</v>
      </c>
      <c r="J4325" t="s">
        <v>15095</v>
      </c>
    </row>
    <row r="4326" spans="1:10" x14ac:dyDescent="0.25">
      <c r="A4326">
        <v>327885</v>
      </c>
      <c r="B4326" t="s">
        <v>4514</v>
      </c>
      <c r="C4326" t="str">
        <f>"9781845410803"</f>
        <v>9781845410803</v>
      </c>
      <c r="D4326" t="str">
        <f>"9781845410827"</f>
        <v>9781845410827</v>
      </c>
      <c r="E4326" t="s">
        <v>886</v>
      </c>
      <c r="F4326" t="s">
        <v>886</v>
      </c>
      <c r="G4326" s="1">
        <v>39428</v>
      </c>
      <c r="H4326" s="1">
        <v>39492</v>
      </c>
      <c r="I4326" t="s">
        <v>12</v>
      </c>
      <c r="J4326" t="s">
        <v>15096</v>
      </c>
    </row>
    <row r="4327" spans="1:10" x14ac:dyDescent="0.25">
      <c r="A4327">
        <v>327886</v>
      </c>
      <c r="B4327" t="s">
        <v>4515</v>
      </c>
      <c r="C4327" t="str">
        <f>"9781853599835"</f>
        <v>9781853599835</v>
      </c>
      <c r="D4327" t="str">
        <f>"9781853599842"</f>
        <v>9781853599842</v>
      </c>
      <c r="E4327" t="s">
        <v>886</v>
      </c>
      <c r="F4327" t="s">
        <v>887</v>
      </c>
      <c r="G4327" s="1">
        <v>39349</v>
      </c>
      <c r="H4327" s="1">
        <v>39492</v>
      </c>
      <c r="I4327" t="s">
        <v>12</v>
      </c>
      <c r="J4327" t="s">
        <v>15097</v>
      </c>
    </row>
    <row r="4328" spans="1:10" x14ac:dyDescent="0.25">
      <c r="A4328">
        <v>327887</v>
      </c>
      <c r="B4328" t="s">
        <v>4516</v>
      </c>
      <c r="C4328" t="str">
        <f>"9781847690166"</f>
        <v>9781847690166</v>
      </c>
      <c r="D4328" t="str">
        <f>"9781847690180"</f>
        <v>9781847690180</v>
      </c>
      <c r="E4328" t="s">
        <v>886</v>
      </c>
      <c r="F4328" t="s">
        <v>887</v>
      </c>
      <c r="G4328" s="1">
        <v>39366</v>
      </c>
      <c r="H4328" s="1">
        <v>39492</v>
      </c>
      <c r="I4328" t="s">
        <v>12</v>
      </c>
      <c r="J4328" t="s">
        <v>15098</v>
      </c>
    </row>
    <row r="4329" spans="1:10" x14ac:dyDescent="0.25">
      <c r="A4329">
        <v>327888</v>
      </c>
      <c r="B4329" t="s">
        <v>4517</v>
      </c>
      <c r="C4329" t="str">
        <f>"9781847690098"</f>
        <v>9781847690098</v>
      </c>
      <c r="D4329" t="str">
        <f>"9781847690104"</f>
        <v>9781847690104</v>
      </c>
      <c r="E4329" t="s">
        <v>886</v>
      </c>
      <c r="F4329" t="s">
        <v>887</v>
      </c>
      <c r="G4329" s="1">
        <v>39370</v>
      </c>
      <c r="H4329" s="1">
        <v>39492</v>
      </c>
      <c r="I4329" t="s">
        <v>12</v>
      </c>
      <c r="J4329" t="s">
        <v>15099</v>
      </c>
    </row>
    <row r="4330" spans="1:10" x14ac:dyDescent="0.25">
      <c r="A4330">
        <v>327890</v>
      </c>
      <c r="B4330" t="s">
        <v>4518</v>
      </c>
      <c r="C4330" t="str">
        <f>"9781847690142"</f>
        <v>9781847690142</v>
      </c>
      <c r="D4330" t="str">
        <f>"9781847690159"</f>
        <v>9781847690159</v>
      </c>
      <c r="E4330" t="s">
        <v>886</v>
      </c>
      <c r="F4330" t="s">
        <v>887</v>
      </c>
      <c r="G4330" s="1">
        <v>39395</v>
      </c>
      <c r="H4330" s="1">
        <v>39492</v>
      </c>
      <c r="I4330" t="s">
        <v>12</v>
      </c>
      <c r="J4330" t="s">
        <v>15100</v>
      </c>
    </row>
    <row r="4331" spans="1:10" x14ac:dyDescent="0.25">
      <c r="A4331">
        <v>327892</v>
      </c>
      <c r="B4331" t="s">
        <v>4519</v>
      </c>
      <c r="C4331" t="str">
        <f>"9781853599866"</f>
        <v>9781853599866</v>
      </c>
      <c r="D4331" t="str">
        <f>"9781853599873"</f>
        <v>9781853599873</v>
      </c>
      <c r="E4331" t="s">
        <v>886</v>
      </c>
      <c r="F4331" t="s">
        <v>887</v>
      </c>
      <c r="G4331" s="1">
        <v>39426</v>
      </c>
      <c r="H4331" s="1">
        <v>39492</v>
      </c>
      <c r="I4331" t="s">
        <v>12</v>
      </c>
      <c r="J4331" t="s">
        <v>15101</v>
      </c>
    </row>
    <row r="4332" spans="1:10" x14ac:dyDescent="0.25">
      <c r="A4332">
        <v>327893</v>
      </c>
      <c r="B4332" t="s">
        <v>4520</v>
      </c>
      <c r="C4332" t="str">
        <f>"9781847690302"</f>
        <v>9781847690302</v>
      </c>
      <c r="D4332" t="str">
        <f>"9781847690319"</f>
        <v>9781847690319</v>
      </c>
      <c r="E4332" t="s">
        <v>886</v>
      </c>
      <c r="F4332" t="s">
        <v>887</v>
      </c>
      <c r="G4332" s="1">
        <v>39422</v>
      </c>
      <c r="H4332" s="1">
        <v>39492</v>
      </c>
      <c r="I4332" t="s">
        <v>12</v>
      </c>
      <c r="J4332" t="s">
        <v>15102</v>
      </c>
    </row>
    <row r="4333" spans="1:10" x14ac:dyDescent="0.25">
      <c r="A4333">
        <v>327894</v>
      </c>
      <c r="B4333" t="s">
        <v>4521</v>
      </c>
      <c r="C4333" t="str">
        <f>"9781847690203"</f>
        <v>9781847690203</v>
      </c>
      <c r="D4333" t="str">
        <f>"9781847690210"</f>
        <v>9781847690210</v>
      </c>
      <c r="E4333" t="s">
        <v>886</v>
      </c>
      <c r="F4333" t="s">
        <v>887</v>
      </c>
      <c r="G4333" s="1">
        <v>39426</v>
      </c>
      <c r="H4333" s="1">
        <v>39492</v>
      </c>
      <c r="I4333" t="s">
        <v>12</v>
      </c>
      <c r="J4333" t="s">
        <v>15103</v>
      </c>
    </row>
    <row r="4334" spans="1:10" x14ac:dyDescent="0.25">
      <c r="A4334">
        <v>327895</v>
      </c>
      <c r="B4334" t="s">
        <v>4522</v>
      </c>
      <c r="C4334" t="str">
        <f>"9781847690265"</f>
        <v>9781847690265</v>
      </c>
      <c r="D4334" t="str">
        <f>"9781847690272"</f>
        <v>9781847690272</v>
      </c>
      <c r="E4334" t="s">
        <v>886</v>
      </c>
      <c r="F4334" t="s">
        <v>887</v>
      </c>
      <c r="G4334" s="1">
        <v>39458</v>
      </c>
      <c r="H4334" s="1">
        <v>39492</v>
      </c>
      <c r="I4334" t="s">
        <v>12</v>
      </c>
      <c r="J4334" t="s">
        <v>15104</v>
      </c>
    </row>
    <row r="4335" spans="1:10" x14ac:dyDescent="0.25">
      <c r="A4335">
        <v>327896</v>
      </c>
      <c r="B4335" t="s">
        <v>4523</v>
      </c>
      <c r="C4335" t="str">
        <f>"9781847690364"</f>
        <v>9781847690364</v>
      </c>
      <c r="D4335" t="str">
        <f>"9781847690371"</f>
        <v>9781847690371</v>
      </c>
      <c r="E4335" t="s">
        <v>886</v>
      </c>
      <c r="F4335" t="s">
        <v>887</v>
      </c>
      <c r="G4335" s="1">
        <v>39458</v>
      </c>
      <c r="H4335" s="1">
        <v>39492</v>
      </c>
      <c r="I4335" t="s">
        <v>12</v>
      </c>
      <c r="J4335" t="s">
        <v>15105</v>
      </c>
    </row>
    <row r="4336" spans="1:10" x14ac:dyDescent="0.25">
      <c r="A4336">
        <v>327902</v>
      </c>
      <c r="B4336" t="s">
        <v>4524</v>
      </c>
      <c r="C4336" t="str">
        <f>"9780761936732"</f>
        <v>9780761936732</v>
      </c>
      <c r="D4336" t="str">
        <f>"9781552503782"</f>
        <v>9781552503782</v>
      </c>
      <c r="E4336" t="s">
        <v>1968</v>
      </c>
      <c r="F4336" t="s">
        <v>1969</v>
      </c>
      <c r="G4336" s="1">
        <v>39448</v>
      </c>
      <c r="H4336" s="1">
        <v>39639</v>
      </c>
      <c r="I4336" t="s">
        <v>12</v>
      </c>
      <c r="J4336" t="s">
        <v>15106</v>
      </c>
    </row>
    <row r="4337" spans="1:10" x14ac:dyDescent="0.25">
      <c r="A4337">
        <v>327903</v>
      </c>
      <c r="B4337" t="s">
        <v>4525</v>
      </c>
      <c r="C4337" t="str">
        <f>"9788175965638"</f>
        <v>9788175965638</v>
      </c>
      <c r="D4337" t="str">
        <f>"9781552503713"</f>
        <v>9781552503713</v>
      </c>
      <c r="E4337" t="s">
        <v>1968</v>
      </c>
      <c r="F4337" t="s">
        <v>1969</v>
      </c>
      <c r="G4337" s="1">
        <v>39083</v>
      </c>
      <c r="H4337" s="1">
        <v>39493</v>
      </c>
      <c r="I4337" t="s">
        <v>12</v>
      </c>
      <c r="J4337" t="s">
        <v>15107</v>
      </c>
    </row>
    <row r="4338" spans="1:10" x14ac:dyDescent="0.25">
      <c r="A4338">
        <v>328085</v>
      </c>
      <c r="B4338" t="s">
        <v>4526</v>
      </c>
      <c r="C4338" t="str">
        <f>"9780253348814"</f>
        <v>9780253348814</v>
      </c>
      <c r="D4338" t="str">
        <f>"9780253116765"</f>
        <v>9780253116765</v>
      </c>
      <c r="E4338" t="s">
        <v>4527</v>
      </c>
      <c r="F4338" t="s">
        <v>4527</v>
      </c>
      <c r="G4338" s="1">
        <v>39233</v>
      </c>
      <c r="H4338" s="1">
        <v>39495</v>
      </c>
      <c r="I4338" t="s">
        <v>12</v>
      </c>
      <c r="J4338" t="s">
        <v>15108</v>
      </c>
    </row>
    <row r="4339" spans="1:10" x14ac:dyDescent="0.25">
      <c r="A4339">
        <v>328232</v>
      </c>
      <c r="B4339" t="s">
        <v>4528</v>
      </c>
      <c r="C4339" t="str">
        <f>"9781845681012"</f>
        <v>9781845681012</v>
      </c>
      <c r="D4339" t="str">
        <f>"9780203937273"</f>
        <v>9780203937273</v>
      </c>
      <c r="E4339" t="s">
        <v>15</v>
      </c>
      <c r="F4339" t="s">
        <v>1019</v>
      </c>
      <c r="G4339" s="1">
        <v>39309</v>
      </c>
      <c r="H4339" s="1">
        <v>39498</v>
      </c>
      <c r="I4339" t="s">
        <v>12</v>
      </c>
      <c r="J4339" t="s">
        <v>15109</v>
      </c>
    </row>
    <row r="4340" spans="1:10" x14ac:dyDescent="0.25">
      <c r="A4340">
        <v>328318</v>
      </c>
      <c r="B4340" t="s">
        <v>4529</v>
      </c>
      <c r="C4340" t="str">
        <f>"9780240809427"</f>
        <v>9780240809427</v>
      </c>
      <c r="D4340" t="str">
        <f>"9780080555812"</f>
        <v>9780080555812</v>
      </c>
      <c r="E4340" t="s">
        <v>15</v>
      </c>
      <c r="F4340" t="s">
        <v>1122</v>
      </c>
      <c r="G4340" s="1">
        <v>39448</v>
      </c>
      <c r="H4340" s="1">
        <v>39499</v>
      </c>
      <c r="I4340" t="s">
        <v>12</v>
      </c>
      <c r="J4340" t="s">
        <v>15110</v>
      </c>
    </row>
    <row r="4341" spans="1:10" x14ac:dyDescent="0.25">
      <c r="A4341">
        <v>328370</v>
      </c>
      <c r="B4341" t="s">
        <v>4530</v>
      </c>
      <c r="C4341" t="str">
        <f>"9780816634118"</f>
        <v>9780816634118</v>
      </c>
      <c r="D4341" t="str">
        <f>"9780816650408"</f>
        <v>9780816650408</v>
      </c>
      <c r="E4341" t="s">
        <v>3970</v>
      </c>
      <c r="F4341" t="s">
        <v>3970</v>
      </c>
      <c r="G4341" s="1">
        <v>39402</v>
      </c>
      <c r="H4341" s="1">
        <v>39546</v>
      </c>
      <c r="I4341" t="s">
        <v>12</v>
      </c>
      <c r="J4341" t="s">
        <v>15111</v>
      </c>
    </row>
    <row r="4342" spans="1:10" x14ac:dyDescent="0.25">
      <c r="A4342">
        <v>328377</v>
      </c>
      <c r="B4342" t="s">
        <v>4531</v>
      </c>
      <c r="C4342" t="str">
        <f>"9780816647750"</f>
        <v>9780816647750</v>
      </c>
      <c r="D4342" t="str">
        <f>"9780816653805"</f>
        <v>9780816653805</v>
      </c>
      <c r="E4342" t="s">
        <v>3970</v>
      </c>
      <c r="F4342" t="s">
        <v>3970</v>
      </c>
      <c r="G4342" s="1">
        <v>39367</v>
      </c>
      <c r="H4342" s="1">
        <v>39546</v>
      </c>
      <c r="I4342" t="s">
        <v>12</v>
      </c>
      <c r="J4342" t="s">
        <v>15112</v>
      </c>
    </row>
    <row r="4343" spans="1:10" x14ac:dyDescent="0.25">
      <c r="A4343">
        <v>328568</v>
      </c>
      <c r="B4343" t="s">
        <v>4532</v>
      </c>
      <c r="C4343" t="str">
        <f>"9780240519708"</f>
        <v>9780240519708</v>
      </c>
      <c r="D4343" t="str">
        <f>"9780080556376"</f>
        <v>9780080556376</v>
      </c>
      <c r="E4343" t="s">
        <v>15</v>
      </c>
      <c r="F4343" t="s">
        <v>1122</v>
      </c>
      <c r="G4343" s="1">
        <v>41390</v>
      </c>
      <c r="H4343" s="1">
        <v>39546</v>
      </c>
      <c r="I4343" t="s">
        <v>12</v>
      </c>
      <c r="J4343" t="s">
        <v>15113</v>
      </c>
    </row>
    <row r="4344" spans="1:10" x14ac:dyDescent="0.25">
      <c r="A4344">
        <v>328572</v>
      </c>
      <c r="B4344" t="s">
        <v>4533</v>
      </c>
      <c r="C4344" t="str">
        <f>"9780240809908"</f>
        <v>9780240809908</v>
      </c>
      <c r="D4344" t="str">
        <f>"9780080556666"</f>
        <v>9780080556666</v>
      </c>
      <c r="E4344" t="s">
        <v>15</v>
      </c>
      <c r="F4344" t="s">
        <v>1122</v>
      </c>
      <c r="G4344" s="1">
        <v>39490</v>
      </c>
      <c r="H4344" s="1">
        <v>39546</v>
      </c>
      <c r="I4344" t="s">
        <v>12</v>
      </c>
      <c r="J4344" t="s">
        <v>15114</v>
      </c>
    </row>
    <row r="4345" spans="1:10" x14ac:dyDescent="0.25">
      <c r="A4345">
        <v>328647</v>
      </c>
      <c r="B4345" t="s">
        <v>4534</v>
      </c>
      <c r="C4345" t="str">
        <f>"9781854183842"</f>
        <v>9781854183842</v>
      </c>
      <c r="D4345" t="str">
        <f>"9781854186157"</f>
        <v>9781854186157</v>
      </c>
      <c r="E4345" t="s">
        <v>3957</v>
      </c>
      <c r="F4345" t="s">
        <v>3957</v>
      </c>
      <c r="G4345" s="1">
        <v>39083</v>
      </c>
      <c r="H4345" s="1">
        <v>39501</v>
      </c>
      <c r="I4345" t="s">
        <v>12</v>
      </c>
      <c r="J4345" t="s">
        <v>15115</v>
      </c>
    </row>
    <row r="4346" spans="1:10" x14ac:dyDescent="0.25">
      <c r="A4346">
        <v>328653</v>
      </c>
      <c r="B4346" t="s">
        <v>4535</v>
      </c>
      <c r="C4346" t="str">
        <f>"9781854184306"</f>
        <v>9781854184306</v>
      </c>
      <c r="D4346" t="str">
        <f>"9781854186225"</f>
        <v>9781854186225</v>
      </c>
      <c r="E4346" t="s">
        <v>3957</v>
      </c>
      <c r="F4346" t="s">
        <v>3957</v>
      </c>
      <c r="G4346" s="1">
        <v>39083</v>
      </c>
      <c r="H4346" s="1">
        <v>39501</v>
      </c>
      <c r="I4346" t="s">
        <v>12</v>
      </c>
      <c r="J4346" t="s">
        <v>15116</v>
      </c>
    </row>
    <row r="4347" spans="1:10" x14ac:dyDescent="0.25">
      <c r="A4347">
        <v>328780</v>
      </c>
      <c r="B4347" t="s">
        <v>4536</v>
      </c>
      <c r="C4347" t="str">
        <f>"9781411638020"</f>
        <v>9781411638020</v>
      </c>
      <c r="D4347" t="str">
        <f>"9781605571096"</f>
        <v>9781605571096</v>
      </c>
      <c r="E4347" t="s">
        <v>4021</v>
      </c>
      <c r="F4347" t="s">
        <v>4021</v>
      </c>
      <c r="G4347" s="1">
        <v>38353</v>
      </c>
      <c r="H4347" s="1">
        <v>38169</v>
      </c>
      <c r="I4347" t="s">
        <v>12</v>
      </c>
      <c r="J4347" t="s">
        <v>15117</v>
      </c>
    </row>
    <row r="4348" spans="1:10" x14ac:dyDescent="0.25">
      <c r="A4348">
        <v>329039</v>
      </c>
      <c r="B4348" t="s">
        <v>4537</v>
      </c>
      <c r="C4348" t="str">
        <f>"9780275994556"</f>
        <v>9780275994556</v>
      </c>
      <c r="D4348" t="str">
        <f>"9781567207170"</f>
        <v>9781567207170</v>
      </c>
      <c r="E4348" t="s">
        <v>2099</v>
      </c>
      <c r="F4348" t="s">
        <v>2099</v>
      </c>
      <c r="G4348" s="1">
        <v>39355</v>
      </c>
      <c r="H4348" s="1">
        <v>39502</v>
      </c>
      <c r="I4348" t="s">
        <v>12</v>
      </c>
      <c r="J4348" t="s">
        <v>15118</v>
      </c>
    </row>
    <row r="4349" spans="1:10" x14ac:dyDescent="0.25">
      <c r="A4349">
        <v>329186</v>
      </c>
      <c r="B4349" t="s">
        <v>4538</v>
      </c>
      <c r="C4349" t="str">
        <f>"9780313345531"</f>
        <v>9780313345531</v>
      </c>
      <c r="D4349" t="str">
        <f>"9780313345548"</f>
        <v>9780313345548</v>
      </c>
      <c r="E4349" t="s">
        <v>2099</v>
      </c>
      <c r="F4349" t="s">
        <v>2099</v>
      </c>
      <c r="G4349" s="1">
        <v>39446</v>
      </c>
      <c r="H4349" s="1">
        <v>39502</v>
      </c>
      <c r="I4349" t="s">
        <v>12</v>
      </c>
      <c r="J4349" t="s">
        <v>15119</v>
      </c>
    </row>
    <row r="4350" spans="1:10" x14ac:dyDescent="0.25">
      <c r="A4350">
        <v>329880</v>
      </c>
      <c r="B4350" t="s">
        <v>4539</v>
      </c>
      <c r="C4350" t="str">
        <f>"9781416606239"</f>
        <v>9781416606239</v>
      </c>
      <c r="D4350" t="str">
        <f>"9781416606918"</f>
        <v>9781416606918</v>
      </c>
      <c r="E4350" t="s">
        <v>2492</v>
      </c>
      <c r="F4350" t="s">
        <v>2492</v>
      </c>
      <c r="G4350" s="1">
        <v>39417</v>
      </c>
      <c r="H4350" s="1">
        <v>39545</v>
      </c>
      <c r="I4350" t="s">
        <v>12</v>
      </c>
      <c r="J4350" t="s">
        <v>15120</v>
      </c>
    </row>
    <row r="4351" spans="1:10" x14ac:dyDescent="0.25">
      <c r="A4351">
        <v>329883</v>
      </c>
      <c r="B4351" t="s">
        <v>4540</v>
      </c>
      <c r="C4351" t="str">
        <f>"9781416606246"</f>
        <v>9781416606246</v>
      </c>
      <c r="D4351" t="str">
        <f>"9781416607205"</f>
        <v>9781416607205</v>
      </c>
      <c r="E4351" t="s">
        <v>2492</v>
      </c>
      <c r="F4351" t="s">
        <v>2492</v>
      </c>
      <c r="G4351" s="1">
        <v>39448</v>
      </c>
      <c r="H4351" s="1">
        <v>39545</v>
      </c>
      <c r="I4351" t="s">
        <v>12</v>
      </c>
      <c r="J4351" t="s">
        <v>15121</v>
      </c>
    </row>
    <row r="4352" spans="1:10" x14ac:dyDescent="0.25">
      <c r="A4352">
        <v>329884</v>
      </c>
      <c r="B4352" t="s">
        <v>4541</v>
      </c>
      <c r="C4352" t="str">
        <f>"9781416606451"</f>
        <v>9781416606451</v>
      </c>
      <c r="D4352" t="str">
        <f>"9781416607168"</f>
        <v>9781416607168</v>
      </c>
      <c r="E4352" t="s">
        <v>2492</v>
      </c>
      <c r="F4352" t="s">
        <v>2492</v>
      </c>
      <c r="G4352" s="1">
        <v>39448</v>
      </c>
      <c r="H4352" s="1">
        <v>39545</v>
      </c>
      <c r="I4352" t="s">
        <v>12</v>
      </c>
      <c r="J4352" t="s">
        <v>15122</v>
      </c>
    </row>
    <row r="4353" spans="1:10" x14ac:dyDescent="0.25">
      <c r="A4353">
        <v>329915</v>
      </c>
      <c r="B4353" t="s">
        <v>4542</v>
      </c>
      <c r="C4353" t="str">
        <f>"9781841501857"</f>
        <v>9781841501857</v>
      </c>
      <c r="D4353" t="str">
        <f>"9781841502182"</f>
        <v>9781841502182</v>
      </c>
      <c r="E4353" t="s">
        <v>2646</v>
      </c>
      <c r="F4353" t="s">
        <v>2647</v>
      </c>
      <c r="G4353" s="1">
        <v>39508</v>
      </c>
      <c r="H4353" s="1">
        <v>39637</v>
      </c>
      <c r="I4353" t="s">
        <v>12</v>
      </c>
      <c r="J4353" t="s">
        <v>15123</v>
      </c>
    </row>
    <row r="4354" spans="1:10" x14ac:dyDescent="0.25">
      <c r="A4354">
        <v>329916</v>
      </c>
      <c r="B4354" t="s">
        <v>4543</v>
      </c>
      <c r="C4354" t="str">
        <f>"9781841501628"</f>
        <v>9781841501628</v>
      </c>
      <c r="D4354" t="str">
        <f>"9781841502151"</f>
        <v>9781841502151</v>
      </c>
      <c r="E4354" t="s">
        <v>2646</v>
      </c>
      <c r="F4354" t="s">
        <v>2647</v>
      </c>
      <c r="G4354" s="1">
        <v>39083</v>
      </c>
      <c r="H4354" s="1">
        <v>39637</v>
      </c>
      <c r="I4354" t="s">
        <v>12</v>
      </c>
      <c r="J4354" t="s">
        <v>15124</v>
      </c>
    </row>
    <row r="4355" spans="1:10" x14ac:dyDescent="0.25">
      <c r="A4355">
        <v>329917</v>
      </c>
      <c r="B4355" t="s">
        <v>4544</v>
      </c>
      <c r="C4355" t="str">
        <f>"9781841501840"</f>
        <v>9781841501840</v>
      </c>
      <c r="D4355" t="str">
        <f>"9781841502212"</f>
        <v>9781841502212</v>
      </c>
      <c r="E4355" t="s">
        <v>2646</v>
      </c>
      <c r="F4355" t="s">
        <v>2647</v>
      </c>
      <c r="G4355" s="1">
        <v>39448</v>
      </c>
      <c r="H4355" s="1">
        <v>39643</v>
      </c>
      <c r="I4355" t="s">
        <v>12</v>
      </c>
      <c r="J4355" t="s">
        <v>15125</v>
      </c>
    </row>
    <row r="4356" spans="1:10" x14ac:dyDescent="0.25">
      <c r="A4356">
        <v>329919</v>
      </c>
      <c r="B4356" t="s">
        <v>4545</v>
      </c>
      <c r="C4356" t="str">
        <f>"9781841501536"</f>
        <v>9781841501536</v>
      </c>
      <c r="D4356" t="str">
        <f>"9781841502144"</f>
        <v>9781841502144</v>
      </c>
      <c r="E4356" t="s">
        <v>2646</v>
      </c>
      <c r="F4356" t="s">
        <v>2647</v>
      </c>
      <c r="G4356" s="1">
        <v>39083</v>
      </c>
      <c r="H4356" s="1">
        <v>39644</v>
      </c>
      <c r="I4356" t="s">
        <v>12</v>
      </c>
      <c r="J4356" t="s">
        <v>15126</v>
      </c>
    </row>
    <row r="4357" spans="1:10" x14ac:dyDescent="0.25">
      <c r="A4357">
        <v>329920</v>
      </c>
      <c r="B4357" t="s">
        <v>4546</v>
      </c>
      <c r="C4357" t="str">
        <f>"9781841501987"</f>
        <v>9781841501987</v>
      </c>
      <c r="D4357" t="str">
        <f>"9781841502205"</f>
        <v>9781841502205</v>
      </c>
      <c r="E4357" t="s">
        <v>2646</v>
      </c>
      <c r="F4357" t="s">
        <v>2647</v>
      </c>
      <c r="G4357" s="1">
        <v>39448</v>
      </c>
      <c r="H4357" s="1">
        <v>39637</v>
      </c>
      <c r="I4357" t="s">
        <v>12</v>
      </c>
      <c r="J4357" t="s">
        <v>15127</v>
      </c>
    </row>
    <row r="4358" spans="1:10" x14ac:dyDescent="0.25">
      <c r="A4358">
        <v>330097</v>
      </c>
      <c r="B4358" t="s">
        <v>4547</v>
      </c>
      <c r="C4358" t="str">
        <f>"9780240809557"</f>
        <v>9780240809557</v>
      </c>
      <c r="D4358" t="str">
        <f>"9780080556697"</f>
        <v>9780080556697</v>
      </c>
      <c r="E4358" t="s">
        <v>15</v>
      </c>
      <c r="F4358" t="s">
        <v>16</v>
      </c>
      <c r="G4358" s="1">
        <v>39434</v>
      </c>
      <c r="H4358" s="1">
        <v>39509</v>
      </c>
      <c r="I4358" t="s">
        <v>12</v>
      </c>
      <c r="J4358" t="s">
        <v>15128</v>
      </c>
    </row>
    <row r="4359" spans="1:10" x14ac:dyDescent="0.25">
      <c r="A4359">
        <v>330122</v>
      </c>
      <c r="B4359" t="s">
        <v>4548</v>
      </c>
      <c r="C4359" t="str">
        <f>"9780240520827"</f>
        <v>9780240520827</v>
      </c>
      <c r="D4359" t="str">
        <f>"9780080557359"</f>
        <v>9780080557359</v>
      </c>
      <c r="E4359" t="s">
        <v>15</v>
      </c>
      <c r="F4359" t="s">
        <v>1122</v>
      </c>
      <c r="G4359" s="1">
        <v>41162</v>
      </c>
      <c r="H4359" s="1">
        <v>39546</v>
      </c>
      <c r="I4359" t="s">
        <v>12</v>
      </c>
      <c r="J4359" t="s">
        <v>15129</v>
      </c>
    </row>
    <row r="4360" spans="1:10" x14ac:dyDescent="0.25">
      <c r="A4360">
        <v>330123</v>
      </c>
      <c r="B4360" t="s">
        <v>4549</v>
      </c>
      <c r="C4360" t="str">
        <f>"9780240809397"</f>
        <v>9780240809397</v>
      </c>
      <c r="D4360" t="str">
        <f>"9780080556901"</f>
        <v>9780080556901</v>
      </c>
      <c r="E4360" t="s">
        <v>15</v>
      </c>
      <c r="F4360" t="s">
        <v>1122</v>
      </c>
      <c r="G4360" s="1">
        <v>39483</v>
      </c>
      <c r="H4360" s="1">
        <v>39516</v>
      </c>
      <c r="I4360" t="s">
        <v>12</v>
      </c>
      <c r="J4360" t="s">
        <v>15130</v>
      </c>
    </row>
    <row r="4361" spans="1:10" x14ac:dyDescent="0.25">
      <c r="A4361">
        <v>330124</v>
      </c>
      <c r="B4361" t="s">
        <v>4550</v>
      </c>
      <c r="C4361" t="str">
        <f>"9780240809410"</f>
        <v>9780240809410</v>
      </c>
      <c r="D4361" t="str">
        <f>"9780080557069"</f>
        <v>9780080557069</v>
      </c>
      <c r="E4361" t="s">
        <v>15</v>
      </c>
      <c r="F4361" t="s">
        <v>16</v>
      </c>
      <c r="G4361" s="1">
        <v>39492</v>
      </c>
      <c r="H4361" s="1">
        <v>39546</v>
      </c>
      <c r="I4361" t="s">
        <v>12</v>
      </c>
      <c r="J4361" t="s">
        <v>15131</v>
      </c>
    </row>
    <row r="4362" spans="1:10" x14ac:dyDescent="0.25">
      <c r="A4362">
        <v>330125</v>
      </c>
      <c r="B4362" t="s">
        <v>4551</v>
      </c>
      <c r="C4362" t="str">
        <f>"9780240809588"</f>
        <v>9780240809588</v>
      </c>
      <c r="D4362" t="str">
        <f>"9780080557182"</f>
        <v>9780080557182</v>
      </c>
      <c r="E4362" t="s">
        <v>15</v>
      </c>
      <c r="F4362" t="s">
        <v>16</v>
      </c>
      <c r="G4362" s="1">
        <v>39470</v>
      </c>
      <c r="H4362" s="1">
        <v>39546</v>
      </c>
      <c r="I4362" t="s">
        <v>12</v>
      </c>
      <c r="J4362" t="s">
        <v>15132</v>
      </c>
    </row>
    <row r="4363" spans="1:10" x14ac:dyDescent="0.25">
      <c r="A4363">
        <v>330126</v>
      </c>
      <c r="B4363" t="s">
        <v>4552</v>
      </c>
      <c r="C4363" t="str">
        <f>"9780240810218"</f>
        <v>9780240810218</v>
      </c>
      <c r="D4363" t="str">
        <f>"9780080557342"</f>
        <v>9780080557342</v>
      </c>
      <c r="E4363" t="s">
        <v>15</v>
      </c>
      <c r="F4363" t="s">
        <v>1122</v>
      </c>
      <c r="G4363" s="1">
        <v>39443</v>
      </c>
      <c r="H4363" s="1">
        <v>39535</v>
      </c>
      <c r="I4363" t="s">
        <v>12</v>
      </c>
      <c r="J4363" t="s">
        <v>15133</v>
      </c>
    </row>
    <row r="4364" spans="1:10" x14ac:dyDescent="0.25">
      <c r="A4364">
        <v>330176</v>
      </c>
      <c r="B4364" t="s">
        <v>4553</v>
      </c>
      <c r="C4364" t="str">
        <f>"9780240810058"</f>
        <v>9780240810058</v>
      </c>
      <c r="D4364" t="str">
        <f>"9780080554785"</f>
        <v>9780080554785</v>
      </c>
      <c r="E4364" t="s">
        <v>15</v>
      </c>
      <c r="F4364" t="s">
        <v>16</v>
      </c>
      <c r="G4364" s="1">
        <v>39398</v>
      </c>
      <c r="H4364" s="1">
        <v>39529</v>
      </c>
      <c r="I4364" t="s">
        <v>12</v>
      </c>
      <c r="J4364" t="s">
        <v>15134</v>
      </c>
    </row>
    <row r="4365" spans="1:10" x14ac:dyDescent="0.25">
      <c r="A4365">
        <v>330223</v>
      </c>
      <c r="B4365" t="s">
        <v>4554</v>
      </c>
      <c r="C4365" t="str">
        <f>"9780240809632"</f>
        <v>9780240809632</v>
      </c>
      <c r="D4365" t="str">
        <f>"9780080555058"</f>
        <v>9780080555058</v>
      </c>
      <c r="E4365" t="s">
        <v>15</v>
      </c>
      <c r="F4365" t="s">
        <v>16</v>
      </c>
      <c r="G4365" s="1">
        <v>39419</v>
      </c>
      <c r="H4365" s="1">
        <v>39546</v>
      </c>
      <c r="I4365" t="s">
        <v>12</v>
      </c>
      <c r="J4365" t="s">
        <v>15135</v>
      </c>
    </row>
    <row r="4366" spans="1:10" x14ac:dyDescent="0.25">
      <c r="A4366">
        <v>330239</v>
      </c>
      <c r="B4366" t="s">
        <v>4555</v>
      </c>
      <c r="C4366" t="str">
        <f>"9780240806310"</f>
        <v>9780240806310</v>
      </c>
      <c r="D4366" t="str">
        <f>"9780080557540"</f>
        <v>9780080557540</v>
      </c>
      <c r="E4366" t="s">
        <v>15</v>
      </c>
      <c r="F4366" t="s">
        <v>16</v>
      </c>
      <c r="G4366" s="1">
        <v>39343</v>
      </c>
      <c r="H4366" s="1">
        <v>39529</v>
      </c>
      <c r="I4366" t="s">
        <v>12</v>
      </c>
      <c r="J4366" t="s">
        <v>15136</v>
      </c>
    </row>
    <row r="4367" spans="1:10" x14ac:dyDescent="0.25">
      <c r="A4367">
        <v>330258</v>
      </c>
      <c r="B4367" t="s">
        <v>4556</v>
      </c>
      <c r="C4367" t="str">
        <f>"9780240809748"</f>
        <v>9780240809748</v>
      </c>
      <c r="D4367" t="str">
        <f>"9780080560397"</f>
        <v>9780080560397</v>
      </c>
      <c r="E4367" t="s">
        <v>144</v>
      </c>
      <c r="F4367" t="s">
        <v>144</v>
      </c>
      <c r="G4367" s="1">
        <v>39486</v>
      </c>
      <c r="H4367" s="1">
        <v>39529</v>
      </c>
      <c r="I4367" t="s">
        <v>12</v>
      </c>
      <c r="J4367" t="s">
        <v>15137</v>
      </c>
    </row>
    <row r="4368" spans="1:10" x14ac:dyDescent="0.25">
      <c r="A4368">
        <v>330260</v>
      </c>
      <c r="B4368" t="s">
        <v>4557</v>
      </c>
      <c r="C4368" t="str">
        <f>"9781597492126"</f>
        <v>9781597492126</v>
      </c>
      <c r="D4368" t="str">
        <f>"9780080558639"</f>
        <v>9780080558639</v>
      </c>
      <c r="E4368" t="s">
        <v>2415</v>
      </c>
      <c r="F4368" t="s">
        <v>2416</v>
      </c>
      <c r="G4368" s="1">
        <v>39490</v>
      </c>
      <c r="H4368" s="1">
        <v>40084</v>
      </c>
      <c r="I4368" t="s">
        <v>12</v>
      </c>
      <c r="J4368" t="s">
        <v>15138</v>
      </c>
    </row>
    <row r="4369" spans="1:10" x14ac:dyDescent="0.25">
      <c r="A4369">
        <v>330505</v>
      </c>
      <c r="B4369" t="s">
        <v>4558</v>
      </c>
      <c r="C4369" t="str">
        <f>"9781593852184"</f>
        <v>9781593852184</v>
      </c>
      <c r="D4369" t="str">
        <f>"9781593859534"</f>
        <v>9781593859534</v>
      </c>
      <c r="E4369" t="s">
        <v>3740</v>
      </c>
      <c r="F4369" t="s">
        <v>3741</v>
      </c>
      <c r="G4369" s="1">
        <v>38699</v>
      </c>
      <c r="H4369" s="1">
        <v>39522</v>
      </c>
      <c r="I4369" t="s">
        <v>12</v>
      </c>
      <c r="J4369" t="s">
        <v>15139</v>
      </c>
    </row>
    <row r="4370" spans="1:10" x14ac:dyDescent="0.25">
      <c r="A4370">
        <v>330507</v>
      </c>
      <c r="B4370" t="s">
        <v>4559</v>
      </c>
      <c r="C4370" t="str">
        <f>"9781593852191"</f>
        <v>9781593852191</v>
      </c>
      <c r="D4370" t="str">
        <f>"9781593859558"</f>
        <v>9781593859558</v>
      </c>
      <c r="E4370" t="s">
        <v>3740</v>
      </c>
      <c r="F4370" t="s">
        <v>3741</v>
      </c>
      <c r="G4370" s="1">
        <v>38666</v>
      </c>
      <c r="H4370" s="1">
        <v>39522</v>
      </c>
      <c r="I4370" t="s">
        <v>12</v>
      </c>
      <c r="J4370" t="s">
        <v>15140</v>
      </c>
    </row>
    <row r="4371" spans="1:10" x14ac:dyDescent="0.25">
      <c r="A4371">
        <v>330509</v>
      </c>
      <c r="B4371" t="s">
        <v>4560</v>
      </c>
      <c r="C4371" t="str">
        <f>"9781593850845"</f>
        <v>9781593850845</v>
      </c>
      <c r="D4371" t="str">
        <f>"9781593859572"</f>
        <v>9781593859572</v>
      </c>
      <c r="E4371" t="s">
        <v>3740</v>
      </c>
      <c r="F4371" t="s">
        <v>3741</v>
      </c>
      <c r="G4371" s="1">
        <v>38210</v>
      </c>
      <c r="H4371" s="1">
        <v>39522</v>
      </c>
      <c r="I4371" t="s">
        <v>12</v>
      </c>
      <c r="J4371" t="s">
        <v>15141</v>
      </c>
    </row>
    <row r="4372" spans="1:10" x14ac:dyDescent="0.25">
      <c r="A4372">
        <v>330510</v>
      </c>
      <c r="B4372" t="s">
        <v>4561</v>
      </c>
      <c r="C4372" t="str">
        <f>"9781572308701"</f>
        <v>9781572308701</v>
      </c>
      <c r="D4372" t="str">
        <f>"9781593859589"</f>
        <v>9781593859589</v>
      </c>
      <c r="E4372" t="s">
        <v>3740</v>
      </c>
      <c r="F4372" t="s">
        <v>3741</v>
      </c>
      <c r="G4372" s="1">
        <v>38159</v>
      </c>
      <c r="H4372" s="1">
        <v>39522</v>
      </c>
      <c r="I4372" t="s">
        <v>12</v>
      </c>
      <c r="J4372" t="s">
        <v>15142</v>
      </c>
    </row>
    <row r="4373" spans="1:10" x14ac:dyDescent="0.25">
      <c r="A4373">
        <v>330511</v>
      </c>
      <c r="B4373" t="s">
        <v>4562</v>
      </c>
      <c r="C4373" t="str">
        <f>"9781572305441"</f>
        <v>9781572305441</v>
      </c>
      <c r="D4373" t="str">
        <f>"9781593859596"</f>
        <v>9781593859596</v>
      </c>
      <c r="E4373" t="s">
        <v>3740</v>
      </c>
      <c r="F4373" t="s">
        <v>3741</v>
      </c>
      <c r="G4373" s="1">
        <v>38057</v>
      </c>
      <c r="H4373" s="1">
        <v>39522</v>
      </c>
      <c r="I4373" t="s">
        <v>12</v>
      </c>
      <c r="J4373" t="s">
        <v>15143</v>
      </c>
    </row>
    <row r="4374" spans="1:10" x14ac:dyDescent="0.25">
      <c r="A4374">
        <v>330529</v>
      </c>
      <c r="B4374" t="s">
        <v>4563</v>
      </c>
      <c r="C4374" t="str">
        <f>"9781593850470"</f>
        <v>9781593850470</v>
      </c>
      <c r="D4374" t="str">
        <f>"9781593858896"</f>
        <v>9781593858896</v>
      </c>
      <c r="E4374" t="s">
        <v>3740</v>
      </c>
      <c r="F4374" t="s">
        <v>3754</v>
      </c>
      <c r="G4374" s="1">
        <v>41773</v>
      </c>
      <c r="H4374" s="1">
        <v>39522</v>
      </c>
      <c r="I4374" t="s">
        <v>12</v>
      </c>
      <c r="J4374" t="s">
        <v>15144</v>
      </c>
    </row>
    <row r="4375" spans="1:10" x14ac:dyDescent="0.25">
      <c r="A4375">
        <v>330532</v>
      </c>
      <c r="B4375" t="s">
        <v>4564</v>
      </c>
      <c r="C4375" t="str">
        <f>"9781572309951"</f>
        <v>9781572309951</v>
      </c>
      <c r="D4375" t="str">
        <f>"9781593856830"</f>
        <v>9781593856830</v>
      </c>
      <c r="E4375" t="s">
        <v>3740</v>
      </c>
      <c r="F4375" t="s">
        <v>3741</v>
      </c>
      <c r="G4375" s="1">
        <v>38621</v>
      </c>
      <c r="H4375" s="1">
        <v>39522</v>
      </c>
      <c r="I4375" t="s">
        <v>12</v>
      </c>
      <c r="J4375" t="s">
        <v>15145</v>
      </c>
    </row>
    <row r="4376" spans="1:10" x14ac:dyDescent="0.25">
      <c r="A4376">
        <v>330533</v>
      </c>
      <c r="B4376" t="s">
        <v>4565</v>
      </c>
      <c r="C4376" t="str">
        <f>"9781572309944"</f>
        <v>9781572309944</v>
      </c>
      <c r="D4376" t="str">
        <f>"9781593858926"</f>
        <v>9781593858926</v>
      </c>
      <c r="E4376" t="s">
        <v>3740</v>
      </c>
      <c r="F4376" t="s">
        <v>3741</v>
      </c>
      <c r="G4376" s="1">
        <v>38169</v>
      </c>
      <c r="H4376" s="1">
        <v>39522</v>
      </c>
      <c r="I4376" t="s">
        <v>12</v>
      </c>
      <c r="J4376" t="s">
        <v>15146</v>
      </c>
    </row>
    <row r="4377" spans="1:10" x14ac:dyDescent="0.25">
      <c r="A4377">
        <v>330537</v>
      </c>
      <c r="B4377" t="s">
        <v>4566</v>
      </c>
      <c r="C4377" t="str">
        <f>"9781572307421"</f>
        <v>9781572307421</v>
      </c>
      <c r="D4377" t="str">
        <f>"9781593858964"</f>
        <v>9781593858964</v>
      </c>
      <c r="E4377" t="s">
        <v>3740</v>
      </c>
      <c r="F4377" t="s">
        <v>3741</v>
      </c>
      <c r="G4377" s="1">
        <v>37490</v>
      </c>
      <c r="H4377" s="1">
        <v>39522</v>
      </c>
      <c r="I4377" t="s">
        <v>12</v>
      </c>
      <c r="J4377" t="s">
        <v>15147</v>
      </c>
    </row>
    <row r="4378" spans="1:10" x14ac:dyDescent="0.25">
      <c r="A4378">
        <v>330539</v>
      </c>
      <c r="B4378" t="s">
        <v>4567</v>
      </c>
      <c r="C4378" t="str">
        <f>"9781593850883"</f>
        <v>9781593850883</v>
      </c>
      <c r="D4378" t="str">
        <f>"9781593858971"</f>
        <v>9781593858971</v>
      </c>
      <c r="E4378" t="s">
        <v>3740</v>
      </c>
      <c r="F4378" t="s">
        <v>3741</v>
      </c>
      <c r="G4378" s="1">
        <v>38278</v>
      </c>
      <c r="H4378" s="1">
        <v>39522</v>
      </c>
      <c r="I4378" t="s">
        <v>12</v>
      </c>
      <c r="J4378" t="s">
        <v>15148</v>
      </c>
    </row>
    <row r="4379" spans="1:10" x14ac:dyDescent="0.25">
      <c r="A4379">
        <v>330541</v>
      </c>
      <c r="B4379" t="s">
        <v>4568</v>
      </c>
      <c r="C4379" t="str">
        <f>"9781572308046"</f>
        <v>9781572308046</v>
      </c>
      <c r="D4379" t="str">
        <f>"9781593858988"</f>
        <v>9781593858988</v>
      </c>
      <c r="E4379" t="s">
        <v>3740</v>
      </c>
      <c r="F4379" t="s">
        <v>3741</v>
      </c>
      <c r="G4379" s="1">
        <v>37580</v>
      </c>
      <c r="H4379" s="1">
        <v>39522</v>
      </c>
      <c r="I4379" t="s">
        <v>12</v>
      </c>
      <c r="J4379" t="s">
        <v>15149</v>
      </c>
    </row>
    <row r="4380" spans="1:10" x14ac:dyDescent="0.25">
      <c r="A4380">
        <v>330546</v>
      </c>
      <c r="B4380" t="s">
        <v>4569</v>
      </c>
      <c r="C4380" t="str">
        <f>"9781593851958"</f>
        <v>9781593851958</v>
      </c>
      <c r="D4380" t="str">
        <f>"9781593859039"</f>
        <v>9781593859039</v>
      </c>
      <c r="E4380" t="s">
        <v>3740</v>
      </c>
      <c r="F4380" t="s">
        <v>3741</v>
      </c>
      <c r="G4380" s="1">
        <v>38588</v>
      </c>
      <c r="H4380" s="1">
        <v>39522</v>
      </c>
      <c r="I4380" t="s">
        <v>12</v>
      </c>
      <c r="J4380" t="s">
        <v>15150</v>
      </c>
    </row>
    <row r="4381" spans="1:10" x14ac:dyDescent="0.25">
      <c r="A4381">
        <v>330547</v>
      </c>
      <c r="B4381" t="s">
        <v>4570</v>
      </c>
      <c r="C4381" t="str">
        <f>"9781572308565"</f>
        <v>9781572308565</v>
      </c>
      <c r="D4381" t="str">
        <f>"9781593859046"</f>
        <v>9781593859046</v>
      </c>
      <c r="E4381" t="s">
        <v>3740</v>
      </c>
      <c r="F4381" t="s">
        <v>3754</v>
      </c>
      <c r="G4381" s="1">
        <v>41773</v>
      </c>
      <c r="H4381" s="1">
        <v>39522</v>
      </c>
      <c r="I4381" t="s">
        <v>12</v>
      </c>
      <c r="J4381" t="s">
        <v>15151</v>
      </c>
    </row>
    <row r="4382" spans="1:10" x14ac:dyDescent="0.25">
      <c r="A4382">
        <v>330548</v>
      </c>
      <c r="B4382" t="s">
        <v>4571</v>
      </c>
      <c r="C4382" t="str">
        <f>"9781593851040"</f>
        <v>9781593851040</v>
      </c>
      <c r="D4382" t="str">
        <f>"9781593859053"</f>
        <v>9781593859053</v>
      </c>
      <c r="E4382" t="s">
        <v>3740</v>
      </c>
      <c r="F4382" t="s">
        <v>3741</v>
      </c>
      <c r="G4382" s="1">
        <v>38306</v>
      </c>
      <c r="H4382" s="1">
        <v>39522</v>
      </c>
      <c r="I4382" t="s">
        <v>12</v>
      </c>
      <c r="J4382" t="s">
        <v>15152</v>
      </c>
    </row>
    <row r="4383" spans="1:10" x14ac:dyDescent="0.25">
      <c r="A4383">
        <v>330549</v>
      </c>
      <c r="B4383" t="s">
        <v>4572</v>
      </c>
      <c r="C4383" t="str">
        <f>"9781572308534"</f>
        <v>9781572308534</v>
      </c>
      <c r="D4383" t="str">
        <f>"9781593859077"</f>
        <v>9781593859077</v>
      </c>
      <c r="E4383" t="s">
        <v>3740</v>
      </c>
      <c r="F4383" t="s">
        <v>3741</v>
      </c>
      <c r="G4383" s="1">
        <v>41773</v>
      </c>
      <c r="H4383" s="1">
        <v>39522</v>
      </c>
      <c r="I4383" t="s">
        <v>12</v>
      </c>
      <c r="J4383" t="s">
        <v>15153</v>
      </c>
    </row>
    <row r="4384" spans="1:10" x14ac:dyDescent="0.25">
      <c r="A4384">
        <v>330553</v>
      </c>
      <c r="B4384" t="s">
        <v>4573</v>
      </c>
      <c r="C4384" t="str">
        <f>"9781593851583"</f>
        <v>9781593851583</v>
      </c>
      <c r="D4384" t="str">
        <f>"9781593859138"</f>
        <v>9781593859138</v>
      </c>
      <c r="E4384" t="s">
        <v>3740</v>
      </c>
      <c r="F4384" t="s">
        <v>3741</v>
      </c>
      <c r="G4384" s="1">
        <v>38446</v>
      </c>
      <c r="H4384" s="1">
        <v>39522</v>
      </c>
      <c r="I4384" t="s">
        <v>12</v>
      </c>
      <c r="J4384" t="s">
        <v>15154</v>
      </c>
    </row>
    <row r="4385" spans="1:10" x14ac:dyDescent="0.25">
      <c r="A4385">
        <v>330555</v>
      </c>
      <c r="B4385" t="s">
        <v>4574</v>
      </c>
      <c r="C4385" t="str">
        <f>"9781593851880"</f>
        <v>9781593851880</v>
      </c>
      <c r="D4385" t="str">
        <f>"9781593859152"</f>
        <v>9781593859152</v>
      </c>
      <c r="E4385" t="s">
        <v>3740</v>
      </c>
      <c r="F4385" t="s">
        <v>3741</v>
      </c>
      <c r="G4385" s="1">
        <v>38540</v>
      </c>
      <c r="H4385" s="1">
        <v>39520</v>
      </c>
      <c r="I4385" t="s">
        <v>12</v>
      </c>
      <c r="J4385" t="s">
        <v>15155</v>
      </c>
    </row>
    <row r="4386" spans="1:10" x14ac:dyDescent="0.25">
      <c r="A4386">
        <v>330558</v>
      </c>
      <c r="B4386" t="s">
        <v>4575</v>
      </c>
      <c r="C4386" t="str">
        <f>"9781593850692"</f>
        <v>9781593850692</v>
      </c>
      <c r="D4386" t="str">
        <f>"9781593859176"</f>
        <v>9781593859176</v>
      </c>
      <c r="E4386" t="s">
        <v>3740</v>
      </c>
      <c r="F4386" t="s">
        <v>3754</v>
      </c>
      <c r="G4386" s="1">
        <v>41773</v>
      </c>
      <c r="H4386" s="1">
        <v>39522</v>
      </c>
      <c r="I4386" t="s">
        <v>12</v>
      </c>
      <c r="J4386" t="s">
        <v>15156</v>
      </c>
    </row>
    <row r="4387" spans="1:10" x14ac:dyDescent="0.25">
      <c r="A4387">
        <v>330562</v>
      </c>
      <c r="B4387" t="s">
        <v>4576</v>
      </c>
      <c r="C4387" t="str">
        <f>"9781593851231"</f>
        <v>9781593851231</v>
      </c>
      <c r="D4387" t="str">
        <f>"9781593859213"</f>
        <v>9781593859213</v>
      </c>
      <c r="E4387" t="s">
        <v>3740</v>
      </c>
      <c r="F4387" t="s">
        <v>3741</v>
      </c>
      <c r="G4387" s="1">
        <v>41773</v>
      </c>
      <c r="H4387" s="1">
        <v>39522</v>
      </c>
      <c r="I4387" t="s">
        <v>12</v>
      </c>
      <c r="J4387" t="s">
        <v>15157</v>
      </c>
    </row>
    <row r="4388" spans="1:10" x14ac:dyDescent="0.25">
      <c r="A4388">
        <v>330568</v>
      </c>
      <c r="B4388" t="s">
        <v>4577</v>
      </c>
      <c r="C4388" t="str">
        <f>"9781572308848"</f>
        <v>9781572308848</v>
      </c>
      <c r="D4388" t="str">
        <f>"9781593859282"</f>
        <v>9781593859282</v>
      </c>
      <c r="E4388" t="s">
        <v>3740</v>
      </c>
      <c r="F4388" t="s">
        <v>3741</v>
      </c>
      <c r="G4388" s="1">
        <v>37831</v>
      </c>
      <c r="H4388" s="1">
        <v>39522</v>
      </c>
      <c r="I4388" t="s">
        <v>12</v>
      </c>
      <c r="J4388" t="s">
        <v>15158</v>
      </c>
    </row>
    <row r="4389" spans="1:10" x14ac:dyDescent="0.25">
      <c r="A4389">
        <v>330569</v>
      </c>
      <c r="B4389" t="s">
        <v>4578</v>
      </c>
      <c r="C4389" t="str">
        <f>"9781593852122"</f>
        <v>9781593852122</v>
      </c>
      <c r="D4389" t="str">
        <f>"9781593856823"</f>
        <v>9781593856823</v>
      </c>
      <c r="E4389" t="s">
        <v>3740</v>
      </c>
      <c r="F4389" t="s">
        <v>3741</v>
      </c>
      <c r="G4389" s="1">
        <v>41773</v>
      </c>
      <c r="H4389" s="1">
        <v>39522</v>
      </c>
      <c r="I4389" t="s">
        <v>12</v>
      </c>
      <c r="J4389" t="s">
        <v>15159</v>
      </c>
    </row>
    <row r="4390" spans="1:10" x14ac:dyDescent="0.25">
      <c r="A4390">
        <v>330573</v>
      </c>
      <c r="B4390" t="s">
        <v>4579</v>
      </c>
      <c r="C4390" t="str">
        <f>"9781593851972"</f>
        <v>9781593851972</v>
      </c>
      <c r="D4390" t="str">
        <f>"9781593859336"</f>
        <v>9781593859336</v>
      </c>
      <c r="E4390" t="s">
        <v>3740</v>
      </c>
      <c r="F4390" t="s">
        <v>3741</v>
      </c>
      <c r="G4390" s="1">
        <v>38589</v>
      </c>
      <c r="H4390" s="1">
        <v>39522</v>
      </c>
      <c r="I4390" t="s">
        <v>12</v>
      </c>
      <c r="J4390" t="s">
        <v>15160</v>
      </c>
    </row>
    <row r="4391" spans="1:10" x14ac:dyDescent="0.25">
      <c r="A4391">
        <v>330578</v>
      </c>
      <c r="B4391" t="s">
        <v>4580</v>
      </c>
      <c r="C4391" t="str">
        <f>"9781593852214"</f>
        <v>9781593852214</v>
      </c>
      <c r="D4391" t="str">
        <f>"9781593856816"</f>
        <v>9781593856816</v>
      </c>
      <c r="E4391" t="s">
        <v>3740</v>
      </c>
      <c r="F4391" t="s">
        <v>3741</v>
      </c>
      <c r="G4391" s="1">
        <v>38701</v>
      </c>
      <c r="H4391" s="1">
        <v>39523</v>
      </c>
      <c r="I4391" t="s">
        <v>12</v>
      </c>
      <c r="J4391" t="s">
        <v>15161</v>
      </c>
    </row>
    <row r="4392" spans="1:10" x14ac:dyDescent="0.25">
      <c r="A4392">
        <v>330579</v>
      </c>
      <c r="B4392" t="s">
        <v>4581</v>
      </c>
      <c r="C4392" t="str">
        <f>"9781593851088"</f>
        <v>9781593851088</v>
      </c>
      <c r="D4392" t="str">
        <f>"9781593859381"</f>
        <v>9781593859381</v>
      </c>
      <c r="E4392" t="s">
        <v>3740</v>
      </c>
      <c r="F4392" t="s">
        <v>3741</v>
      </c>
      <c r="G4392" s="1">
        <v>38296</v>
      </c>
      <c r="H4392" s="1">
        <v>39522</v>
      </c>
      <c r="I4392" t="s">
        <v>12</v>
      </c>
      <c r="J4392" t="s">
        <v>15162</v>
      </c>
    </row>
    <row r="4393" spans="1:10" x14ac:dyDescent="0.25">
      <c r="A4393">
        <v>330580</v>
      </c>
      <c r="B4393" t="s">
        <v>4582</v>
      </c>
      <c r="C4393" t="str">
        <f>"9781593850661"</f>
        <v>9781593850661</v>
      </c>
      <c r="D4393" t="str">
        <f>"9781593859398"</f>
        <v>9781593859398</v>
      </c>
      <c r="E4393" t="s">
        <v>3740</v>
      </c>
      <c r="F4393" t="s">
        <v>3741</v>
      </c>
      <c r="G4393" s="1">
        <v>38230</v>
      </c>
      <c r="H4393" s="1">
        <v>39522</v>
      </c>
      <c r="I4393" t="s">
        <v>12</v>
      </c>
      <c r="J4393" t="s">
        <v>15163</v>
      </c>
    </row>
    <row r="4394" spans="1:10" x14ac:dyDescent="0.25">
      <c r="A4394">
        <v>330582</v>
      </c>
      <c r="B4394" t="s">
        <v>4583</v>
      </c>
      <c r="C4394" t="str">
        <f>"9781572307315"</f>
        <v>9781572307315</v>
      </c>
      <c r="D4394" t="str">
        <f>"9781593859411"</f>
        <v>9781593859411</v>
      </c>
      <c r="E4394" t="s">
        <v>3740</v>
      </c>
      <c r="F4394" t="s">
        <v>3741</v>
      </c>
      <c r="G4394" s="1">
        <v>37321</v>
      </c>
      <c r="H4394" s="1">
        <v>39522</v>
      </c>
      <c r="I4394" t="s">
        <v>12</v>
      </c>
      <c r="J4394" t="s">
        <v>15164</v>
      </c>
    </row>
    <row r="4395" spans="1:10" x14ac:dyDescent="0.25">
      <c r="A4395">
        <v>330590</v>
      </c>
      <c r="B4395" t="s">
        <v>4584</v>
      </c>
      <c r="C4395" t="str">
        <f>"9781572308381"</f>
        <v>9781572308381</v>
      </c>
      <c r="D4395" t="str">
        <f>"9781593859473"</f>
        <v>9781593859473</v>
      </c>
      <c r="E4395" t="s">
        <v>3740</v>
      </c>
      <c r="F4395" t="s">
        <v>3741</v>
      </c>
      <c r="G4395" s="1">
        <v>37708</v>
      </c>
      <c r="H4395" s="1">
        <v>39522</v>
      </c>
      <c r="I4395" t="s">
        <v>12</v>
      </c>
      <c r="J4395" t="s">
        <v>15165</v>
      </c>
    </row>
    <row r="4396" spans="1:10" x14ac:dyDescent="0.25">
      <c r="A4396">
        <v>330591</v>
      </c>
      <c r="B4396" t="s">
        <v>4585</v>
      </c>
      <c r="C4396" t="str">
        <f>"9781572307155"</f>
        <v>9781572307155</v>
      </c>
      <c r="D4396" t="str">
        <f>"9781593859480"</f>
        <v>9781593859480</v>
      </c>
      <c r="E4396" t="s">
        <v>3740</v>
      </c>
      <c r="F4396" t="s">
        <v>3741</v>
      </c>
      <c r="G4396" s="1">
        <v>37265</v>
      </c>
      <c r="H4396" s="1">
        <v>39522</v>
      </c>
      <c r="I4396" t="s">
        <v>12</v>
      </c>
      <c r="J4396" t="s">
        <v>15166</v>
      </c>
    </row>
    <row r="4397" spans="1:10" x14ac:dyDescent="0.25">
      <c r="A4397">
        <v>330595</v>
      </c>
      <c r="B4397" t="s">
        <v>4586</v>
      </c>
      <c r="C4397" t="str">
        <f>"9781593852030"</f>
        <v>9781593852030</v>
      </c>
      <c r="D4397" t="str">
        <f>"9781593856984"</f>
        <v>9781593856984</v>
      </c>
      <c r="E4397" t="s">
        <v>3740</v>
      </c>
      <c r="F4397" t="s">
        <v>3741</v>
      </c>
      <c r="G4397" s="1">
        <v>38643</v>
      </c>
      <c r="H4397" s="1">
        <v>39522</v>
      </c>
      <c r="I4397" t="s">
        <v>12</v>
      </c>
      <c r="J4397" t="s">
        <v>15167</v>
      </c>
    </row>
    <row r="4398" spans="1:10" x14ac:dyDescent="0.25">
      <c r="A4398">
        <v>331684</v>
      </c>
      <c r="B4398" t="s">
        <v>4587</v>
      </c>
      <c r="C4398" t="str">
        <f>"9780816643561"</f>
        <v>9780816643561</v>
      </c>
      <c r="D4398" t="str">
        <f>"9780816695980"</f>
        <v>9780816695980</v>
      </c>
      <c r="E4398" t="s">
        <v>3970</v>
      </c>
      <c r="F4398" t="s">
        <v>3970</v>
      </c>
      <c r="G4398" s="1">
        <v>39094</v>
      </c>
      <c r="H4398" s="1">
        <v>39546</v>
      </c>
      <c r="I4398" t="s">
        <v>12</v>
      </c>
      <c r="J4398" t="s">
        <v>15168</v>
      </c>
    </row>
    <row r="4399" spans="1:10" x14ac:dyDescent="0.25">
      <c r="A4399">
        <v>331685</v>
      </c>
      <c r="B4399" t="s">
        <v>4588</v>
      </c>
      <c r="C4399" t="str">
        <f>"9780816644612"</f>
        <v>9780816644612</v>
      </c>
      <c r="D4399" t="str">
        <f>"9780816696659"</f>
        <v>9780816696659</v>
      </c>
      <c r="E4399" t="s">
        <v>3970</v>
      </c>
      <c r="F4399" t="s">
        <v>3970</v>
      </c>
      <c r="G4399" s="1">
        <v>39133</v>
      </c>
      <c r="H4399" s="1">
        <v>39546</v>
      </c>
      <c r="I4399" t="s">
        <v>12</v>
      </c>
      <c r="J4399" t="s">
        <v>15169</v>
      </c>
    </row>
    <row r="4400" spans="1:10" x14ac:dyDescent="0.25">
      <c r="A4400">
        <v>331938</v>
      </c>
      <c r="B4400" t="s">
        <v>4589</v>
      </c>
      <c r="C4400" t="str">
        <f>"9780240809151"</f>
        <v>9780240809151</v>
      </c>
      <c r="D4400" t="str">
        <f>"9780080560991"</f>
        <v>9780080560991</v>
      </c>
      <c r="E4400" t="s">
        <v>15</v>
      </c>
      <c r="F4400" t="s">
        <v>1122</v>
      </c>
      <c r="G4400" s="1">
        <v>39226</v>
      </c>
      <c r="H4400" s="1">
        <v>39527</v>
      </c>
      <c r="I4400" t="s">
        <v>12</v>
      </c>
      <c r="J4400" t="s">
        <v>15170</v>
      </c>
    </row>
    <row r="4401" spans="1:10" x14ac:dyDescent="0.25">
      <c r="A4401">
        <v>331988</v>
      </c>
      <c r="B4401" t="s">
        <v>4590</v>
      </c>
      <c r="C4401" t="str">
        <f>"9780240808604"</f>
        <v>9780240808604</v>
      </c>
      <c r="D4401" t="str">
        <f>"9780080560885"</f>
        <v>9780080560885</v>
      </c>
      <c r="E4401" t="s">
        <v>15</v>
      </c>
      <c r="F4401" t="s">
        <v>1122</v>
      </c>
      <c r="G4401" s="1">
        <v>39497</v>
      </c>
      <c r="H4401" s="1">
        <v>39527</v>
      </c>
      <c r="I4401" t="s">
        <v>12</v>
      </c>
      <c r="J4401" t="s">
        <v>15171</v>
      </c>
    </row>
    <row r="4402" spans="1:10" x14ac:dyDescent="0.25">
      <c r="A4402">
        <v>332598</v>
      </c>
      <c r="B4402" t="s">
        <v>4591</v>
      </c>
      <c r="C4402" t="str">
        <f>"9781602580220"</f>
        <v>9781602580220</v>
      </c>
      <c r="D4402" t="str">
        <f>"9781602581715"</f>
        <v>9781602581715</v>
      </c>
      <c r="E4402" t="s">
        <v>2757</v>
      </c>
      <c r="F4402" t="s">
        <v>2757</v>
      </c>
      <c r="G4402" s="1">
        <v>39566</v>
      </c>
      <c r="H4402" s="1">
        <v>39557</v>
      </c>
      <c r="I4402" t="s">
        <v>12</v>
      </c>
      <c r="J4402" t="s">
        <v>15172</v>
      </c>
    </row>
    <row r="4403" spans="1:10" x14ac:dyDescent="0.25">
      <c r="A4403">
        <v>332599</v>
      </c>
      <c r="B4403" t="s">
        <v>4592</v>
      </c>
      <c r="C4403" t="str">
        <f>"9781932792843"</f>
        <v>9781932792843</v>
      </c>
      <c r="D4403" t="str">
        <f>"9781602581685"</f>
        <v>9781602581685</v>
      </c>
      <c r="E4403" t="s">
        <v>2757</v>
      </c>
      <c r="F4403" t="s">
        <v>2757</v>
      </c>
      <c r="G4403" s="1">
        <v>39462</v>
      </c>
      <c r="H4403" s="1">
        <v>39557</v>
      </c>
      <c r="I4403" t="s">
        <v>12</v>
      </c>
      <c r="J4403" t="s">
        <v>15173</v>
      </c>
    </row>
    <row r="4404" spans="1:10" x14ac:dyDescent="0.25">
      <c r="A4404">
        <v>332610</v>
      </c>
      <c r="B4404" t="s">
        <v>4593</v>
      </c>
      <c r="C4404" t="str">
        <f>"9780748623716"</f>
        <v>9780748623716</v>
      </c>
      <c r="D4404" t="str">
        <f>"9780748630165"</f>
        <v>9780748630165</v>
      </c>
      <c r="E4404" t="s">
        <v>1942</v>
      </c>
      <c r="F4404" t="s">
        <v>1942</v>
      </c>
      <c r="G4404" s="1">
        <v>39387</v>
      </c>
      <c r="H4404" s="1">
        <v>39534</v>
      </c>
      <c r="I4404" t="s">
        <v>12</v>
      </c>
      <c r="J4404" t="s">
        <v>15174</v>
      </c>
    </row>
    <row r="4405" spans="1:10" x14ac:dyDescent="0.25">
      <c r="A4405">
        <v>332611</v>
      </c>
      <c r="B4405" t="s">
        <v>4594</v>
      </c>
      <c r="C4405" t="str">
        <f>"9780748617159"</f>
        <v>9780748617159</v>
      </c>
      <c r="D4405" t="str">
        <f>"9780748626236"</f>
        <v>9780748626236</v>
      </c>
      <c r="E4405" t="s">
        <v>1942</v>
      </c>
      <c r="F4405" t="s">
        <v>1942</v>
      </c>
      <c r="G4405" s="1">
        <v>38691</v>
      </c>
      <c r="H4405" s="1">
        <v>39534</v>
      </c>
      <c r="I4405" t="s">
        <v>12</v>
      </c>
      <c r="J4405" t="s">
        <v>15175</v>
      </c>
    </row>
    <row r="4406" spans="1:10" x14ac:dyDescent="0.25">
      <c r="A4406">
        <v>332612</v>
      </c>
      <c r="B4406" t="s">
        <v>4595</v>
      </c>
      <c r="C4406" t="str">
        <f>"9780748625772"</f>
        <v>9780748625772</v>
      </c>
      <c r="D4406" t="str">
        <f>"9780748631193"</f>
        <v>9780748631193</v>
      </c>
      <c r="E4406" t="s">
        <v>1942</v>
      </c>
      <c r="F4406" t="s">
        <v>1942</v>
      </c>
      <c r="G4406" s="1">
        <v>39500</v>
      </c>
      <c r="H4406" s="1">
        <v>39534</v>
      </c>
      <c r="I4406" t="s">
        <v>12</v>
      </c>
      <c r="J4406" t="s">
        <v>15176</v>
      </c>
    </row>
    <row r="4407" spans="1:10" x14ac:dyDescent="0.25">
      <c r="A4407">
        <v>332614</v>
      </c>
      <c r="B4407" t="s">
        <v>4596</v>
      </c>
      <c r="C4407" t="str">
        <f>"9780748634071"</f>
        <v>9780748634071</v>
      </c>
      <c r="D4407" t="str">
        <f>"9780748634095"</f>
        <v>9780748634095</v>
      </c>
      <c r="E4407" t="s">
        <v>1942</v>
      </c>
      <c r="F4407" t="s">
        <v>1942</v>
      </c>
      <c r="G4407" s="1">
        <v>39462</v>
      </c>
      <c r="H4407" s="1">
        <v>39534</v>
      </c>
      <c r="I4407" t="s">
        <v>12</v>
      </c>
      <c r="J4407" t="s">
        <v>15177</v>
      </c>
    </row>
    <row r="4408" spans="1:10" x14ac:dyDescent="0.25">
      <c r="A4408">
        <v>332617</v>
      </c>
      <c r="B4408" t="s">
        <v>4597</v>
      </c>
      <c r="C4408" t="str">
        <f>"9780748625758"</f>
        <v>9780748625758</v>
      </c>
      <c r="D4408" t="str">
        <f>"9780748631186"</f>
        <v>9780748631186</v>
      </c>
      <c r="E4408" t="s">
        <v>1942</v>
      </c>
      <c r="F4408" t="s">
        <v>1942</v>
      </c>
      <c r="G4408" s="1">
        <v>39484</v>
      </c>
      <c r="H4408" s="1">
        <v>39534</v>
      </c>
      <c r="I4408" t="s">
        <v>12</v>
      </c>
      <c r="J4408" t="s">
        <v>15178</v>
      </c>
    </row>
    <row r="4409" spans="1:10" x14ac:dyDescent="0.25">
      <c r="A4409">
        <v>332639</v>
      </c>
      <c r="B4409" t="s">
        <v>4598</v>
      </c>
      <c r="C4409" t="str">
        <f>"9780749452285"</f>
        <v>9780749452285</v>
      </c>
      <c r="D4409" t="str">
        <f>"9780749453534"</f>
        <v>9780749453534</v>
      </c>
      <c r="E4409" t="s">
        <v>1059</v>
      </c>
      <c r="F4409" t="s">
        <v>1059</v>
      </c>
      <c r="G4409" s="1">
        <v>39450</v>
      </c>
      <c r="H4409" s="1">
        <v>39534</v>
      </c>
      <c r="I4409" t="s">
        <v>12</v>
      </c>
      <c r="J4409" t="s">
        <v>15179</v>
      </c>
    </row>
    <row r="4410" spans="1:10" x14ac:dyDescent="0.25">
      <c r="A4410">
        <v>332646</v>
      </c>
      <c r="B4410" t="s">
        <v>4599</v>
      </c>
      <c r="C4410" t="str">
        <f>"9780749452346"</f>
        <v>9780749452346</v>
      </c>
      <c r="D4410" t="str">
        <f>"9780749453602"</f>
        <v>9780749453602</v>
      </c>
      <c r="E4410" t="s">
        <v>1059</v>
      </c>
      <c r="F4410" t="s">
        <v>1059</v>
      </c>
      <c r="G4410" s="1">
        <v>39481</v>
      </c>
      <c r="H4410" s="1">
        <v>39534</v>
      </c>
      <c r="I4410" t="s">
        <v>12</v>
      </c>
      <c r="J4410" t="s">
        <v>15180</v>
      </c>
    </row>
    <row r="4411" spans="1:10" x14ac:dyDescent="0.25">
      <c r="A4411">
        <v>332664</v>
      </c>
      <c r="B4411" t="s">
        <v>4600</v>
      </c>
      <c r="C4411" t="str">
        <f>"9780335221646"</f>
        <v>9780335221646</v>
      </c>
      <c r="D4411" t="str">
        <f>"9780335233878"</f>
        <v>9780335233878</v>
      </c>
      <c r="E4411" t="s">
        <v>2795</v>
      </c>
      <c r="F4411" t="s">
        <v>2796</v>
      </c>
      <c r="G4411" s="1">
        <v>39295</v>
      </c>
      <c r="H4411" s="1">
        <v>39534</v>
      </c>
      <c r="I4411" t="s">
        <v>12</v>
      </c>
      <c r="J4411" t="s">
        <v>15181</v>
      </c>
    </row>
    <row r="4412" spans="1:10" x14ac:dyDescent="0.25">
      <c r="A4412">
        <v>332682</v>
      </c>
      <c r="B4412" t="s">
        <v>4601</v>
      </c>
      <c r="C4412" t="str">
        <f>"9780335221875"</f>
        <v>9780335221875</v>
      </c>
      <c r="D4412" t="str">
        <f>"9780335234936"</f>
        <v>9780335234936</v>
      </c>
      <c r="E4412" t="s">
        <v>2795</v>
      </c>
      <c r="F4412" t="s">
        <v>2796</v>
      </c>
      <c r="G4412" s="1">
        <v>39326</v>
      </c>
      <c r="H4412" s="1">
        <v>39534</v>
      </c>
      <c r="I4412" t="s">
        <v>12</v>
      </c>
      <c r="J4412" t="s">
        <v>15182</v>
      </c>
    </row>
    <row r="4413" spans="1:10" x14ac:dyDescent="0.25">
      <c r="A4413">
        <v>332693</v>
      </c>
      <c r="B4413" t="s">
        <v>4602</v>
      </c>
      <c r="C4413" t="str">
        <f>"9781847690333"</f>
        <v>9781847690333</v>
      </c>
      <c r="D4413" t="str">
        <f>"9781847690340"</f>
        <v>9781847690340</v>
      </c>
      <c r="E4413" t="s">
        <v>886</v>
      </c>
      <c r="F4413" t="s">
        <v>887</v>
      </c>
      <c r="G4413" s="1">
        <v>39482</v>
      </c>
      <c r="H4413" s="1">
        <v>39534</v>
      </c>
      <c r="I4413" t="s">
        <v>12</v>
      </c>
      <c r="J4413" t="s">
        <v>15183</v>
      </c>
    </row>
    <row r="4414" spans="1:10" x14ac:dyDescent="0.25">
      <c r="A4414">
        <v>332694</v>
      </c>
      <c r="B4414" t="s">
        <v>4603</v>
      </c>
      <c r="C4414" t="str">
        <f>"9781847690425"</f>
        <v>9781847690425</v>
      </c>
      <c r="D4414" t="str">
        <f>"9781847690432"</f>
        <v>9781847690432</v>
      </c>
      <c r="E4414" t="s">
        <v>886</v>
      </c>
      <c r="F4414" t="s">
        <v>887</v>
      </c>
      <c r="G4414" s="1">
        <v>39514</v>
      </c>
      <c r="H4414" s="1">
        <v>39534</v>
      </c>
      <c r="I4414" t="s">
        <v>12</v>
      </c>
      <c r="J4414" t="s">
        <v>15184</v>
      </c>
    </row>
    <row r="4415" spans="1:10" x14ac:dyDescent="0.25">
      <c r="A4415">
        <v>332696</v>
      </c>
      <c r="B4415" t="s">
        <v>4604</v>
      </c>
      <c r="C4415" t="str">
        <f>"9781847690531"</f>
        <v>9781847690531</v>
      </c>
      <c r="D4415" t="str">
        <f>"9781847690548"</f>
        <v>9781847690548</v>
      </c>
      <c r="E4415" t="s">
        <v>886</v>
      </c>
      <c r="F4415" t="s">
        <v>887</v>
      </c>
      <c r="G4415" s="1">
        <v>39535</v>
      </c>
      <c r="H4415" s="1">
        <v>39534</v>
      </c>
      <c r="I4415" t="s">
        <v>12</v>
      </c>
      <c r="J4415" t="s">
        <v>15185</v>
      </c>
    </row>
    <row r="4416" spans="1:10" x14ac:dyDescent="0.25">
      <c r="A4416">
        <v>332697</v>
      </c>
      <c r="B4416" t="s">
        <v>4605</v>
      </c>
      <c r="C4416" t="str">
        <f>"9781847690494"</f>
        <v>9781847690494</v>
      </c>
      <c r="D4416" t="str">
        <f>"9781847690500"</f>
        <v>9781847690500</v>
      </c>
      <c r="E4416" t="s">
        <v>886</v>
      </c>
      <c r="F4416" t="s">
        <v>887</v>
      </c>
      <c r="G4416" s="1">
        <v>39535</v>
      </c>
      <c r="H4416" s="1">
        <v>39534</v>
      </c>
      <c r="I4416" t="s">
        <v>12</v>
      </c>
      <c r="J4416" t="s">
        <v>15186</v>
      </c>
    </row>
    <row r="4417" spans="1:10" x14ac:dyDescent="0.25">
      <c r="A4417">
        <v>332699</v>
      </c>
      <c r="B4417" t="s">
        <v>4606</v>
      </c>
      <c r="C4417" t="str">
        <f>"9781847690388"</f>
        <v>9781847690388</v>
      </c>
      <c r="D4417" t="str">
        <f>"9781847690401"</f>
        <v>9781847690401</v>
      </c>
      <c r="E4417" t="s">
        <v>886</v>
      </c>
      <c r="F4417" t="s">
        <v>887</v>
      </c>
      <c r="G4417" s="1">
        <v>39482</v>
      </c>
      <c r="H4417" s="1">
        <v>39534</v>
      </c>
      <c r="I4417" t="s">
        <v>12</v>
      </c>
      <c r="J4417" t="s">
        <v>15187</v>
      </c>
    </row>
    <row r="4418" spans="1:10" x14ac:dyDescent="0.25">
      <c r="A4418">
        <v>332700</v>
      </c>
      <c r="B4418" t="s">
        <v>4607</v>
      </c>
      <c r="C4418" t="str">
        <f>"9781847690289"</f>
        <v>9781847690289</v>
      </c>
      <c r="D4418" t="str">
        <f>"9781847690296"</f>
        <v>9781847690296</v>
      </c>
      <c r="E4418" t="s">
        <v>886</v>
      </c>
      <c r="F4418" t="s">
        <v>887</v>
      </c>
      <c r="G4418" s="1">
        <v>39492</v>
      </c>
      <c r="H4418" s="1">
        <v>39534</v>
      </c>
      <c r="I4418" t="s">
        <v>12</v>
      </c>
      <c r="J4418" t="s">
        <v>15188</v>
      </c>
    </row>
    <row r="4419" spans="1:10" x14ac:dyDescent="0.25">
      <c r="A4419">
        <v>332711</v>
      </c>
      <c r="B4419" t="s">
        <v>4608</v>
      </c>
      <c r="C4419" t="str">
        <f>"9780335220939"</f>
        <v>9780335220939</v>
      </c>
      <c r="D4419" t="str">
        <f>"9780335235087"</f>
        <v>9780335235087</v>
      </c>
      <c r="E4419" t="s">
        <v>2795</v>
      </c>
      <c r="F4419" t="s">
        <v>2796</v>
      </c>
      <c r="G4419" s="1">
        <v>39417</v>
      </c>
      <c r="H4419" s="1">
        <v>39534</v>
      </c>
      <c r="I4419" t="s">
        <v>12</v>
      </c>
      <c r="J4419" t="s">
        <v>15189</v>
      </c>
    </row>
    <row r="4420" spans="1:10" x14ac:dyDescent="0.25">
      <c r="A4420">
        <v>332717</v>
      </c>
      <c r="B4420" t="s">
        <v>4609</v>
      </c>
      <c r="C4420" t="str">
        <f>"9780335223053"</f>
        <v>9780335223053</v>
      </c>
      <c r="D4420" t="str">
        <f>"9780335235148"</f>
        <v>9780335235148</v>
      </c>
      <c r="E4420" t="s">
        <v>2795</v>
      </c>
      <c r="F4420" t="s">
        <v>2796</v>
      </c>
      <c r="G4420" s="1">
        <v>39417</v>
      </c>
      <c r="H4420" s="1">
        <v>39534</v>
      </c>
      <c r="I4420" t="s">
        <v>12</v>
      </c>
      <c r="J4420" t="s">
        <v>15190</v>
      </c>
    </row>
    <row r="4421" spans="1:10" x14ac:dyDescent="0.25">
      <c r="A4421">
        <v>332727</v>
      </c>
      <c r="B4421" t="s">
        <v>4610</v>
      </c>
      <c r="C4421" t="str">
        <f>"9780335227242"</f>
        <v>9780335227242</v>
      </c>
      <c r="D4421" t="str">
        <f>"9780335235247"</f>
        <v>9780335235247</v>
      </c>
      <c r="E4421" t="s">
        <v>2795</v>
      </c>
      <c r="F4421" t="s">
        <v>2796</v>
      </c>
      <c r="G4421" s="1">
        <v>39417</v>
      </c>
      <c r="H4421" s="1">
        <v>39534</v>
      </c>
      <c r="I4421" t="s">
        <v>12</v>
      </c>
      <c r="J4421" t="s">
        <v>15191</v>
      </c>
    </row>
    <row r="4422" spans="1:10" x14ac:dyDescent="0.25">
      <c r="A4422">
        <v>332731</v>
      </c>
      <c r="B4422" t="s">
        <v>4611</v>
      </c>
      <c r="C4422" t="str">
        <f>"9780335218110"</f>
        <v>9780335218110</v>
      </c>
      <c r="D4422" t="str">
        <f>"9780335235285"</f>
        <v>9780335235285</v>
      </c>
      <c r="E4422" t="s">
        <v>2795</v>
      </c>
      <c r="F4422" t="s">
        <v>2796</v>
      </c>
      <c r="G4422" s="1">
        <v>39417</v>
      </c>
      <c r="H4422" s="1">
        <v>39534</v>
      </c>
      <c r="I4422" t="s">
        <v>12</v>
      </c>
      <c r="J4422" t="s">
        <v>15192</v>
      </c>
    </row>
    <row r="4423" spans="1:10" x14ac:dyDescent="0.25">
      <c r="A4423">
        <v>332732</v>
      </c>
      <c r="B4423" t="s">
        <v>4612</v>
      </c>
      <c r="C4423" t="str">
        <f>"9780335221950"</f>
        <v>9780335221950</v>
      </c>
      <c r="D4423" t="str">
        <f>"9780335235292"</f>
        <v>9780335235292</v>
      </c>
      <c r="E4423" t="s">
        <v>2795</v>
      </c>
      <c r="F4423" t="s">
        <v>2796</v>
      </c>
      <c r="G4423" s="1">
        <v>39417</v>
      </c>
      <c r="H4423" s="1">
        <v>39534</v>
      </c>
      <c r="I4423" t="s">
        <v>12</v>
      </c>
      <c r="J4423" t="s">
        <v>15193</v>
      </c>
    </row>
    <row r="4424" spans="1:10" x14ac:dyDescent="0.25">
      <c r="A4424">
        <v>332862</v>
      </c>
      <c r="B4424" t="s">
        <v>4613</v>
      </c>
      <c r="C4424" t="str">
        <f>"9780803215412"</f>
        <v>9780803215412</v>
      </c>
      <c r="D4424" t="str">
        <f>"9780803217812"</f>
        <v>9780803217812</v>
      </c>
      <c r="E4424" t="s">
        <v>2728</v>
      </c>
      <c r="F4424" t="s">
        <v>2729</v>
      </c>
      <c r="G4424" s="1">
        <v>39600</v>
      </c>
      <c r="H4424" s="1">
        <v>39600</v>
      </c>
      <c r="I4424" t="s">
        <v>12</v>
      </c>
      <c r="J4424" t="s">
        <v>15194</v>
      </c>
    </row>
    <row r="4425" spans="1:10" x14ac:dyDescent="0.25">
      <c r="A4425">
        <v>332863</v>
      </c>
      <c r="B4425" t="s">
        <v>4614</v>
      </c>
      <c r="C4425" t="str">
        <f>"9780803224094"</f>
        <v>9780803224094</v>
      </c>
      <c r="D4425" t="str">
        <f>"9780803223981"</f>
        <v>9780803223981</v>
      </c>
      <c r="E4425" t="s">
        <v>2728</v>
      </c>
      <c r="F4425" t="s">
        <v>2729</v>
      </c>
      <c r="G4425" s="1">
        <v>39600</v>
      </c>
      <c r="H4425" s="1">
        <v>39600</v>
      </c>
      <c r="I4425" t="s">
        <v>12</v>
      </c>
      <c r="J4425" t="s">
        <v>15195</v>
      </c>
    </row>
    <row r="4426" spans="1:10" x14ac:dyDescent="0.25">
      <c r="A4426">
        <v>332865</v>
      </c>
      <c r="B4426" t="s">
        <v>4615</v>
      </c>
      <c r="C4426" t="str">
        <f>"9780803233478"</f>
        <v>9780803233478</v>
      </c>
      <c r="D4426" t="str">
        <f>"9780803217713"</f>
        <v>9780803217713</v>
      </c>
      <c r="E4426" t="s">
        <v>2728</v>
      </c>
      <c r="F4426" t="s">
        <v>2729</v>
      </c>
      <c r="G4426" s="1">
        <v>39600</v>
      </c>
      <c r="H4426" s="1">
        <v>39600</v>
      </c>
      <c r="I4426" t="s">
        <v>12</v>
      </c>
      <c r="J4426" t="s">
        <v>15196</v>
      </c>
    </row>
    <row r="4427" spans="1:10" x14ac:dyDescent="0.25">
      <c r="A4427">
        <v>332867</v>
      </c>
      <c r="B4427" t="s">
        <v>4616</v>
      </c>
      <c r="C4427" t="str">
        <f>"9780803215474"</f>
        <v>9780803215474</v>
      </c>
      <c r="D4427" t="str">
        <f>"9780803217355"</f>
        <v>9780803217355</v>
      </c>
      <c r="E4427" t="s">
        <v>2728</v>
      </c>
      <c r="F4427" t="s">
        <v>2729</v>
      </c>
      <c r="G4427" s="1">
        <v>39600</v>
      </c>
      <c r="H4427" s="1">
        <v>39600</v>
      </c>
      <c r="I4427" t="s">
        <v>12</v>
      </c>
      <c r="J4427" t="s">
        <v>15197</v>
      </c>
    </row>
    <row r="4428" spans="1:10" x14ac:dyDescent="0.25">
      <c r="A4428">
        <v>332868</v>
      </c>
      <c r="B4428" t="s">
        <v>4617</v>
      </c>
      <c r="C4428" t="str">
        <f>"9780803210851"</f>
        <v>9780803210851</v>
      </c>
      <c r="D4428" t="str">
        <f>"9780803216297"</f>
        <v>9780803216297</v>
      </c>
      <c r="E4428" t="s">
        <v>2728</v>
      </c>
      <c r="F4428" t="s">
        <v>2729</v>
      </c>
      <c r="G4428" s="1">
        <v>39600</v>
      </c>
      <c r="H4428" s="1">
        <v>39600</v>
      </c>
      <c r="I4428" t="s">
        <v>12</v>
      </c>
      <c r="J4428" t="s">
        <v>15198</v>
      </c>
    </row>
    <row r="4429" spans="1:10" x14ac:dyDescent="0.25">
      <c r="A4429">
        <v>332875</v>
      </c>
      <c r="B4429" t="s">
        <v>4618</v>
      </c>
      <c r="C4429" t="str">
        <f>"9780803222236"</f>
        <v>9780803222236</v>
      </c>
      <c r="D4429" t="str">
        <f>"9780803222052"</f>
        <v>9780803222052</v>
      </c>
      <c r="E4429" t="s">
        <v>2728</v>
      </c>
      <c r="F4429" t="s">
        <v>2729</v>
      </c>
      <c r="G4429" s="1">
        <v>39600</v>
      </c>
      <c r="H4429" s="1">
        <v>39600</v>
      </c>
      <c r="I4429" t="s">
        <v>12</v>
      </c>
      <c r="J4429" t="s">
        <v>15199</v>
      </c>
    </row>
    <row r="4430" spans="1:10" x14ac:dyDescent="0.25">
      <c r="A4430">
        <v>332882</v>
      </c>
      <c r="B4430" t="s">
        <v>4619</v>
      </c>
      <c r="C4430" t="str">
        <f>"9780803220348"</f>
        <v>9780803220348</v>
      </c>
      <c r="D4430" t="str">
        <f>"9780803219595"</f>
        <v>9780803219595</v>
      </c>
      <c r="E4430" t="s">
        <v>2728</v>
      </c>
      <c r="F4430" t="s">
        <v>2729</v>
      </c>
      <c r="G4430" s="1">
        <v>39508</v>
      </c>
      <c r="H4430" s="1">
        <v>39534</v>
      </c>
      <c r="I4430" t="s">
        <v>12</v>
      </c>
      <c r="J4430" t="s">
        <v>15200</v>
      </c>
    </row>
    <row r="4431" spans="1:10" x14ac:dyDescent="0.25">
      <c r="A4431">
        <v>332884</v>
      </c>
      <c r="B4431" t="s">
        <v>4620</v>
      </c>
      <c r="C4431" t="str">
        <f>"9780803217690"</f>
        <v>9780803217690</v>
      </c>
      <c r="D4431" t="str">
        <f>"9780803218666"</f>
        <v>9780803218666</v>
      </c>
      <c r="E4431" t="s">
        <v>2728</v>
      </c>
      <c r="F4431" t="s">
        <v>2729</v>
      </c>
      <c r="G4431" s="1">
        <v>39569</v>
      </c>
      <c r="H4431" s="1">
        <v>39534</v>
      </c>
      <c r="I4431" t="s">
        <v>12</v>
      </c>
      <c r="J4431" t="s">
        <v>15201</v>
      </c>
    </row>
    <row r="4432" spans="1:10" x14ac:dyDescent="0.25">
      <c r="A4432">
        <v>332886</v>
      </c>
      <c r="B4432" t="s">
        <v>4621</v>
      </c>
      <c r="C4432" t="str">
        <f>"9780803211445"</f>
        <v>9780803211445</v>
      </c>
      <c r="D4432" t="str">
        <f>"9780803217362"</f>
        <v>9780803217362</v>
      </c>
      <c r="E4432" t="s">
        <v>2728</v>
      </c>
      <c r="F4432" t="s">
        <v>2729</v>
      </c>
      <c r="G4432" s="1">
        <v>39539</v>
      </c>
      <c r="H4432" s="1">
        <v>39539</v>
      </c>
      <c r="I4432" t="s">
        <v>12</v>
      </c>
      <c r="J4432" t="s">
        <v>15202</v>
      </c>
    </row>
    <row r="4433" spans="1:10" x14ac:dyDescent="0.25">
      <c r="A4433">
        <v>332887</v>
      </c>
      <c r="B4433" t="s">
        <v>4622</v>
      </c>
      <c r="C4433" t="str">
        <f>"9780803211438"</f>
        <v>9780803211438</v>
      </c>
      <c r="D4433" t="str">
        <f>"9780803216228"</f>
        <v>9780803216228</v>
      </c>
      <c r="E4433" t="s">
        <v>4067</v>
      </c>
      <c r="F4433" t="s">
        <v>2729</v>
      </c>
      <c r="G4433" s="1">
        <v>39508</v>
      </c>
      <c r="H4433" s="1">
        <v>39534</v>
      </c>
      <c r="I4433" t="s">
        <v>12</v>
      </c>
      <c r="J4433" t="s">
        <v>15203</v>
      </c>
    </row>
    <row r="4434" spans="1:10" x14ac:dyDescent="0.25">
      <c r="A4434">
        <v>332889</v>
      </c>
      <c r="B4434" t="s">
        <v>4623</v>
      </c>
      <c r="C4434" t="str">
        <f>"9780803213821"</f>
        <v>9780803213821</v>
      </c>
      <c r="D4434" t="str">
        <f>"9780803216495"</f>
        <v>9780803216495</v>
      </c>
      <c r="E4434" t="s">
        <v>2728</v>
      </c>
      <c r="F4434" t="s">
        <v>2729</v>
      </c>
      <c r="G4434" s="1">
        <v>39508</v>
      </c>
      <c r="H4434" s="1">
        <v>39534</v>
      </c>
      <c r="I4434" t="s">
        <v>12</v>
      </c>
      <c r="J4434" t="s">
        <v>15204</v>
      </c>
    </row>
    <row r="4435" spans="1:10" x14ac:dyDescent="0.25">
      <c r="A4435">
        <v>332892</v>
      </c>
      <c r="B4435" t="s">
        <v>4624</v>
      </c>
      <c r="C4435" t="str">
        <f>"9780803218314"</f>
        <v>9780803218314</v>
      </c>
      <c r="D4435" t="str">
        <f>"9780803217416"</f>
        <v>9780803217416</v>
      </c>
      <c r="E4435" t="s">
        <v>2735</v>
      </c>
      <c r="F4435" t="s">
        <v>2728</v>
      </c>
      <c r="G4435" s="1">
        <v>43922</v>
      </c>
      <c r="H4435" s="1">
        <v>39534</v>
      </c>
      <c r="I4435" t="s">
        <v>12</v>
      </c>
      <c r="J4435" t="s">
        <v>15205</v>
      </c>
    </row>
    <row r="4436" spans="1:10" x14ac:dyDescent="0.25">
      <c r="A4436">
        <v>332928</v>
      </c>
      <c r="B4436" t="s">
        <v>4625</v>
      </c>
      <c r="C4436" t="str">
        <f>"9781842770092"</f>
        <v>9781842770092</v>
      </c>
      <c r="D4436" t="str">
        <f>"9781848131323"</f>
        <v>9781848131323</v>
      </c>
      <c r="E4436" t="s">
        <v>4626</v>
      </c>
      <c r="F4436" t="s">
        <v>4626</v>
      </c>
      <c r="G4436" s="1">
        <v>38596</v>
      </c>
      <c r="H4436" s="1">
        <v>39555</v>
      </c>
      <c r="I4436" t="s">
        <v>12</v>
      </c>
      <c r="J4436" t="s">
        <v>15206</v>
      </c>
    </row>
    <row r="4437" spans="1:10" x14ac:dyDescent="0.25">
      <c r="A4437">
        <v>332929</v>
      </c>
      <c r="B4437" t="s">
        <v>4627</v>
      </c>
      <c r="C4437" t="str">
        <f>"9781842778197"</f>
        <v>9781842778197</v>
      </c>
      <c r="D4437" t="str">
        <f>"9781848131330"</f>
        <v>9781848131330</v>
      </c>
      <c r="E4437" t="s">
        <v>4626</v>
      </c>
      <c r="F4437" t="s">
        <v>4626</v>
      </c>
      <c r="G4437" s="1">
        <v>39082</v>
      </c>
      <c r="H4437" s="1">
        <v>39555</v>
      </c>
      <c r="I4437" t="s">
        <v>12</v>
      </c>
      <c r="J4437" t="s">
        <v>15207</v>
      </c>
    </row>
    <row r="4438" spans="1:10" x14ac:dyDescent="0.25">
      <c r="A4438">
        <v>332946</v>
      </c>
      <c r="B4438" t="s">
        <v>4628</v>
      </c>
      <c r="C4438" t="str">
        <f>"9781842774793"</f>
        <v>9781842774793</v>
      </c>
      <c r="D4438" t="str">
        <f>"9781848131651"</f>
        <v>9781848131651</v>
      </c>
      <c r="E4438" t="s">
        <v>4626</v>
      </c>
      <c r="F4438" t="s">
        <v>4626</v>
      </c>
      <c r="G4438" s="1">
        <v>37987</v>
      </c>
      <c r="H4438" s="1">
        <v>39556</v>
      </c>
      <c r="I4438" t="s">
        <v>12</v>
      </c>
      <c r="J4438" t="s">
        <v>15208</v>
      </c>
    </row>
    <row r="4439" spans="1:10" x14ac:dyDescent="0.25">
      <c r="A4439">
        <v>332948</v>
      </c>
      <c r="B4439" t="s">
        <v>4629</v>
      </c>
      <c r="C4439" t="str">
        <f>"9781842778012"</f>
        <v>9781842778012</v>
      </c>
      <c r="D4439" t="str">
        <f>"9781848131675"</f>
        <v>9781848131675</v>
      </c>
      <c r="E4439" t="s">
        <v>4626</v>
      </c>
      <c r="F4439" t="s">
        <v>4626</v>
      </c>
      <c r="G4439" s="1">
        <v>39036</v>
      </c>
      <c r="H4439" s="1">
        <v>39556</v>
      </c>
      <c r="I4439" t="s">
        <v>12</v>
      </c>
      <c r="J4439" t="s">
        <v>15209</v>
      </c>
    </row>
    <row r="4440" spans="1:10" x14ac:dyDescent="0.25">
      <c r="A4440">
        <v>333013</v>
      </c>
      <c r="B4440" t="s">
        <v>4630</v>
      </c>
      <c r="C4440" t="str">
        <f>"9781565500938"</f>
        <v>9781565500938</v>
      </c>
      <c r="D4440" t="str">
        <f>"9781605571485"</f>
        <v>9781605571485</v>
      </c>
      <c r="E4440" t="s">
        <v>4021</v>
      </c>
      <c r="F4440" t="s">
        <v>4021</v>
      </c>
      <c r="G4440" s="1">
        <v>37622</v>
      </c>
      <c r="H4440" s="1">
        <v>38169</v>
      </c>
      <c r="I4440" t="s">
        <v>12</v>
      </c>
      <c r="J4440" t="s">
        <v>15210</v>
      </c>
    </row>
    <row r="4441" spans="1:10" x14ac:dyDescent="0.25">
      <c r="A4441">
        <v>333019</v>
      </c>
      <c r="B4441" t="s">
        <v>4631</v>
      </c>
      <c r="C4441" t="str">
        <f>"9780955859007"</f>
        <v>9780955859007</v>
      </c>
      <c r="D4441" t="str">
        <f>"9781605570150"</f>
        <v>9781605570150</v>
      </c>
      <c r="E4441" t="s">
        <v>4021</v>
      </c>
      <c r="F4441" t="s">
        <v>4021</v>
      </c>
      <c r="G4441" s="1">
        <v>38718</v>
      </c>
      <c r="H4441" s="1">
        <v>38169</v>
      </c>
      <c r="I4441" t="s">
        <v>12</v>
      </c>
      <c r="J4441" t="s">
        <v>15211</v>
      </c>
    </row>
    <row r="4442" spans="1:10" x14ac:dyDescent="0.25">
      <c r="A4442">
        <v>333100</v>
      </c>
      <c r="B4442" t="s">
        <v>4632</v>
      </c>
      <c r="C4442" t="str">
        <f>"9781901242850"</f>
        <v>9781901242850</v>
      </c>
      <c r="D4442" t="str">
        <f>"9781598758573"</f>
        <v>9781598758573</v>
      </c>
      <c r="E4442" t="s">
        <v>4633</v>
      </c>
      <c r="F4442" t="s">
        <v>4634</v>
      </c>
      <c r="G4442" s="1">
        <v>36161</v>
      </c>
      <c r="H4442" s="1">
        <v>39933</v>
      </c>
      <c r="I4442" t="s">
        <v>12</v>
      </c>
      <c r="J4442" t="s">
        <v>15212</v>
      </c>
    </row>
    <row r="4443" spans="1:10" x14ac:dyDescent="0.25">
      <c r="A4443">
        <v>333144</v>
      </c>
      <c r="B4443" t="s">
        <v>4635</v>
      </c>
      <c r="C4443" t="str">
        <f>"9788122418552"</f>
        <v>9788122418552</v>
      </c>
      <c r="D4443" t="str">
        <f>"9788122423297"</f>
        <v>9788122423297</v>
      </c>
      <c r="E4443" t="s">
        <v>4636</v>
      </c>
      <c r="F4443" t="s">
        <v>4637</v>
      </c>
      <c r="G4443" s="1">
        <v>38884</v>
      </c>
      <c r="H4443" s="1">
        <v>39538</v>
      </c>
      <c r="I4443" t="s">
        <v>12</v>
      </c>
      <c r="J4443" t="s">
        <v>15213</v>
      </c>
    </row>
    <row r="4444" spans="1:10" x14ac:dyDescent="0.25">
      <c r="A4444">
        <v>333155</v>
      </c>
      <c r="B4444" t="s">
        <v>4638</v>
      </c>
      <c r="C4444" t="str">
        <f>"9788122418897"</f>
        <v>9788122418897</v>
      </c>
      <c r="D4444" t="str">
        <f>"9788122423259"</f>
        <v>9788122423259</v>
      </c>
      <c r="E4444" t="s">
        <v>4636</v>
      </c>
      <c r="F4444" t="s">
        <v>4637</v>
      </c>
      <c r="G4444" s="1">
        <v>39195</v>
      </c>
      <c r="H4444" s="1">
        <v>39538</v>
      </c>
      <c r="I4444" t="s">
        <v>12</v>
      </c>
      <c r="J4444" t="s">
        <v>15214</v>
      </c>
    </row>
    <row r="4445" spans="1:10" x14ac:dyDescent="0.25">
      <c r="A4445">
        <v>333991</v>
      </c>
      <c r="B4445" t="s">
        <v>4639</v>
      </c>
      <c r="C4445" t="str">
        <f>"9780240807317"</f>
        <v>9780240807317</v>
      </c>
      <c r="D4445" t="str">
        <f>"9780080551173"</f>
        <v>9780080551173</v>
      </c>
      <c r="E4445" t="s">
        <v>15</v>
      </c>
      <c r="F4445" t="s">
        <v>1122</v>
      </c>
      <c r="G4445" s="1">
        <v>41116</v>
      </c>
      <c r="H4445" s="1">
        <v>39546</v>
      </c>
      <c r="I4445" t="s">
        <v>12</v>
      </c>
      <c r="J4445" t="s">
        <v>15215</v>
      </c>
    </row>
    <row r="4446" spans="1:10" x14ac:dyDescent="0.25">
      <c r="A4446">
        <v>334061</v>
      </c>
      <c r="B4446" t="s">
        <v>4640</v>
      </c>
      <c r="C4446" t="str">
        <f>"9781741149593"</f>
        <v>9781741149593</v>
      </c>
      <c r="D4446" t="str">
        <f>"9781741760217"</f>
        <v>9781741760217</v>
      </c>
      <c r="E4446" t="s">
        <v>979</v>
      </c>
      <c r="F4446" t="s">
        <v>979</v>
      </c>
      <c r="G4446" s="1">
        <v>39539</v>
      </c>
      <c r="H4446" s="1">
        <v>39539</v>
      </c>
      <c r="I4446" t="s">
        <v>12</v>
      </c>
      <c r="J4446" t="s">
        <v>15216</v>
      </c>
    </row>
    <row r="4447" spans="1:10" x14ac:dyDescent="0.25">
      <c r="A4447">
        <v>334088</v>
      </c>
      <c r="B4447" t="s">
        <v>4641</v>
      </c>
      <c r="C4447" t="str">
        <f>"9781843108450"</f>
        <v>9781843108450</v>
      </c>
      <c r="D4447" t="str">
        <f>"9781846425899"</f>
        <v>9781846425899</v>
      </c>
      <c r="E4447" t="s">
        <v>2950</v>
      </c>
      <c r="F4447" t="s">
        <v>2950</v>
      </c>
      <c r="G4447" s="1">
        <v>39066</v>
      </c>
      <c r="H4447" s="1">
        <v>39319</v>
      </c>
      <c r="I4447" t="s">
        <v>12</v>
      </c>
      <c r="J4447" t="s">
        <v>15217</v>
      </c>
    </row>
    <row r="4448" spans="1:10" x14ac:dyDescent="0.25">
      <c r="A4448">
        <v>334089</v>
      </c>
      <c r="B4448" t="s">
        <v>4642</v>
      </c>
      <c r="C4448" t="str">
        <f>"9781843104834"</f>
        <v>9781843104834</v>
      </c>
      <c r="D4448" t="str">
        <f>"9781846426681"</f>
        <v>9781846426681</v>
      </c>
      <c r="E4448" t="s">
        <v>2950</v>
      </c>
      <c r="F4448" t="s">
        <v>2950</v>
      </c>
      <c r="G4448" s="1">
        <v>39278</v>
      </c>
      <c r="H4448" s="1">
        <v>39535</v>
      </c>
      <c r="I4448" t="s">
        <v>12</v>
      </c>
      <c r="J4448" t="s">
        <v>15218</v>
      </c>
    </row>
    <row r="4449" spans="1:10" x14ac:dyDescent="0.25">
      <c r="A4449">
        <v>334091</v>
      </c>
      <c r="B4449" t="s">
        <v>4643</v>
      </c>
      <c r="C4449" t="str">
        <f>"9781843105374"</f>
        <v>9781843105374</v>
      </c>
      <c r="D4449" t="str">
        <f>"9781846426230"</f>
        <v>9781846426230</v>
      </c>
      <c r="E4449" t="s">
        <v>2950</v>
      </c>
      <c r="F4449" t="s">
        <v>2950</v>
      </c>
      <c r="G4449" s="1">
        <v>39187</v>
      </c>
      <c r="H4449" s="1">
        <v>39426</v>
      </c>
      <c r="I4449" t="s">
        <v>12</v>
      </c>
      <c r="J4449" t="s">
        <v>15219</v>
      </c>
    </row>
    <row r="4450" spans="1:10" x14ac:dyDescent="0.25">
      <c r="A4450">
        <v>334093</v>
      </c>
      <c r="B4450" t="s">
        <v>4644</v>
      </c>
      <c r="C4450" t="str">
        <f>"9781843105404"</f>
        <v>9781843105404</v>
      </c>
      <c r="D4450" t="str">
        <f>"9781846426629"</f>
        <v>9781846426629</v>
      </c>
      <c r="E4450" t="s">
        <v>2950</v>
      </c>
      <c r="F4450" t="s">
        <v>2950</v>
      </c>
      <c r="G4450" s="1">
        <v>39248</v>
      </c>
      <c r="H4450" s="1">
        <v>39426</v>
      </c>
      <c r="I4450" t="s">
        <v>12</v>
      </c>
      <c r="J4450" t="s">
        <v>15220</v>
      </c>
    </row>
    <row r="4451" spans="1:10" x14ac:dyDescent="0.25">
      <c r="A4451">
        <v>334094</v>
      </c>
      <c r="B4451" t="s">
        <v>4645</v>
      </c>
      <c r="C4451" t="str">
        <f>"9781843108467"</f>
        <v>9781843108467</v>
      </c>
      <c r="D4451" t="str">
        <f>"9781846426353"</f>
        <v>9781846426353</v>
      </c>
      <c r="E4451" t="s">
        <v>2950</v>
      </c>
      <c r="F4451" t="s">
        <v>2950</v>
      </c>
      <c r="G4451" s="1">
        <v>39248</v>
      </c>
      <c r="H4451" s="1">
        <v>39426</v>
      </c>
      <c r="I4451" t="s">
        <v>12</v>
      </c>
      <c r="J4451" t="s">
        <v>15221</v>
      </c>
    </row>
    <row r="4452" spans="1:10" x14ac:dyDescent="0.25">
      <c r="A4452">
        <v>334095</v>
      </c>
      <c r="B4452" t="s">
        <v>4646</v>
      </c>
      <c r="C4452" t="str">
        <f>"9781843108405"</f>
        <v>9781843108405</v>
      </c>
      <c r="D4452" t="str">
        <f>"9781846425912"</f>
        <v>9781846425912</v>
      </c>
      <c r="E4452" t="s">
        <v>2950</v>
      </c>
      <c r="F4452" t="s">
        <v>2950</v>
      </c>
      <c r="G4452" s="1">
        <v>39128</v>
      </c>
      <c r="H4452" s="1">
        <v>39319</v>
      </c>
      <c r="I4452" t="s">
        <v>12</v>
      </c>
      <c r="J4452" t="s">
        <v>15222</v>
      </c>
    </row>
    <row r="4453" spans="1:10" x14ac:dyDescent="0.25">
      <c r="A4453">
        <v>334096</v>
      </c>
      <c r="B4453" t="s">
        <v>4647</v>
      </c>
      <c r="C4453" t="str">
        <f>"9781843108597"</f>
        <v>9781843108597</v>
      </c>
      <c r="D4453" t="str">
        <f>"9781846426582"</f>
        <v>9781846426582</v>
      </c>
      <c r="E4453" t="s">
        <v>2950</v>
      </c>
      <c r="F4453" t="s">
        <v>2950</v>
      </c>
      <c r="G4453" s="1">
        <v>39248</v>
      </c>
      <c r="H4453" s="1">
        <v>42349</v>
      </c>
      <c r="I4453" t="s">
        <v>12</v>
      </c>
      <c r="J4453" t="s">
        <v>15223</v>
      </c>
    </row>
    <row r="4454" spans="1:10" x14ac:dyDescent="0.25">
      <c r="A4454">
        <v>334101</v>
      </c>
      <c r="B4454" t="s">
        <v>4648</v>
      </c>
      <c r="C4454" t="str">
        <f>"9781843105541"</f>
        <v>9781843105541</v>
      </c>
      <c r="D4454" t="str">
        <f>"9781846426322"</f>
        <v>9781846426322</v>
      </c>
      <c r="E4454" t="s">
        <v>2950</v>
      </c>
      <c r="F4454" t="s">
        <v>2950</v>
      </c>
      <c r="G4454" s="1">
        <v>39187</v>
      </c>
      <c r="H4454" s="1">
        <v>39426</v>
      </c>
      <c r="I4454" t="s">
        <v>12</v>
      </c>
      <c r="J4454" t="s">
        <v>15224</v>
      </c>
    </row>
    <row r="4455" spans="1:10" x14ac:dyDescent="0.25">
      <c r="A4455">
        <v>334102</v>
      </c>
      <c r="B4455" t="s">
        <v>4649</v>
      </c>
      <c r="C4455" t="str">
        <f>"9781843104537"</f>
        <v>9781843104537</v>
      </c>
      <c r="D4455" t="str">
        <f>"9781846425936"</f>
        <v>9781846425936</v>
      </c>
      <c r="E4455" t="s">
        <v>2950</v>
      </c>
      <c r="F4455" t="s">
        <v>2950</v>
      </c>
      <c r="G4455" s="1">
        <v>39097</v>
      </c>
      <c r="H4455" s="1">
        <v>39426</v>
      </c>
      <c r="I4455" t="s">
        <v>12</v>
      </c>
      <c r="J4455" t="s">
        <v>15225</v>
      </c>
    </row>
    <row r="4456" spans="1:10" x14ac:dyDescent="0.25">
      <c r="A4456">
        <v>334104</v>
      </c>
      <c r="B4456" t="s">
        <v>4650</v>
      </c>
      <c r="C4456" t="str">
        <f>"9781843105084"</f>
        <v>9781843105084</v>
      </c>
      <c r="D4456" t="str">
        <f>"9781846426605"</f>
        <v>9781846426605</v>
      </c>
      <c r="E4456" t="s">
        <v>2950</v>
      </c>
      <c r="F4456" t="s">
        <v>2950</v>
      </c>
      <c r="G4456" s="1">
        <v>39248</v>
      </c>
      <c r="H4456" s="1">
        <v>39426</v>
      </c>
      <c r="I4456" t="s">
        <v>12</v>
      </c>
      <c r="J4456" t="s">
        <v>15226</v>
      </c>
    </row>
    <row r="4457" spans="1:10" x14ac:dyDescent="0.25">
      <c r="A4457">
        <v>334105</v>
      </c>
      <c r="B4457" t="s">
        <v>4651</v>
      </c>
      <c r="C4457" t="str">
        <f>"9781843105527"</f>
        <v>9781843105527</v>
      </c>
      <c r="D4457" t="str">
        <f>"9781846426278"</f>
        <v>9781846426278</v>
      </c>
      <c r="E4457" t="s">
        <v>2950</v>
      </c>
      <c r="F4457" t="s">
        <v>2950</v>
      </c>
      <c r="G4457" s="1">
        <v>39187</v>
      </c>
      <c r="H4457" s="1">
        <v>39426</v>
      </c>
      <c r="I4457" t="s">
        <v>12</v>
      </c>
      <c r="J4457" t="s">
        <v>15227</v>
      </c>
    </row>
    <row r="4458" spans="1:10" x14ac:dyDescent="0.25">
      <c r="A4458">
        <v>334106</v>
      </c>
      <c r="B4458" t="s">
        <v>4652</v>
      </c>
      <c r="C4458" t="str">
        <f>"9781843103233"</f>
        <v>9781843103233</v>
      </c>
      <c r="D4458" t="str">
        <f>"9781846425981"</f>
        <v>9781846425981</v>
      </c>
      <c r="E4458" t="s">
        <v>2950</v>
      </c>
      <c r="F4458" t="s">
        <v>2950</v>
      </c>
      <c r="G4458" s="1">
        <v>39156</v>
      </c>
      <c r="H4458" s="1">
        <v>39426</v>
      </c>
      <c r="I4458" t="s">
        <v>12</v>
      </c>
      <c r="J4458" t="s">
        <v>15228</v>
      </c>
    </row>
    <row r="4459" spans="1:10" x14ac:dyDescent="0.25">
      <c r="A4459">
        <v>334107</v>
      </c>
      <c r="B4459" t="s">
        <v>4653</v>
      </c>
      <c r="C4459" t="str">
        <f>"9781843104940"</f>
        <v>9781843104940</v>
      </c>
      <c r="D4459" t="str">
        <f>"9781846426575"</f>
        <v>9781846426575</v>
      </c>
      <c r="E4459" t="s">
        <v>2950</v>
      </c>
      <c r="F4459" t="s">
        <v>2950</v>
      </c>
      <c r="G4459" s="1">
        <v>34790</v>
      </c>
      <c r="H4459" s="1">
        <v>39426</v>
      </c>
      <c r="I4459" t="s">
        <v>12</v>
      </c>
      <c r="J4459" t="s">
        <v>15229</v>
      </c>
    </row>
    <row r="4460" spans="1:10" x14ac:dyDescent="0.25">
      <c r="A4460">
        <v>334108</v>
      </c>
      <c r="B4460" t="s">
        <v>4654</v>
      </c>
      <c r="C4460" t="str">
        <f>"9781843104544"</f>
        <v>9781843104544</v>
      </c>
      <c r="D4460" t="str">
        <f>"9781846426216"</f>
        <v>9781846426216</v>
      </c>
      <c r="E4460" t="s">
        <v>2950</v>
      </c>
      <c r="F4460" t="s">
        <v>2950</v>
      </c>
      <c r="G4460" s="1">
        <v>39156</v>
      </c>
      <c r="H4460" s="1">
        <v>39426</v>
      </c>
      <c r="I4460" t="s">
        <v>12</v>
      </c>
      <c r="J4460" t="s">
        <v>15230</v>
      </c>
    </row>
    <row r="4461" spans="1:10" x14ac:dyDescent="0.25">
      <c r="A4461">
        <v>334109</v>
      </c>
      <c r="B4461" t="s">
        <v>4655</v>
      </c>
      <c r="C4461" t="str">
        <f>"9781843107897"</f>
        <v>9781843107897</v>
      </c>
      <c r="D4461" t="str">
        <f>"9781846426247"</f>
        <v>9781846426247</v>
      </c>
      <c r="E4461" t="s">
        <v>2950</v>
      </c>
      <c r="F4461" t="s">
        <v>2950</v>
      </c>
      <c r="G4461" s="1">
        <v>39248</v>
      </c>
      <c r="H4461" s="1">
        <v>39426</v>
      </c>
      <c r="I4461" t="s">
        <v>12</v>
      </c>
      <c r="J4461" t="s">
        <v>15231</v>
      </c>
    </row>
    <row r="4462" spans="1:10" x14ac:dyDescent="0.25">
      <c r="A4462">
        <v>334110</v>
      </c>
      <c r="B4462" t="s">
        <v>4656</v>
      </c>
      <c r="C4462" t="str">
        <f>"9781843105152"</f>
        <v>9781843105152</v>
      </c>
      <c r="D4462" t="str">
        <f>"9781846425905"</f>
        <v>9781846425905</v>
      </c>
      <c r="E4462" t="s">
        <v>2950</v>
      </c>
      <c r="F4462" t="s">
        <v>2950</v>
      </c>
      <c r="G4462" s="1">
        <v>39097</v>
      </c>
      <c r="H4462" s="1">
        <v>39319</v>
      </c>
      <c r="I4462" t="s">
        <v>12</v>
      </c>
      <c r="J4462" t="s">
        <v>15232</v>
      </c>
    </row>
    <row r="4463" spans="1:10" x14ac:dyDescent="0.25">
      <c r="A4463">
        <v>334115</v>
      </c>
      <c r="B4463" t="s">
        <v>4657</v>
      </c>
      <c r="C4463" t="str">
        <f>"9781843108245"</f>
        <v>9781843108245</v>
      </c>
      <c r="D4463" t="str">
        <f>"9781846426360"</f>
        <v>9781846426360</v>
      </c>
      <c r="E4463" t="s">
        <v>2950</v>
      </c>
      <c r="F4463" t="s">
        <v>2950</v>
      </c>
      <c r="G4463" s="1">
        <v>39217</v>
      </c>
      <c r="H4463" s="1">
        <v>39426</v>
      </c>
      <c r="I4463" t="s">
        <v>12</v>
      </c>
      <c r="J4463" t="s">
        <v>15233</v>
      </c>
    </row>
    <row r="4464" spans="1:10" x14ac:dyDescent="0.25">
      <c r="A4464">
        <v>334116</v>
      </c>
      <c r="B4464" t="s">
        <v>4658</v>
      </c>
      <c r="C4464" t="str">
        <f>"9781843104889"</f>
        <v>9781843104889</v>
      </c>
      <c r="D4464" t="str">
        <f>"9781846426094"</f>
        <v>9781846426094</v>
      </c>
      <c r="E4464" t="s">
        <v>2950</v>
      </c>
      <c r="F4464" t="s">
        <v>2950</v>
      </c>
      <c r="G4464" s="1">
        <v>39168</v>
      </c>
      <c r="H4464" s="1">
        <v>42349</v>
      </c>
      <c r="I4464" t="s">
        <v>12</v>
      </c>
      <c r="J4464" t="s">
        <v>15234</v>
      </c>
    </row>
    <row r="4465" spans="1:10" x14ac:dyDescent="0.25">
      <c r="A4465">
        <v>334117</v>
      </c>
      <c r="B4465" t="s">
        <v>4659</v>
      </c>
      <c r="C4465" t="str">
        <f>"9781843108580"</f>
        <v>9781843108580</v>
      </c>
      <c r="D4465" t="str">
        <f>"9781846426193"</f>
        <v>9781846426193</v>
      </c>
      <c r="E4465" t="s">
        <v>2950</v>
      </c>
      <c r="F4465" t="s">
        <v>2950</v>
      </c>
      <c r="G4465" s="1">
        <v>39187</v>
      </c>
      <c r="H4465" s="1">
        <v>39426</v>
      </c>
      <c r="I4465" t="s">
        <v>12</v>
      </c>
      <c r="J4465" t="s">
        <v>15235</v>
      </c>
    </row>
    <row r="4466" spans="1:10" x14ac:dyDescent="0.25">
      <c r="A4466">
        <v>334118</v>
      </c>
      <c r="B4466" t="s">
        <v>4660</v>
      </c>
      <c r="C4466" t="str">
        <f>"9781843105299"</f>
        <v>9781843105299</v>
      </c>
      <c r="D4466" t="str">
        <f>"9781846426285"</f>
        <v>9781846426285</v>
      </c>
      <c r="E4466" t="s">
        <v>2950</v>
      </c>
      <c r="F4466" t="s">
        <v>2950</v>
      </c>
      <c r="G4466" s="1">
        <v>39248</v>
      </c>
      <c r="H4466" s="1">
        <v>39426</v>
      </c>
      <c r="I4466" t="s">
        <v>12</v>
      </c>
      <c r="J4466" t="s">
        <v>15236</v>
      </c>
    </row>
    <row r="4467" spans="1:10" x14ac:dyDescent="0.25">
      <c r="A4467">
        <v>334128</v>
      </c>
      <c r="B4467" t="s">
        <v>4661</v>
      </c>
      <c r="C4467" t="str">
        <f>"9781843104698"</f>
        <v>9781843104698</v>
      </c>
      <c r="D4467" t="str">
        <f>"9781846426674"</f>
        <v>9781846426674</v>
      </c>
      <c r="E4467" t="s">
        <v>2950</v>
      </c>
      <c r="F4467" t="s">
        <v>2950</v>
      </c>
      <c r="G4467" s="1">
        <v>39278</v>
      </c>
      <c r="H4467" s="1">
        <v>39426</v>
      </c>
      <c r="I4467" t="s">
        <v>12</v>
      </c>
      <c r="J4467" t="s">
        <v>15237</v>
      </c>
    </row>
    <row r="4468" spans="1:10" x14ac:dyDescent="0.25">
      <c r="A4468">
        <v>334130</v>
      </c>
      <c r="B4468" t="s">
        <v>4662</v>
      </c>
      <c r="C4468" t="str">
        <f>"9781843105435"</f>
        <v>9781843105435</v>
      </c>
      <c r="D4468" t="str">
        <f>"9781846426339"</f>
        <v>9781846426339</v>
      </c>
      <c r="E4468" t="s">
        <v>2950</v>
      </c>
      <c r="F4468" t="s">
        <v>2950</v>
      </c>
      <c r="G4468" s="1">
        <v>39187</v>
      </c>
      <c r="H4468" s="1">
        <v>39426</v>
      </c>
      <c r="I4468" t="s">
        <v>12</v>
      </c>
      <c r="J4468" t="s">
        <v>15238</v>
      </c>
    </row>
    <row r="4469" spans="1:10" x14ac:dyDescent="0.25">
      <c r="A4469">
        <v>334134</v>
      </c>
      <c r="B4469" t="s">
        <v>4663</v>
      </c>
      <c r="C4469" t="str">
        <f>"9781843105282"</f>
        <v>9781843105282</v>
      </c>
      <c r="D4469" t="str">
        <f>"9781846426001"</f>
        <v>9781846426001</v>
      </c>
      <c r="E4469" t="s">
        <v>2950</v>
      </c>
      <c r="F4469" t="s">
        <v>2950</v>
      </c>
      <c r="G4469" s="1">
        <v>39187</v>
      </c>
      <c r="H4469" s="1">
        <v>39426</v>
      </c>
      <c r="I4469" t="s">
        <v>12</v>
      </c>
      <c r="J4469" t="s">
        <v>15239</v>
      </c>
    </row>
    <row r="4470" spans="1:10" x14ac:dyDescent="0.25">
      <c r="A4470">
        <v>334136</v>
      </c>
      <c r="B4470" t="s">
        <v>4664</v>
      </c>
      <c r="C4470" t="str">
        <f>"9781843103547"</f>
        <v>9781843103547</v>
      </c>
      <c r="D4470" t="str">
        <f>"9781846426179"</f>
        <v>9781846426179</v>
      </c>
      <c r="E4470" t="s">
        <v>2950</v>
      </c>
      <c r="F4470" t="s">
        <v>2950</v>
      </c>
      <c r="G4470" s="1">
        <v>39156</v>
      </c>
      <c r="H4470" s="1">
        <v>39426</v>
      </c>
      <c r="I4470" t="s">
        <v>12</v>
      </c>
      <c r="J4470" t="s">
        <v>15240</v>
      </c>
    </row>
    <row r="4471" spans="1:10" x14ac:dyDescent="0.25">
      <c r="A4471">
        <v>334137</v>
      </c>
      <c r="B4471" t="s">
        <v>4665</v>
      </c>
      <c r="C4471" t="str">
        <f>"9781843105619"</f>
        <v>9781843105619</v>
      </c>
      <c r="D4471" t="str">
        <f>"9781846426667"</f>
        <v>9781846426667</v>
      </c>
      <c r="E4471" t="s">
        <v>2950</v>
      </c>
      <c r="F4471" t="s">
        <v>2950</v>
      </c>
      <c r="G4471" s="1">
        <v>39278</v>
      </c>
      <c r="H4471" s="1">
        <v>39426</v>
      </c>
      <c r="I4471" t="s">
        <v>12</v>
      </c>
      <c r="J4471" t="s">
        <v>15241</v>
      </c>
    </row>
    <row r="4472" spans="1:10" x14ac:dyDescent="0.25">
      <c r="A4472">
        <v>334138</v>
      </c>
      <c r="B4472" t="s">
        <v>4666</v>
      </c>
      <c r="C4472" t="str">
        <f>"9781843104216"</f>
        <v>9781843104216</v>
      </c>
      <c r="D4472" t="str">
        <f>"9781846425820"</f>
        <v>9781846425820</v>
      </c>
      <c r="E4472" t="s">
        <v>2950</v>
      </c>
      <c r="F4472" t="s">
        <v>2950</v>
      </c>
      <c r="G4472" s="1">
        <v>39097</v>
      </c>
      <c r="H4472" s="1">
        <v>39319</v>
      </c>
      <c r="I4472" t="s">
        <v>12</v>
      </c>
      <c r="J4472" t="s">
        <v>15242</v>
      </c>
    </row>
    <row r="4473" spans="1:10" x14ac:dyDescent="0.25">
      <c r="A4473">
        <v>334139</v>
      </c>
      <c r="B4473" t="s">
        <v>4667</v>
      </c>
      <c r="C4473" t="str">
        <f>"9781843104285"</f>
        <v>9781843104285</v>
      </c>
      <c r="D4473" t="str">
        <f>"9781846426704"</f>
        <v>9781846426704</v>
      </c>
      <c r="E4473" t="s">
        <v>2950</v>
      </c>
      <c r="F4473" t="s">
        <v>2950</v>
      </c>
      <c r="G4473" s="1">
        <v>39278</v>
      </c>
      <c r="H4473" s="1">
        <v>39426</v>
      </c>
      <c r="I4473" t="s">
        <v>12</v>
      </c>
      <c r="J4473" t="s">
        <v>15243</v>
      </c>
    </row>
    <row r="4474" spans="1:10" x14ac:dyDescent="0.25">
      <c r="A4474">
        <v>334140</v>
      </c>
      <c r="B4474" t="s">
        <v>4668</v>
      </c>
      <c r="C4474" t="str">
        <f>"9781843104131"</f>
        <v>9781843104131</v>
      </c>
      <c r="D4474" t="str">
        <f>"9781846425851"</f>
        <v>9781846425851</v>
      </c>
      <c r="E4474" t="s">
        <v>2950</v>
      </c>
      <c r="F4474" t="s">
        <v>2950</v>
      </c>
      <c r="G4474" s="1">
        <v>39066</v>
      </c>
      <c r="H4474" s="1">
        <v>39319</v>
      </c>
      <c r="I4474" t="s">
        <v>12</v>
      </c>
      <c r="J4474" t="s">
        <v>15244</v>
      </c>
    </row>
    <row r="4475" spans="1:10" x14ac:dyDescent="0.25">
      <c r="A4475">
        <v>334141</v>
      </c>
      <c r="B4475" t="s">
        <v>4669</v>
      </c>
      <c r="C4475" t="str">
        <f>"9781843100744"</f>
        <v>9781843100744</v>
      </c>
      <c r="D4475" t="str">
        <f>"9781846426315"</f>
        <v>9781846426315</v>
      </c>
      <c r="E4475" t="s">
        <v>2950</v>
      </c>
      <c r="F4475" t="s">
        <v>2950</v>
      </c>
      <c r="G4475" s="1">
        <v>39187</v>
      </c>
      <c r="H4475" s="1">
        <v>39426</v>
      </c>
      <c r="I4475" t="s">
        <v>12</v>
      </c>
      <c r="J4475" t="s">
        <v>15245</v>
      </c>
    </row>
    <row r="4476" spans="1:10" x14ac:dyDescent="0.25">
      <c r="A4476">
        <v>334142</v>
      </c>
      <c r="B4476" t="s">
        <v>4670</v>
      </c>
      <c r="C4476" t="str">
        <f>"9781843104766"</f>
        <v>9781843104766</v>
      </c>
      <c r="D4476" t="str">
        <f>"9781846425974"</f>
        <v>9781846425974</v>
      </c>
      <c r="E4476" t="s">
        <v>2950</v>
      </c>
      <c r="F4476" t="s">
        <v>2950</v>
      </c>
      <c r="G4476" s="1">
        <v>39128</v>
      </c>
      <c r="H4476" s="1">
        <v>39319</v>
      </c>
      <c r="I4476" t="s">
        <v>12</v>
      </c>
      <c r="J4476" t="s">
        <v>15246</v>
      </c>
    </row>
    <row r="4477" spans="1:10" x14ac:dyDescent="0.25">
      <c r="A4477">
        <v>334143</v>
      </c>
      <c r="B4477" t="s">
        <v>4671</v>
      </c>
      <c r="C4477" t="str">
        <f>"9781843105473"</f>
        <v>9781843105473</v>
      </c>
      <c r="D4477" t="str">
        <f>"9781846426568"</f>
        <v>9781846426568</v>
      </c>
      <c r="E4477" t="s">
        <v>2950</v>
      </c>
      <c r="F4477" t="s">
        <v>2950</v>
      </c>
      <c r="G4477" s="1">
        <v>39217</v>
      </c>
      <c r="H4477" s="1">
        <v>39426</v>
      </c>
      <c r="I4477" t="s">
        <v>12</v>
      </c>
      <c r="J4477" t="s">
        <v>15247</v>
      </c>
    </row>
    <row r="4478" spans="1:10" x14ac:dyDescent="0.25">
      <c r="A4478">
        <v>334144</v>
      </c>
      <c r="B4478" t="s">
        <v>4672</v>
      </c>
      <c r="C4478" t="str">
        <f>"9781843108474"</f>
        <v>9781843108474</v>
      </c>
      <c r="D4478" t="str">
        <f>"9781846426100"</f>
        <v>9781846426100</v>
      </c>
      <c r="E4478" t="s">
        <v>2950</v>
      </c>
      <c r="F4478" t="s">
        <v>2950</v>
      </c>
      <c r="G4478" s="1">
        <v>39187</v>
      </c>
      <c r="H4478" s="1">
        <v>39426</v>
      </c>
      <c r="I4478" t="s">
        <v>12</v>
      </c>
      <c r="J4478" t="s">
        <v>15248</v>
      </c>
    </row>
    <row r="4479" spans="1:10" x14ac:dyDescent="0.25">
      <c r="A4479">
        <v>334151</v>
      </c>
      <c r="B4479" t="s">
        <v>4673</v>
      </c>
      <c r="C4479" t="str">
        <f>"9781843103066"</f>
        <v>9781843103066</v>
      </c>
      <c r="D4479" t="str">
        <f>"9781846426117"</f>
        <v>9781846426117</v>
      </c>
      <c r="E4479" t="s">
        <v>2950</v>
      </c>
      <c r="F4479" t="s">
        <v>2950</v>
      </c>
      <c r="G4479" s="1">
        <v>39187</v>
      </c>
      <c r="H4479" s="1">
        <v>39426</v>
      </c>
      <c r="I4479" t="s">
        <v>12</v>
      </c>
      <c r="J4479" t="s">
        <v>15249</v>
      </c>
    </row>
    <row r="4480" spans="1:10" x14ac:dyDescent="0.25">
      <c r="A4480">
        <v>334154</v>
      </c>
      <c r="B4480" t="s">
        <v>4674</v>
      </c>
      <c r="C4480" t="str">
        <f>"9781843105336"</f>
        <v>9781843105336</v>
      </c>
      <c r="D4480" t="str">
        <f>"9781846426551"</f>
        <v>9781846426551</v>
      </c>
      <c r="E4480" t="s">
        <v>2950</v>
      </c>
      <c r="F4480" t="s">
        <v>2950</v>
      </c>
      <c r="G4480" s="1">
        <v>39217</v>
      </c>
      <c r="H4480" s="1">
        <v>39426</v>
      </c>
      <c r="I4480" t="s">
        <v>12</v>
      </c>
      <c r="J4480" t="s">
        <v>15250</v>
      </c>
    </row>
    <row r="4481" spans="1:10" x14ac:dyDescent="0.25">
      <c r="A4481">
        <v>334228</v>
      </c>
      <c r="B4481" t="s">
        <v>4675</v>
      </c>
      <c r="C4481" t="str">
        <f>"9780816649747"</f>
        <v>9780816649747</v>
      </c>
      <c r="D4481" t="str">
        <f>"9780816653904"</f>
        <v>9780816653904</v>
      </c>
      <c r="E4481" t="s">
        <v>3970</v>
      </c>
      <c r="F4481" t="s">
        <v>4676</v>
      </c>
      <c r="G4481" s="1">
        <v>39401</v>
      </c>
      <c r="H4481" s="1">
        <v>39546</v>
      </c>
      <c r="I4481" t="s">
        <v>12</v>
      </c>
      <c r="J4481" t="s">
        <v>15251</v>
      </c>
    </row>
    <row r="4482" spans="1:10" x14ac:dyDescent="0.25">
      <c r="A4482">
        <v>334320</v>
      </c>
      <c r="B4482" t="s">
        <v>4677</v>
      </c>
      <c r="C4482" t="str">
        <f>"9780761961970"</f>
        <v>9780761961970</v>
      </c>
      <c r="D4482" t="str">
        <f>"9781847876614"</f>
        <v>9781847876614</v>
      </c>
      <c r="E4482" t="s">
        <v>1569</v>
      </c>
      <c r="F4482" t="s">
        <v>1570</v>
      </c>
      <c r="G4482" s="1">
        <v>37677</v>
      </c>
      <c r="H4482" s="1">
        <v>39546</v>
      </c>
      <c r="I4482" t="s">
        <v>12</v>
      </c>
      <c r="J4482" t="s">
        <v>15252</v>
      </c>
    </row>
    <row r="4483" spans="1:10" x14ac:dyDescent="0.25">
      <c r="A4483">
        <v>334324</v>
      </c>
      <c r="B4483" t="s">
        <v>4678</v>
      </c>
      <c r="C4483" t="str">
        <f>"9780761942627"</f>
        <v>9780761942627</v>
      </c>
      <c r="D4483" t="str">
        <f>"9781847877277"</f>
        <v>9781847877277</v>
      </c>
      <c r="E4483" t="s">
        <v>1569</v>
      </c>
      <c r="F4483" t="s">
        <v>1570</v>
      </c>
      <c r="G4483" s="1">
        <v>38723</v>
      </c>
      <c r="H4483" s="1">
        <v>39546</v>
      </c>
      <c r="I4483" t="s">
        <v>12</v>
      </c>
      <c r="J4483" t="s">
        <v>15253</v>
      </c>
    </row>
    <row r="4484" spans="1:10" x14ac:dyDescent="0.25">
      <c r="A4484">
        <v>334329</v>
      </c>
      <c r="B4484" t="s">
        <v>4679</v>
      </c>
      <c r="C4484" t="str">
        <f>"9780803978843"</f>
        <v>9780803978843</v>
      </c>
      <c r="D4484" t="str">
        <f>"9781847871404"</f>
        <v>9781847871404</v>
      </c>
      <c r="E4484" t="s">
        <v>1569</v>
      </c>
      <c r="F4484" t="s">
        <v>1570</v>
      </c>
      <c r="G4484" s="1">
        <v>38492</v>
      </c>
      <c r="H4484" s="1">
        <v>39546</v>
      </c>
      <c r="I4484" t="s">
        <v>12</v>
      </c>
      <c r="J4484" t="s">
        <v>15254</v>
      </c>
    </row>
    <row r="4485" spans="1:10" x14ac:dyDescent="0.25">
      <c r="A4485">
        <v>334331</v>
      </c>
      <c r="B4485" t="s">
        <v>4680</v>
      </c>
      <c r="C4485" t="str">
        <f>"9780761944904"</f>
        <v>9780761944904</v>
      </c>
      <c r="D4485" t="str">
        <f>"9781847871442"</f>
        <v>9781847871442</v>
      </c>
      <c r="E4485" t="s">
        <v>1569</v>
      </c>
      <c r="F4485" t="s">
        <v>1570</v>
      </c>
      <c r="G4485" s="1">
        <v>38552</v>
      </c>
      <c r="H4485" s="1">
        <v>39546</v>
      </c>
      <c r="I4485" t="s">
        <v>12</v>
      </c>
      <c r="J4485" t="s">
        <v>15255</v>
      </c>
    </row>
    <row r="4486" spans="1:10" x14ac:dyDescent="0.25">
      <c r="A4486">
        <v>334333</v>
      </c>
      <c r="B4486" t="s">
        <v>4681</v>
      </c>
      <c r="C4486" t="str">
        <f>"9781412924016"</f>
        <v>9781412924016</v>
      </c>
      <c r="D4486" t="str">
        <f>"9781847876539"</f>
        <v>9781847876539</v>
      </c>
      <c r="E4486" t="s">
        <v>1569</v>
      </c>
      <c r="F4486" t="s">
        <v>1570</v>
      </c>
      <c r="G4486" s="1">
        <v>38965</v>
      </c>
      <c r="H4486" s="1">
        <v>39538</v>
      </c>
      <c r="I4486" t="s">
        <v>12</v>
      </c>
      <c r="J4486" t="s">
        <v>15256</v>
      </c>
    </row>
    <row r="4487" spans="1:10" x14ac:dyDescent="0.25">
      <c r="A4487">
        <v>334334</v>
      </c>
      <c r="B4487" t="s">
        <v>4682</v>
      </c>
      <c r="C4487" t="str">
        <f>"9781412908375"</f>
        <v>9781412908375</v>
      </c>
      <c r="D4487" t="str">
        <f>"9781847878076"</f>
        <v>9781847878076</v>
      </c>
      <c r="E4487" t="s">
        <v>1569</v>
      </c>
      <c r="F4487" t="s">
        <v>1570</v>
      </c>
      <c r="G4487" s="1">
        <v>38671</v>
      </c>
      <c r="H4487" s="1">
        <v>39538</v>
      </c>
      <c r="I4487" t="s">
        <v>12</v>
      </c>
      <c r="J4487" t="s">
        <v>15257</v>
      </c>
    </row>
    <row r="4488" spans="1:10" x14ac:dyDescent="0.25">
      <c r="A4488">
        <v>334335</v>
      </c>
      <c r="B4488" t="s">
        <v>4683</v>
      </c>
      <c r="C4488" t="str">
        <f>"9780761949022"</f>
        <v>9780761949022</v>
      </c>
      <c r="D4488" t="str">
        <f>"9781847871329"</f>
        <v>9781847871329</v>
      </c>
      <c r="E4488" t="s">
        <v>1569</v>
      </c>
      <c r="F4488" t="s">
        <v>1570</v>
      </c>
      <c r="G4488" s="1">
        <v>38034</v>
      </c>
      <c r="H4488" s="1">
        <v>39546</v>
      </c>
      <c r="I4488" t="s">
        <v>12</v>
      </c>
      <c r="J4488" t="s">
        <v>15258</v>
      </c>
    </row>
    <row r="4489" spans="1:10" x14ac:dyDescent="0.25">
      <c r="A4489">
        <v>334338</v>
      </c>
      <c r="B4489" t="s">
        <v>4684</v>
      </c>
      <c r="C4489" t="str">
        <f>"9781412918398"</f>
        <v>9781412918398</v>
      </c>
      <c r="D4489" t="str">
        <f>"9781847878434"</f>
        <v>9781847878434</v>
      </c>
      <c r="E4489" t="s">
        <v>1569</v>
      </c>
      <c r="F4489" t="s">
        <v>1570</v>
      </c>
      <c r="G4489" s="1">
        <v>39064</v>
      </c>
      <c r="H4489" s="1">
        <v>39538</v>
      </c>
      <c r="I4489" t="s">
        <v>12</v>
      </c>
      <c r="J4489" t="s">
        <v>15259</v>
      </c>
    </row>
    <row r="4490" spans="1:10" x14ac:dyDescent="0.25">
      <c r="A4490">
        <v>334339</v>
      </c>
      <c r="B4490" t="s">
        <v>4685</v>
      </c>
      <c r="C4490" t="str">
        <f>"9780761947479"</f>
        <v>9780761947479</v>
      </c>
      <c r="D4490" t="str">
        <f>"9781847871282"</f>
        <v>9781847871282</v>
      </c>
      <c r="E4490" t="s">
        <v>1569</v>
      </c>
      <c r="F4490" t="s">
        <v>1570</v>
      </c>
      <c r="G4490" s="1">
        <v>37305</v>
      </c>
      <c r="H4490" s="1">
        <v>39546</v>
      </c>
      <c r="I4490" t="s">
        <v>12</v>
      </c>
      <c r="J4490" t="s">
        <v>15260</v>
      </c>
    </row>
    <row r="4491" spans="1:10" x14ac:dyDescent="0.25">
      <c r="A4491">
        <v>334340</v>
      </c>
      <c r="B4491" t="s">
        <v>4686</v>
      </c>
      <c r="C4491" t="str">
        <f>"9780761970705"</f>
        <v>9780761970705</v>
      </c>
      <c r="D4491" t="str">
        <f>"9781847877246"</f>
        <v>9781847877246</v>
      </c>
      <c r="E4491" t="s">
        <v>1569</v>
      </c>
      <c r="F4491" t="s">
        <v>1570</v>
      </c>
      <c r="G4491" s="1">
        <v>38465</v>
      </c>
      <c r="H4491" s="1">
        <v>39546</v>
      </c>
      <c r="I4491" t="s">
        <v>12</v>
      </c>
      <c r="J4491" t="s">
        <v>15261</v>
      </c>
    </row>
    <row r="4492" spans="1:10" x14ac:dyDescent="0.25">
      <c r="A4492">
        <v>334341</v>
      </c>
      <c r="B4492" t="s">
        <v>4687</v>
      </c>
      <c r="C4492" t="str">
        <f>"9781412918336"</f>
        <v>9781412918336</v>
      </c>
      <c r="D4492" t="str">
        <f>"9781847878144"</f>
        <v>9781847878144</v>
      </c>
      <c r="E4492" t="s">
        <v>1569</v>
      </c>
      <c r="F4492" t="s">
        <v>1570</v>
      </c>
      <c r="G4492" s="1">
        <v>38729</v>
      </c>
      <c r="H4492" s="1">
        <v>39538</v>
      </c>
      <c r="I4492" t="s">
        <v>12</v>
      </c>
      <c r="J4492" t="s">
        <v>15262</v>
      </c>
    </row>
    <row r="4493" spans="1:10" x14ac:dyDescent="0.25">
      <c r="A4493">
        <v>334349</v>
      </c>
      <c r="B4493" t="s">
        <v>4688</v>
      </c>
      <c r="C4493" t="str">
        <f>"9781412921336"</f>
        <v>9781412921336</v>
      </c>
      <c r="D4493" t="str">
        <f>"9781847878649"</f>
        <v>9781847878649</v>
      </c>
      <c r="E4493" t="s">
        <v>1569</v>
      </c>
      <c r="F4493" t="s">
        <v>1570</v>
      </c>
      <c r="G4493" s="1">
        <v>39106</v>
      </c>
      <c r="H4493" s="1">
        <v>39538</v>
      </c>
      <c r="I4493" t="s">
        <v>12</v>
      </c>
      <c r="J4493" t="s">
        <v>15263</v>
      </c>
    </row>
    <row r="4494" spans="1:10" x14ac:dyDescent="0.25">
      <c r="A4494">
        <v>334358</v>
      </c>
      <c r="B4494" t="s">
        <v>4689</v>
      </c>
      <c r="C4494" t="str">
        <f>"9780761942689"</f>
        <v>9780761942689</v>
      </c>
      <c r="D4494" t="str">
        <f>"9781847877536"</f>
        <v>9781847877536</v>
      </c>
      <c r="E4494" t="s">
        <v>1569</v>
      </c>
      <c r="F4494" t="s">
        <v>1570</v>
      </c>
      <c r="G4494" s="1">
        <v>39079</v>
      </c>
      <c r="H4494" s="1">
        <v>39546</v>
      </c>
      <c r="I4494" t="s">
        <v>12</v>
      </c>
      <c r="J4494" t="s">
        <v>15264</v>
      </c>
    </row>
    <row r="4495" spans="1:10" x14ac:dyDescent="0.25">
      <c r="A4495">
        <v>334359</v>
      </c>
      <c r="B4495" t="s">
        <v>4690</v>
      </c>
      <c r="C4495" t="str">
        <f>"9780761940142"</f>
        <v>9780761940142</v>
      </c>
      <c r="D4495" t="str">
        <f>"9781847871589"</f>
        <v>9781847871589</v>
      </c>
      <c r="E4495" t="s">
        <v>1569</v>
      </c>
      <c r="F4495" t="s">
        <v>1570</v>
      </c>
      <c r="G4495" s="1">
        <v>38434</v>
      </c>
      <c r="H4495" s="1">
        <v>39546</v>
      </c>
      <c r="I4495" t="s">
        <v>12</v>
      </c>
      <c r="J4495" t="s">
        <v>15265</v>
      </c>
    </row>
    <row r="4496" spans="1:10" x14ac:dyDescent="0.25">
      <c r="A4496">
        <v>334361</v>
      </c>
      <c r="B4496" t="s">
        <v>4691</v>
      </c>
      <c r="C4496" t="str">
        <f>"9781412902908"</f>
        <v>9781412902908</v>
      </c>
      <c r="D4496" t="str">
        <f>"9781847871664"</f>
        <v>9781847871664</v>
      </c>
      <c r="E4496" t="s">
        <v>1569</v>
      </c>
      <c r="F4496" t="s">
        <v>1570</v>
      </c>
      <c r="G4496" s="1">
        <v>38643</v>
      </c>
      <c r="H4496" s="1">
        <v>39538</v>
      </c>
      <c r="I4496" t="s">
        <v>12</v>
      </c>
      <c r="J4496" t="s">
        <v>15266</v>
      </c>
    </row>
    <row r="4497" spans="1:10" x14ac:dyDescent="0.25">
      <c r="A4497">
        <v>334363</v>
      </c>
      <c r="B4497" t="s">
        <v>4692</v>
      </c>
      <c r="C4497" t="str">
        <f>"9781412919289"</f>
        <v>9781412919289</v>
      </c>
      <c r="D4497" t="str">
        <f>"9781847878540"</f>
        <v>9781847878540</v>
      </c>
      <c r="E4497" t="s">
        <v>1569</v>
      </c>
      <c r="F4497" t="s">
        <v>1570</v>
      </c>
      <c r="G4497" s="1">
        <v>38908</v>
      </c>
      <c r="H4497" s="1">
        <v>39538</v>
      </c>
      <c r="I4497" t="s">
        <v>12</v>
      </c>
      <c r="J4497" t="s">
        <v>15267</v>
      </c>
    </row>
    <row r="4498" spans="1:10" x14ac:dyDescent="0.25">
      <c r="A4498">
        <v>334365</v>
      </c>
      <c r="B4498" t="s">
        <v>4693</v>
      </c>
      <c r="C4498" t="str">
        <f>"9781412910231"</f>
        <v>9781412910231</v>
      </c>
      <c r="D4498" t="str">
        <f>"9781847878113"</f>
        <v>9781847878113</v>
      </c>
      <c r="E4498" t="s">
        <v>1569</v>
      </c>
      <c r="F4498" t="s">
        <v>1570</v>
      </c>
      <c r="G4498" s="1">
        <v>38460</v>
      </c>
      <c r="H4498" s="1">
        <v>39538</v>
      </c>
      <c r="I4498" t="s">
        <v>12</v>
      </c>
      <c r="J4498" t="s">
        <v>15268</v>
      </c>
    </row>
    <row r="4499" spans="1:10" x14ac:dyDescent="0.25">
      <c r="A4499">
        <v>334366</v>
      </c>
      <c r="B4499" t="s">
        <v>4694</v>
      </c>
      <c r="C4499" t="str">
        <f>"9780761969358"</f>
        <v>9780761969358</v>
      </c>
      <c r="D4499" t="str">
        <f>"9781847876270"</f>
        <v>9781847876270</v>
      </c>
      <c r="E4499" t="s">
        <v>1569</v>
      </c>
      <c r="F4499" t="s">
        <v>1570</v>
      </c>
      <c r="G4499" s="1">
        <v>36854</v>
      </c>
      <c r="H4499" s="1">
        <v>39546</v>
      </c>
      <c r="I4499" t="s">
        <v>12</v>
      </c>
      <c r="J4499" t="s">
        <v>15269</v>
      </c>
    </row>
    <row r="4500" spans="1:10" x14ac:dyDescent="0.25">
      <c r="A4500">
        <v>334367</v>
      </c>
      <c r="B4500" t="s">
        <v>4695</v>
      </c>
      <c r="C4500" t="str">
        <f>"9781412910385"</f>
        <v>9781412910385</v>
      </c>
      <c r="D4500" t="str">
        <f>"9781847878212"</f>
        <v>9781847878212</v>
      </c>
      <c r="E4500" t="s">
        <v>1569</v>
      </c>
      <c r="F4500" t="s">
        <v>1570</v>
      </c>
      <c r="G4500" s="1">
        <v>38604</v>
      </c>
      <c r="H4500" s="1">
        <v>39538</v>
      </c>
      <c r="I4500" t="s">
        <v>12</v>
      </c>
      <c r="J4500" t="s">
        <v>15270</v>
      </c>
    </row>
    <row r="4501" spans="1:10" x14ac:dyDescent="0.25">
      <c r="A4501">
        <v>334377</v>
      </c>
      <c r="B4501" t="s">
        <v>4696</v>
      </c>
      <c r="C4501" t="str">
        <f>"9781412903509"</f>
        <v>9781412903509</v>
      </c>
      <c r="D4501" t="str">
        <f>"9781847877970"</f>
        <v>9781847877970</v>
      </c>
      <c r="E4501" t="s">
        <v>1569</v>
      </c>
      <c r="F4501" t="s">
        <v>1570</v>
      </c>
      <c r="G4501" s="1">
        <v>38736</v>
      </c>
      <c r="H4501" s="1">
        <v>39538</v>
      </c>
      <c r="I4501" t="s">
        <v>12</v>
      </c>
      <c r="J4501" t="s">
        <v>15271</v>
      </c>
    </row>
    <row r="4502" spans="1:10" x14ac:dyDescent="0.25">
      <c r="A4502">
        <v>334378</v>
      </c>
      <c r="B4502" t="s">
        <v>4697</v>
      </c>
      <c r="C4502" t="str">
        <f>"9780761942078"</f>
        <v>9780761942078</v>
      </c>
      <c r="D4502" t="str">
        <f>"9781847877451"</f>
        <v>9781847877451</v>
      </c>
      <c r="E4502" t="s">
        <v>1569</v>
      </c>
      <c r="F4502" t="s">
        <v>1570</v>
      </c>
      <c r="G4502" s="1">
        <v>38959</v>
      </c>
      <c r="H4502" s="1">
        <v>39546</v>
      </c>
      <c r="I4502" t="s">
        <v>12</v>
      </c>
      <c r="J4502" t="s">
        <v>15272</v>
      </c>
    </row>
    <row r="4503" spans="1:10" x14ac:dyDescent="0.25">
      <c r="A4503">
        <v>334380</v>
      </c>
      <c r="B4503" t="s">
        <v>4698</v>
      </c>
      <c r="C4503" t="str">
        <f>"9780761971696"</f>
        <v>9780761971696</v>
      </c>
      <c r="D4503" t="str">
        <f>"9781847876331"</f>
        <v>9781847876331</v>
      </c>
      <c r="E4503" t="s">
        <v>1569</v>
      </c>
      <c r="F4503" t="s">
        <v>1570</v>
      </c>
      <c r="G4503" s="1">
        <v>38545</v>
      </c>
      <c r="H4503" s="1">
        <v>39546</v>
      </c>
      <c r="I4503" t="s">
        <v>12</v>
      </c>
      <c r="J4503" t="s">
        <v>15273</v>
      </c>
    </row>
    <row r="4504" spans="1:10" x14ac:dyDescent="0.25">
      <c r="A4504">
        <v>334381</v>
      </c>
      <c r="B4504" t="s">
        <v>4699</v>
      </c>
      <c r="C4504" t="str">
        <f>"9780761967767"</f>
        <v>9780761967767</v>
      </c>
      <c r="D4504" t="str">
        <f>"9781847877192"</f>
        <v>9781847877192</v>
      </c>
      <c r="E4504" t="s">
        <v>1569</v>
      </c>
      <c r="F4504" t="s">
        <v>1570</v>
      </c>
      <c r="G4504" s="1">
        <v>38120</v>
      </c>
      <c r="H4504" s="1">
        <v>39546</v>
      </c>
      <c r="I4504" t="s">
        <v>12</v>
      </c>
      <c r="J4504" t="s">
        <v>15274</v>
      </c>
    </row>
    <row r="4505" spans="1:10" x14ac:dyDescent="0.25">
      <c r="A4505">
        <v>334382</v>
      </c>
      <c r="B4505" t="s">
        <v>4700</v>
      </c>
      <c r="C4505" t="str">
        <f>"9780761974192"</f>
        <v>9780761974192</v>
      </c>
      <c r="D4505" t="str">
        <f>"9781847876454"</f>
        <v>9781847876454</v>
      </c>
      <c r="E4505" t="s">
        <v>1569</v>
      </c>
      <c r="F4505" t="s">
        <v>1570</v>
      </c>
      <c r="G4505" s="1">
        <v>37287</v>
      </c>
      <c r="H4505" s="1">
        <v>39546</v>
      </c>
      <c r="I4505" t="s">
        <v>12</v>
      </c>
      <c r="J4505" t="s">
        <v>15275</v>
      </c>
    </row>
    <row r="4506" spans="1:10" x14ac:dyDescent="0.25">
      <c r="A4506">
        <v>334383</v>
      </c>
      <c r="B4506" t="s">
        <v>4701</v>
      </c>
      <c r="C4506" t="str">
        <f>"9780761940562"</f>
        <v>9780761940562</v>
      </c>
      <c r="D4506" t="str">
        <f>"9781847871046"</f>
        <v>9781847871046</v>
      </c>
      <c r="E4506" t="s">
        <v>1569</v>
      </c>
      <c r="F4506" t="s">
        <v>1570</v>
      </c>
      <c r="G4506" s="1">
        <v>37574</v>
      </c>
      <c r="H4506" s="1">
        <v>41186</v>
      </c>
      <c r="I4506" t="s">
        <v>12</v>
      </c>
      <c r="J4506" t="s">
        <v>15276</v>
      </c>
    </row>
    <row r="4507" spans="1:10" x14ac:dyDescent="0.25">
      <c r="A4507">
        <v>334384</v>
      </c>
      <c r="B4507" t="s">
        <v>4702</v>
      </c>
      <c r="C4507" t="str">
        <f>"9781412900492"</f>
        <v>9781412900492</v>
      </c>
      <c r="D4507" t="str">
        <f>"9781847877628"</f>
        <v>9781847877628</v>
      </c>
      <c r="E4507" t="s">
        <v>1569</v>
      </c>
      <c r="F4507" t="s">
        <v>1570</v>
      </c>
      <c r="G4507" s="1">
        <v>38112</v>
      </c>
      <c r="H4507" s="1">
        <v>39538</v>
      </c>
      <c r="I4507" t="s">
        <v>12</v>
      </c>
      <c r="J4507" t="s">
        <v>15277</v>
      </c>
    </row>
    <row r="4508" spans="1:10" x14ac:dyDescent="0.25">
      <c r="A4508">
        <v>334390</v>
      </c>
      <c r="B4508" t="s">
        <v>4703</v>
      </c>
      <c r="C4508" t="str">
        <f>"9781412921107"</f>
        <v>9781412921107</v>
      </c>
      <c r="D4508" t="str">
        <f>"9781847878793"</f>
        <v>9781847878793</v>
      </c>
      <c r="E4508" t="s">
        <v>1569</v>
      </c>
      <c r="F4508" t="s">
        <v>1570</v>
      </c>
      <c r="G4508" s="1">
        <v>38777</v>
      </c>
      <c r="H4508" s="1">
        <v>39538</v>
      </c>
      <c r="I4508" t="s">
        <v>12</v>
      </c>
      <c r="J4508" t="s">
        <v>15278</v>
      </c>
    </row>
    <row r="4509" spans="1:10" x14ac:dyDescent="0.25">
      <c r="A4509">
        <v>334396</v>
      </c>
      <c r="B4509" t="s">
        <v>4704</v>
      </c>
      <c r="C4509" t="str">
        <f>"9780761943082"</f>
        <v>9780761943082</v>
      </c>
      <c r="D4509" t="str">
        <f>"9781847871534"</f>
        <v>9781847871534</v>
      </c>
      <c r="E4509" t="s">
        <v>1569</v>
      </c>
      <c r="F4509" t="s">
        <v>1570</v>
      </c>
      <c r="G4509" s="1">
        <v>38006</v>
      </c>
      <c r="H4509" s="1">
        <v>39546</v>
      </c>
      <c r="I4509" t="s">
        <v>12</v>
      </c>
      <c r="J4509" t="s">
        <v>15279</v>
      </c>
    </row>
    <row r="4510" spans="1:10" x14ac:dyDescent="0.25">
      <c r="A4510">
        <v>334398</v>
      </c>
      <c r="B4510" t="s">
        <v>4705</v>
      </c>
      <c r="C4510" t="str">
        <f>"9780761957423"</f>
        <v>9780761957423</v>
      </c>
      <c r="D4510" t="str">
        <f>"9781847876195"</f>
        <v>9781847876195</v>
      </c>
      <c r="E4510" t="s">
        <v>1569</v>
      </c>
      <c r="F4510" t="s">
        <v>1570</v>
      </c>
      <c r="G4510" s="1">
        <v>36838</v>
      </c>
      <c r="H4510" s="1">
        <v>39546</v>
      </c>
      <c r="I4510" t="s">
        <v>12</v>
      </c>
      <c r="J4510" t="s">
        <v>15280</v>
      </c>
    </row>
    <row r="4511" spans="1:10" x14ac:dyDescent="0.25">
      <c r="A4511">
        <v>334401</v>
      </c>
      <c r="B4511" t="s">
        <v>4706</v>
      </c>
      <c r="C4511" t="str">
        <f>"9781412903684"</f>
        <v>9781412903684</v>
      </c>
      <c r="D4511" t="str">
        <f>"9781847878069"</f>
        <v>9781847878069</v>
      </c>
      <c r="E4511" t="s">
        <v>1569</v>
      </c>
      <c r="F4511" t="s">
        <v>1570</v>
      </c>
      <c r="G4511" s="1">
        <v>38517</v>
      </c>
      <c r="H4511" s="1">
        <v>39538</v>
      </c>
      <c r="I4511" t="s">
        <v>12</v>
      </c>
      <c r="J4511" t="s">
        <v>15281</v>
      </c>
    </row>
    <row r="4512" spans="1:10" x14ac:dyDescent="0.25">
      <c r="A4512">
        <v>334406</v>
      </c>
      <c r="B4512" t="s">
        <v>4707</v>
      </c>
      <c r="C4512" t="str">
        <f>"9781412901482"</f>
        <v>9781412901482</v>
      </c>
      <c r="D4512" t="str">
        <f>"9781847877796"</f>
        <v>9781847877796</v>
      </c>
      <c r="E4512" t="s">
        <v>1569</v>
      </c>
      <c r="F4512" t="s">
        <v>1570</v>
      </c>
      <c r="G4512" s="1">
        <v>38994</v>
      </c>
      <c r="H4512" s="1">
        <v>39538</v>
      </c>
      <c r="I4512" t="s">
        <v>12</v>
      </c>
      <c r="J4512" t="s">
        <v>15282</v>
      </c>
    </row>
    <row r="4513" spans="1:10" x14ac:dyDescent="0.25">
      <c r="A4513">
        <v>334408</v>
      </c>
      <c r="B4513" t="s">
        <v>4708</v>
      </c>
      <c r="C4513" t="str">
        <f>"9780761972778"</f>
        <v>9780761972778</v>
      </c>
      <c r="D4513" t="str">
        <f>"9781847871367"</f>
        <v>9781847871367</v>
      </c>
      <c r="E4513" t="s">
        <v>1569</v>
      </c>
      <c r="F4513" t="s">
        <v>1570</v>
      </c>
      <c r="G4513" s="1">
        <v>38309</v>
      </c>
      <c r="H4513" s="1">
        <v>39546</v>
      </c>
      <c r="I4513" t="s">
        <v>12</v>
      </c>
      <c r="J4513" t="s">
        <v>15283</v>
      </c>
    </row>
    <row r="4514" spans="1:10" x14ac:dyDescent="0.25">
      <c r="A4514">
        <v>334409</v>
      </c>
      <c r="B4514" t="s">
        <v>4709</v>
      </c>
      <c r="C4514" t="str">
        <f>"9780761969259"</f>
        <v>9780761969259</v>
      </c>
      <c r="D4514" t="str">
        <f>"9781847870971"</f>
        <v>9781847870971</v>
      </c>
      <c r="E4514" t="s">
        <v>1569</v>
      </c>
      <c r="F4514" t="s">
        <v>1570</v>
      </c>
      <c r="G4514" s="1">
        <v>37614</v>
      </c>
      <c r="H4514" s="1">
        <v>39546</v>
      </c>
      <c r="I4514" t="s">
        <v>12</v>
      </c>
      <c r="J4514" t="s">
        <v>15284</v>
      </c>
    </row>
    <row r="4515" spans="1:10" x14ac:dyDescent="0.25">
      <c r="A4515">
        <v>334414</v>
      </c>
      <c r="B4515" t="s">
        <v>4710</v>
      </c>
      <c r="C4515" t="str">
        <f>"9780803976955"</f>
        <v>9780803976955</v>
      </c>
      <c r="D4515" t="str">
        <f>"9781847876638"</f>
        <v>9781847876638</v>
      </c>
      <c r="E4515" t="s">
        <v>1569</v>
      </c>
      <c r="F4515" t="s">
        <v>1570</v>
      </c>
      <c r="G4515" s="1">
        <v>36882</v>
      </c>
      <c r="H4515" s="1">
        <v>39546</v>
      </c>
      <c r="I4515" t="s">
        <v>12</v>
      </c>
      <c r="J4515" t="s">
        <v>15285</v>
      </c>
    </row>
    <row r="4516" spans="1:10" x14ac:dyDescent="0.25">
      <c r="A4516">
        <v>334419</v>
      </c>
      <c r="B4516" t="s">
        <v>4711</v>
      </c>
      <c r="C4516" t="str">
        <f>"9780761968146"</f>
        <v>9780761968146</v>
      </c>
      <c r="D4516" t="str">
        <f>"9781847871657"</f>
        <v>9781847871657</v>
      </c>
      <c r="E4516" t="s">
        <v>1569</v>
      </c>
      <c r="F4516" t="s">
        <v>1570</v>
      </c>
      <c r="G4516" s="1">
        <v>37950</v>
      </c>
      <c r="H4516" s="1">
        <v>39546</v>
      </c>
      <c r="I4516" t="s">
        <v>12</v>
      </c>
      <c r="J4516" t="s">
        <v>15286</v>
      </c>
    </row>
    <row r="4517" spans="1:10" x14ac:dyDescent="0.25">
      <c r="A4517">
        <v>334421</v>
      </c>
      <c r="B4517" t="s">
        <v>4712</v>
      </c>
      <c r="C4517" t="str">
        <f>"9780761949114"</f>
        <v>9780761949114</v>
      </c>
      <c r="D4517" t="str">
        <f>"9781847877376"</f>
        <v>9781847877376</v>
      </c>
      <c r="E4517" t="s">
        <v>1569</v>
      </c>
      <c r="F4517" t="s">
        <v>1570</v>
      </c>
      <c r="G4517" s="1">
        <v>38131</v>
      </c>
      <c r="H4517" s="1">
        <v>39546</v>
      </c>
      <c r="I4517" t="s">
        <v>12</v>
      </c>
      <c r="J4517" t="s">
        <v>15287</v>
      </c>
    </row>
    <row r="4518" spans="1:10" x14ac:dyDescent="0.25">
      <c r="A4518">
        <v>334423</v>
      </c>
      <c r="B4518" t="s">
        <v>4713</v>
      </c>
      <c r="C4518" t="str">
        <f>"9781412920070"</f>
        <v>9781412920070</v>
      </c>
      <c r="D4518" t="str">
        <f>"9781847878564"</f>
        <v>9781847878564</v>
      </c>
      <c r="E4518" t="s">
        <v>1569</v>
      </c>
      <c r="F4518" t="s">
        <v>1570</v>
      </c>
      <c r="G4518" s="1">
        <v>38776</v>
      </c>
      <c r="H4518" s="1">
        <v>39538</v>
      </c>
      <c r="I4518" t="s">
        <v>12</v>
      </c>
      <c r="J4518" t="s">
        <v>15288</v>
      </c>
    </row>
    <row r="4519" spans="1:10" x14ac:dyDescent="0.25">
      <c r="A4519">
        <v>334426</v>
      </c>
      <c r="B4519" t="s">
        <v>4714</v>
      </c>
      <c r="C4519" t="str">
        <f>"9780761961154"</f>
        <v>9780761961154</v>
      </c>
      <c r="D4519" t="str">
        <f>"9781847877086"</f>
        <v>9781847877086</v>
      </c>
      <c r="E4519" t="s">
        <v>1569</v>
      </c>
      <c r="F4519" t="s">
        <v>1570</v>
      </c>
      <c r="G4519" s="1">
        <v>38889</v>
      </c>
      <c r="H4519" s="1">
        <v>39546</v>
      </c>
      <c r="I4519" t="s">
        <v>12</v>
      </c>
      <c r="J4519" t="s">
        <v>15289</v>
      </c>
    </row>
    <row r="4520" spans="1:10" x14ac:dyDescent="0.25">
      <c r="A4520">
        <v>334437</v>
      </c>
      <c r="B4520" t="s">
        <v>4715</v>
      </c>
      <c r="C4520" t="str">
        <f>"9780761944829"</f>
        <v>9780761944829</v>
      </c>
      <c r="D4520" t="str">
        <f>"9781847877611"</f>
        <v>9781847877611</v>
      </c>
      <c r="E4520" t="s">
        <v>1569</v>
      </c>
      <c r="F4520" t="s">
        <v>1570</v>
      </c>
      <c r="G4520" s="1">
        <v>38628</v>
      </c>
      <c r="H4520" s="1">
        <v>39546</v>
      </c>
      <c r="I4520" t="s">
        <v>12</v>
      </c>
      <c r="J4520" t="s">
        <v>15290</v>
      </c>
    </row>
    <row r="4521" spans="1:10" x14ac:dyDescent="0.25">
      <c r="A4521">
        <v>334445</v>
      </c>
      <c r="B4521" t="s">
        <v>4716</v>
      </c>
      <c r="C4521" t="str">
        <f>"9780761972037"</f>
        <v>9780761972037</v>
      </c>
      <c r="D4521" t="str">
        <f>"9781847876393"</f>
        <v>9781847876393</v>
      </c>
      <c r="E4521" t="s">
        <v>1569</v>
      </c>
      <c r="F4521" t="s">
        <v>1570</v>
      </c>
      <c r="G4521" s="1">
        <v>37725</v>
      </c>
      <c r="H4521" s="1">
        <v>39546</v>
      </c>
      <c r="I4521" t="s">
        <v>12</v>
      </c>
      <c r="J4521" t="s">
        <v>15291</v>
      </c>
    </row>
    <row r="4522" spans="1:10" x14ac:dyDescent="0.25">
      <c r="A4522">
        <v>334446</v>
      </c>
      <c r="B4522" t="s">
        <v>4717</v>
      </c>
      <c r="C4522" t="str">
        <f>"9781412902533"</f>
        <v>9781412902533</v>
      </c>
      <c r="D4522" t="str">
        <f>"9781847871114"</f>
        <v>9781847871114</v>
      </c>
      <c r="E4522" t="s">
        <v>1569</v>
      </c>
      <c r="F4522" t="s">
        <v>1570</v>
      </c>
      <c r="G4522" s="1">
        <v>38661</v>
      </c>
      <c r="H4522" s="1">
        <v>39538</v>
      </c>
      <c r="I4522" t="s">
        <v>12</v>
      </c>
      <c r="J4522" t="s">
        <v>15292</v>
      </c>
    </row>
    <row r="4523" spans="1:10" x14ac:dyDescent="0.25">
      <c r="A4523">
        <v>334449</v>
      </c>
      <c r="B4523" t="s">
        <v>4718</v>
      </c>
      <c r="C4523" t="str">
        <f>"9781412902953"</f>
        <v>9781412902953</v>
      </c>
      <c r="D4523" t="str">
        <f>"9781847877895"</f>
        <v>9781847877895</v>
      </c>
      <c r="E4523" t="s">
        <v>1569</v>
      </c>
      <c r="F4523" t="s">
        <v>1570</v>
      </c>
      <c r="G4523" s="1">
        <v>38846</v>
      </c>
      <c r="H4523" s="1">
        <v>39538</v>
      </c>
      <c r="I4523" t="s">
        <v>12</v>
      </c>
      <c r="J4523" t="s">
        <v>15293</v>
      </c>
    </row>
    <row r="4524" spans="1:10" x14ac:dyDescent="0.25">
      <c r="A4524">
        <v>334453</v>
      </c>
      <c r="B4524" t="s">
        <v>4719</v>
      </c>
      <c r="C4524" t="str">
        <f>"9780761954699"</f>
        <v>9780761954699</v>
      </c>
      <c r="D4524" t="str">
        <f>"9781847876775"</f>
        <v>9781847876775</v>
      </c>
      <c r="E4524" t="s">
        <v>1569</v>
      </c>
      <c r="F4524" t="s">
        <v>1570</v>
      </c>
      <c r="G4524" s="1">
        <v>37698</v>
      </c>
      <c r="H4524" s="1">
        <v>39546</v>
      </c>
      <c r="I4524" t="s">
        <v>12</v>
      </c>
      <c r="J4524" t="s">
        <v>15294</v>
      </c>
    </row>
    <row r="4525" spans="1:10" x14ac:dyDescent="0.25">
      <c r="A4525">
        <v>334455</v>
      </c>
      <c r="B4525" t="s">
        <v>4720</v>
      </c>
      <c r="C4525" t="str">
        <f>"9780761966180"</f>
        <v>9780761966180</v>
      </c>
      <c r="D4525" t="str">
        <f>"9781847876577"</f>
        <v>9781847876577</v>
      </c>
      <c r="E4525" t="s">
        <v>1569</v>
      </c>
      <c r="F4525" t="s">
        <v>1570</v>
      </c>
      <c r="G4525" s="1">
        <v>36882</v>
      </c>
      <c r="H4525" s="1">
        <v>39546</v>
      </c>
      <c r="I4525" t="s">
        <v>12</v>
      </c>
      <c r="J4525" t="s">
        <v>15295</v>
      </c>
    </row>
    <row r="4526" spans="1:10" x14ac:dyDescent="0.25">
      <c r="A4526">
        <v>334462</v>
      </c>
      <c r="B4526" t="s">
        <v>4721</v>
      </c>
      <c r="C4526" t="str">
        <f>"9781412908436"</f>
        <v>9781412908436</v>
      </c>
      <c r="D4526" t="str">
        <f>"9781847877116"</f>
        <v>9781847877116</v>
      </c>
      <c r="E4526" t="s">
        <v>1569</v>
      </c>
      <c r="F4526" t="s">
        <v>1570</v>
      </c>
      <c r="G4526" s="1">
        <v>38591</v>
      </c>
      <c r="H4526" s="1">
        <v>39538</v>
      </c>
      <c r="I4526" t="s">
        <v>12</v>
      </c>
      <c r="J4526" t="s">
        <v>15296</v>
      </c>
    </row>
    <row r="4527" spans="1:10" x14ac:dyDescent="0.25">
      <c r="A4527">
        <v>334463</v>
      </c>
      <c r="B4527" t="s">
        <v>4722</v>
      </c>
      <c r="C4527" t="str">
        <f>"9780761965589"</f>
        <v>9780761965589</v>
      </c>
      <c r="D4527" t="str">
        <f>"9781847876546"</f>
        <v>9781847876546</v>
      </c>
      <c r="E4527" t="s">
        <v>1569</v>
      </c>
      <c r="F4527" t="s">
        <v>1570</v>
      </c>
      <c r="G4527" s="1">
        <v>37034</v>
      </c>
      <c r="H4527" s="1">
        <v>39546</v>
      </c>
      <c r="I4527" t="s">
        <v>12</v>
      </c>
      <c r="J4527" t="s">
        <v>15297</v>
      </c>
    </row>
    <row r="4528" spans="1:10" x14ac:dyDescent="0.25">
      <c r="A4528">
        <v>334465</v>
      </c>
      <c r="B4528" t="s">
        <v>4723</v>
      </c>
      <c r="C4528" t="str">
        <f>"9781412903028"</f>
        <v>9781412903028</v>
      </c>
      <c r="D4528" t="str">
        <f>"9781446232156"</f>
        <v>9781446232156</v>
      </c>
      <c r="E4528" t="s">
        <v>1569</v>
      </c>
      <c r="F4528" t="s">
        <v>1570</v>
      </c>
      <c r="G4528" s="1">
        <v>38460</v>
      </c>
      <c r="H4528" s="1">
        <v>39538</v>
      </c>
      <c r="I4528" t="s">
        <v>12</v>
      </c>
      <c r="J4528" t="s">
        <v>15298</v>
      </c>
    </row>
    <row r="4529" spans="1:10" x14ac:dyDescent="0.25">
      <c r="A4529">
        <v>334466</v>
      </c>
      <c r="B4529" t="s">
        <v>4724</v>
      </c>
      <c r="C4529" t="str">
        <f>"9781412901239"</f>
        <v>9781412901239</v>
      </c>
      <c r="D4529" t="str">
        <f>"9781847877789"</f>
        <v>9781847877789</v>
      </c>
      <c r="E4529" t="s">
        <v>1569</v>
      </c>
      <c r="F4529" t="s">
        <v>1570</v>
      </c>
      <c r="G4529" s="1">
        <v>38238</v>
      </c>
      <c r="H4529" s="1">
        <v>39538</v>
      </c>
      <c r="I4529" t="s">
        <v>12</v>
      </c>
      <c r="J4529" t="s">
        <v>15299</v>
      </c>
    </row>
    <row r="4530" spans="1:10" x14ac:dyDescent="0.25">
      <c r="A4530">
        <v>334467</v>
      </c>
      <c r="B4530" t="s">
        <v>4725</v>
      </c>
      <c r="C4530" t="str">
        <f>"9781412921169"</f>
        <v>9781412921169</v>
      </c>
      <c r="D4530" t="str">
        <f>"9781847878779"</f>
        <v>9781847878779</v>
      </c>
      <c r="E4530" t="s">
        <v>1569</v>
      </c>
      <c r="F4530" t="s">
        <v>1570</v>
      </c>
      <c r="G4530" s="1">
        <v>39002</v>
      </c>
      <c r="H4530" s="1">
        <v>39538</v>
      </c>
      <c r="I4530" t="s">
        <v>12</v>
      </c>
      <c r="J4530" t="s">
        <v>15300</v>
      </c>
    </row>
    <row r="4531" spans="1:10" x14ac:dyDescent="0.25">
      <c r="A4531">
        <v>334469</v>
      </c>
      <c r="B4531" t="s">
        <v>121</v>
      </c>
      <c r="C4531" t="str">
        <f>"9781412910330"</f>
        <v>9781412910330</v>
      </c>
      <c r="D4531" t="str">
        <f>"9781847878175"</f>
        <v>9781847878175</v>
      </c>
      <c r="E4531" t="s">
        <v>1569</v>
      </c>
      <c r="F4531" t="s">
        <v>1570</v>
      </c>
      <c r="G4531" s="1">
        <v>38786</v>
      </c>
      <c r="H4531" s="1">
        <v>39538</v>
      </c>
      <c r="I4531" t="s">
        <v>12</v>
      </c>
      <c r="J4531" t="s">
        <v>15301</v>
      </c>
    </row>
    <row r="4532" spans="1:10" x14ac:dyDescent="0.25">
      <c r="A4532">
        <v>334472</v>
      </c>
      <c r="B4532" t="s">
        <v>4726</v>
      </c>
      <c r="C4532" t="str">
        <f>"9781412908474"</f>
        <v>9781412908474</v>
      </c>
      <c r="D4532" t="str">
        <f>"9781847878120"</f>
        <v>9781847878120</v>
      </c>
      <c r="E4532" t="s">
        <v>1569</v>
      </c>
      <c r="F4532" t="s">
        <v>1570</v>
      </c>
      <c r="G4532" s="1">
        <v>38895</v>
      </c>
      <c r="H4532" s="1">
        <v>39538</v>
      </c>
      <c r="I4532" t="s">
        <v>12</v>
      </c>
      <c r="J4532" t="s">
        <v>15302</v>
      </c>
    </row>
    <row r="4533" spans="1:10" x14ac:dyDescent="0.25">
      <c r="A4533">
        <v>334484</v>
      </c>
      <c r="B4533" t="s">
        <v>4727</v>
      </c>
      <c r="C4533" t="str">
        <f>"9781412919159"</f>
        <v>9781412919159</v>
      </c>
      <c r="D4533" t="str">
        <f>"9781847878526"</f>
        <v>9781847878526</v>
      </c>
      <c r="E4533" t="s">
        <v>1569</v>
      </c>
      <c r="F4533" t="s">
        <v>1570</v>
      </c>
      <c r="G4533" s="1">
        <v>39037</v>
      </c>
      <c r="H4533" s="1">
        <v>39538</v>
      </c>
      <c r="I4533" t="s">
        <v>12</v>
      </c>
      <c r="J4533" t="s">
        <v>15303</v>
      </c>
    </row>
    <row r="4534" spans="1:10" x14ac:dyDescent="0.25">
      <c r="A4534">
        <v>334485</v>
      </c>
      <c r="B4534" t="s">
        <v>4728</v>
      </c>
      <c r="C4534" t="str">
        <f>"9780761943280"</f>
        <v>9780761943280</v>
      </c>
      <c r="D4534" t="str">
        <f>"9781847877574"</f>
        <v>9781847877574</v>
      </c>
      <c r="E4534" t="s">
        <v>1569</v>
      </c>
      <c r="F4534" t="s">
        <v>1570</v>
      </c>
      <c r="G4534" s="1">
        <v>38419</v>
      </c>
      <c r="H4534" s="1">
        <v>39546</v>
      </c>
      <c r="I4534" t="s">
        <v>12</v>
      </c>
      <c r="J4534" t="s">
        <v>15304</v>
      </c>
    </row>
    <row r="4535" spans="1:10" x14ac:dyDescent="0.25">
      <c r="A4535">
        <v>334487</v>
      </c>
      <c r="B4535" t="s">
        <v>4729</v>
      </c>
      <c r="C4535" t="str">
        <f>"9781412908634"</f>
        <v>9781412908634</v>
      </c>
      <c r="D4535" t="str">
        <f>"9781847878083"</f>
        <v>9781847878083</v>
      </c>
      <c r="E4535" t="s">
        <v>1569</v>
      </c>
      <c r="F4535" t="s">
        <v>1570</v>
      </c>
      <c r="G4535" s="1">
        <v>38880</v>
      </c>
      <c r="H4535" s="1">
        <v>39538</v>
      </c>
      <c r="I4535" t="s">
        <v>12</v>
      </c>
      <c r="J4535" t="s">
        <v>15305</v>
      </c>
    </row>
    <row r="4536" spans="1:10" x14ac:dyDescent="0.25">
      <c r="A4536">
        <v>334490</v>
      </c>
      <c r="B4536" t="s">
        <v>4730</v>
      </c>
      <c r="C4536" t="str">
        <f>"9781412919272"</f>
        <v>9781412919272</v>
      </c>
      <c r="D4536" t="str">
        <f>"9781847878397"</f>
        <v>9781847878397</v>
      </c>
      <c r="E4536" t="s">
        <v>1569</v>
      </c>
      <c r="F4536" t="s">
        <v>1570</v>
      </c>
      <c r="G4536" s="1">
        <v>38660</v>
      </c>
      <c r="H4536" s="1">
        <v>39538</v>
      </c>
      <c r="I4536" t="s">
        <v>12</v>
      </c>
      <c r="J4536" t="s">
        <v>15306</v>
      </c>
    </row>
    <row r="4537" spans="1:10" x14ac:dyDescent="0.25">
      <c r="A4537">
        <v>334492</v>
      </c>
      <c r="B4537" t="s">
        <v>4731</v>
      </c>
      <c r="C4537" t="str">
        <f>"9781412912129"</f>
        <v>9781412912129</v>
      </c>
      <c r="D4537" t="str">
        <f>"9781847878342"</f>
        <v>9781847878342</v>
      </c>
      <c r="E4537" t="s">
        <v>1569</v>
      </c>
      <c r="F4537" t="s">
        <v>1570</v>
      </c>
      <c r="G4537" s="1">
        <v>39195</v>
      </c>
      <c r="H4537" s="1">
        <v>39538</v>
      </c>
      <c r="I4537" t="s">
        <v>12</v>
      </c>
      <c r="J4537" t="s">
        <v>15307</v>
      </c>
    </row>
    <row r="4538" spans="1:10" x14ac:dyDescent="0.25">
      <c r="A4538">
        <v>334496</v>
      </c>
      <c r="B4538" t="s">
        <v>4732</v>
      </c>
      <c r="C4538" t="str">
        <f>"9780761943914"</f>
        <v>9780761943914</v>
      </c>
      <c r="D4538" t="str">
        <f>"9781847877499"</f>
        <v>9781847877499</v>
      </c>
      <c r="E4538" t="s">
        <v>1569</v>
      </c>
      <c r="F4538" t="s">
        <v>1570</v>
      </c>
      <c r="G4538" s="1">
        <v>38897</v>
      </c>
      <c r="H4538" s="1">
        <v>39546</v>
      </c>
      <c r="I4538" t="s">
        <v>12</v>
      </c>
      <c r="J4538" t="s">
        <v>15308</v>
      </c>
    </row>
    <row r="4539" spans="1:10" x14ac:dyDescent="0.25">
      <c r="A4539">
        <v>334498</v>
      </c>
      <c r="B4539" t="s">
        <v>4733</v>
      </c>
      <c r="C4539" t="str">
        <f>"9780761944713"</f>
        <v>9780761944713</v>
      </c>
      <c r="D4539" t="str">
        <f>"9781847877642"</f>
        <v>9781847877642</v>
      </c>
      <c r="E4539" t="s">
        <v>1569</v>
      </c>
      <c r="F4539" t="s">
        <v>1570</v>
      </c>
      <c r="G4539" s="1">
        <v>38142</v>
      </c>
      <c r="H4539" s="1">
        <v>39546</v>
      </c>
      <c r="I4539" t="s">
        <v>12</v>
      </c>
      <c r="J4539" t="s">
        <v>15309</v>
      </c>
    </row>
    <row r="4540" spans="1:10" x14ac:dyDescent="0.25">
      <c r="A4540">
        <v>334500</v>
      </c>
      <c r="B4540" t="s">
        <v>4734</v>
      </c>
      <c r="C4540" t="str">
        <f>"9781412908641"</f>
        <v>9781412908641</v>
      </c>
      <c r="D4540" t="str">
        <f>"9781847878021"</f>
        <v>9781847878021</v>
      </c>
      <c r="E4540" t="s">
        <v>1569</v>
      </c>
      <c r="F4540" t="s">
        <v>1570</v>
      </c>
      <c r="G4540" s="1">
        <v>38818</v>
      </c>
      <c r="H4540" s="1">
        <v>39538</v>
      </c>
      <c r="I4540" t="s">
        <v>12</v>
      </c>
      <c r="J4540" t="s">
        <v>15310</v>
      </c>
    </row>
    <row r="4541" spans="1:10" x14ac:dyDescent="0.25">
      <c r="A4541">
        <v>334501</v>
      </c>
      <c r="B4541" t="s">
        <v>4735</v>
      </c>
      <c r="C4541" t="str">
        <f>"9781412919371"</f>
        <v>9781412919371</v>
      </c>
      <c r="D4541" t="str">
        <f>"9781847878557"</f>
        <v>9781847878557</v>
      </c>
      <c r="E4541" t="s">
        <v>1569</v>
      </c>
      <c r="F4541" t="s">
        <v>1570</v>
      </c>
      <c r="G4541" s="1">
        <v>38870</v>
      </c>
      <c r="H4541" s="1">
        <v>39538</v>
      </c>
      <c r="I4541" t="s">
        <v>12</v>
      </c>
      <c r="J4541" t="s">
        <v>15311</v>
      </c>
    </row>
    <row r="4542" spans="1:10" x14ac:dyDescent="0.25">
      <c r="A4542">
        <v>334503</v>
      </c>
      <c r="B4542" t="s">
        <v>4736</v>
      </c>
      <c r="C4542" t="str">
        <f>"9781412910781"</f>
        <v>9781412910781</v>
      </c>
      <c r="D4542" t="str">
        <f>"9781848605596"</f>
        <v>9781848605596</v>
      </c>
      <c r="E4542" t="s">
        <v>1569</v>
      </c>
      <c r="F4542" t="s">
        <v>1570</v>
      </c>
      <c r="G4542" s="1">
        <v>38994</v>
      </c>
      <c r="H4542" s="1">
        <v>39538</v>
      </c>
      <c r="I4542" t="s">
        <v>12</v>
      </c>
      <c r="J4542" t="s">
        <v>15312</v>
      </c>
    </row>
    <row r="4543" spans="1:10" x14ac:dyDescent="0.25">
      <c r="A4543">
        <v>334505</v>
      </c>
      <c r="B4543" t="s">
        <v>4737</v>
      </c>
      <c r="C4543" t="str">
        <f>"9781412903806"</f>
        <v>9781412903806</v>
      </c>
      <c r="D4543" t="str">
        <f>"9781847878045"</f>
        <v>9781847878045</v>
      </c>
      <c r="E4543" t="s">
        <v>1569</v>
      </c>
      <c r="F4543" t="s">
        <v>1570</v>
      </c>
      <c r="G4543" s="1">
        <v>38848</v>
      </c>
      <c r="H4543" s="1">
        <v>39538</v>
      </c>
      <c r="I4543" t="s">
        <v>12</v>
      </c>
      <c r="J4543" t="s">
        <v>15313</v>
      </c>
    </row>
    <row r="4544" spans="1:10" x14ac:dyDescent="0.25">
      <c r="A4544">
        <v>334506</v>
      </c>
      <c r="B4544" t="s">
        <v>4738</v>
      </c>
      <c r="C4544" t="str">
        <f>"9780761960973"</f>
        <v>9780761960973</v>
      </c>
      <c r="D4544" t="str">
        <f>"9781847877093"</f>
        <v>9781847877093</v>
      </c>
      <c r="E4544" t="s">
        <v>1569</v>
      </c>
      <c r="F4544" t="s">
        <v>1570</v>
      </c>
      <c r="G4544" s="1">
        <v>38679</v>
      </c>
      <c r="H4544" s="1">
        <v>39538</v>
      </c>
      <c r="I4544" t="s">
        <v>12</v>
      </c>
      <c r="J4544" t="s">
        <v>15314</v>
      </c>
    </row>
    <row r="4545" spans="1:10" x14ac:dyDescent="0.25">
      <c r="A4545">
        <v>334507</v>
      </c>
      <c r="B4545" t="s">
        <v>4739</v>
      </c>
      <c r="C4545" t="str">
        <f>"9780761948612"</f>
        <v>9780761948612</v>
      </c>
      <c r="D4545" t="str">
        <f>"9781847871466"</f>
        <v>9781847871466</v>
      </c>
      <c r="E4545" t="s">
        <v>1569</v>
      </c>
      <c r="F4545" t="s">
        <v>1570</v>
      </c>
      <c r="G4545" s="1">
        <v>37937</v>
      </c>
      <c r="H4545" s="1">
        <v>39546</v>
      </c>
      <c r="I4545" t="s">
        <v>12</v>
      </c>
      <c r="J4545" t="s">
        <v>15315</v>
      </c>
    </row>
    <row r="4546" spans="1:10" x14ac:dyDescent="0.25">
      <c r="A4546">
        <v>334514</v>
      </c>
      <c r="B4546" t="s">
        <v>4740</v>
      </c>
      <c r="C4546" t="str">
        <f>"9781412918299"</f>
        <v>9781412918299</v>
      </c>
      <c r="D4546" t="str">
        <f>"9781847878472"</f>
        <v>9781847878472</v>
      </c>
      <c r="E4546" t="s">
        <v>1569</v>
      </c>
      <c r="F4546" t="s">
        <v>1570</v>
      </c>
      <c r="G4546" s="1">
        <v>38610</v>
      </c>
      <c r="H4546" s="1">
        <v>39636</v>
      </c>
      <c r="I4546" t="s">
        <v>12</v>
      </c>
      <c r="J4546" t="s">
        <v>15316</v>
      </c>
    </row>
    <row r="4547" spans="1:10" x14ac:dyDescent="0.25">
      <c r="A4547">
        <v>334516</v>
      </c>
      <c r="B4547" t="s">
        <v>4741</v>
      </c>
      <c r="C4547" t="str">
        <f>"9781412934701"</f>
        <v>9781412934701</v>
      </c>
      <c r="D4547" t="str">
        <f>"9781847878915"</f>
        <v>9781847878915</v>
      </c>
      <c r="E4547" t="s">
        <v>1569</v>
      </c>
      <c r="F4547" t="s">
        <v>1570</v>
      </c>
      <c r="G4547" s="1">
        <v>39055</v>
      </c>
      <c r="H4547" s="1">
        <v>39538</v>
      </c>
      <c r="I4547" t="s">
        <v>12</v>
      </c>
      <c r="J4547" t="s">
        <v>15317</v>
      </c>
    </row>
    <row r="4548" spans="1:10" x14ac:dyDescent="0.25">
      <c r="A4548">
        <v>334520</v>
      </c>
      <c r="B4548" t="s">
        <v>4742</v>
      </c>
      <c r="C4548" t="str">
        <f>"9780761971030"</f>
        <v>9780761971030</v>
      </c>
      <c r="D4548" t="str">
        <f>"9781847877253"</f>
        <v>9781847877253</v>
      </c>
      <c r="E4548" t="s">
        <v>1569</v>
      </c>
      <c r="F4548" t="s">
        <v>1570</v>
      </c>
      <c r="G4548" s="1">
        <v>38365</v>
      </c>
      <c r="H4548" s="1">
        <v>39538</v>
      </c>
      <c r="I4548" t="s">
        <v>12</v>
      </c>
      <c r="J4548" t="s">
        <v>15318</v>
      </c>
    </row>
    <row r="4549" spans="1:10" x14ac:dyDescent="0.25">
      <c r="A4549">
        <v>334523</v>
      </c>
      <c r="B4549" t="s">
        <v>4743</v>
      </c>
      <c r="C4549" t="str">
        <f>"9781412912549"</f>
        <v>9781412912549</v>
      </c>
      <c r="D4549" t="str">
        <f>"9781847878373"</f>
        <v>9781847878373</v>
      </c>
      <c r="E4549" t="s">
        <v>1569</v>
      </c>
      <c r="F4549" t="s">
        <v>1570</v>
      </c>
      <c r="G4549" s="1">
        <v>39062</v>
      </c>
      <c r="H4549" s="1">
        <v>39538</v>
      </c>
      <c r="I4549" t="s">
        <v>12</v>
      </c>
      <c r="J4549" t="s">
        <v>15319</v>
      </c>
    </row>
    <row r="4550" spans="1:10" x14ac:dyDescent="0.25">
      <c r="A4550">
        <v>334526</v>
      </c>
      <c r="B4550" t="s">
        <v>4744</v>
      </c>
      <c r="C4550" t="str">
        <f>"9780761949251"</f>
        <v>9780761949251</v>
      </c>
      <c r="D4550" t="str">
        <f>"9781847876164"</f>
        <v>9781847876164</v>
      </c>
      <c r="E4550" t="s">
        <v>1569</v>
      </c>
      <c r="F4550" t="s">
        <v>1570</v>
      </c>
      <c r="G4550" s="1">
        <v>37757</v>
      </c>
      <c r="H4550" s="1">
        <v>39546</v>
      </c>
      <c r="I4550" t="s">
        <v>12</v>
      </c>
      <c r="J4550" t="s">
        <v>15320</v>
      </c>
    </row>
    <row r="4551" spans="1:10" x14ac:dyDescent="0.25">
      <c r="A4551">
        <v>334531</v>
      </c>
      <c r="B4551" t="s">
        <v>4745</v>
      </c>
      <c r="C4551" t="str">
        <f>"9780761942801"</f>
        <v>9780761942801</v>
      </c>
      <c r="D4551" t="str">
        <f>"9781847876485"</f>
        <v>9781847876485</v>
      </c>
      <c r="E4551" t="s">
        <v>1569</v>
      </c>
      <c r="F4551" t="s">
        <v>1570</v>
      </c>
      <c r="G4551" s="1">
        <v>37974</v>
      </c>
      <c r="H4551" s="1">
        <v>39546</v>
      </c>
      <c r="I4551" t="s">
        <v>12</v>
      </c>
      <c r="J4551" t="s">
        <v>15321</v>
      </c>
    </row>
    <row r="4552" spans="1:10" x14ac:dyDescent="0.25">
      <c r="A4552">
        <v>334533</v>
      </c>
      <c r="B4552" t="s">
        <v>4746</v>
      </c>
      <c r="C4552" t="str">
        <f>"9781412918411"</f>
        <v>9781412918411</v>
      </c>
      <c r="D4552" t="str">
        <f>"9781847878441"</f>
        <v>9781847878441</v>
      </c>
      <c r="E4552" t="s">
        <v>1569</v>
      </c>
      <c r="F4552" t="s">
        <v>1570</v>
      </c>
      <c r="G4552" s="1">
        <v>38786</v>
      </c>
      <c r="H4552" s="1">
        <v>39538</v>
      </c>
      <c r="I4552" t="s">
        <v>12</v>
      </c>
      <c r="J4552" t="s">
        <v>15322</v>
      </c>
    </row>
    <row r="4553" spans="1:10" x14ac:dyDescent="0.25">
      <c r="A4553">
        <v>334534</v>
      </c>
      <c r="B4553" t="s">
        <v>4747</v>
      </c>
      <c r="C4553" t="str">
        <f>"9781412910620"</f>
        <v>9781412910620</v>
      </c>
      <c r="D4553" t="str">
        <f>"9781847878182"</f>
        <v>9781847878182</v>
      </c>
      <c r="E4553" t="s">
        <v>1569</v>
      </c>
      <c r="F4553" t="s">
        <v>1570</v>
      </c>
      <c r="G4553" s="1">
        <v>38786</v>
      </c>
      <c r="H4553" s="1">
        <v>39538</v>
      </c>
      <c r="I4553" t="s">
        <v>12</v>
      </c>
      <c r="J4553" t="s">
        <v>15323</v>
      </c>
    </row>
    <row r="4554" spans="1:10" x14ac:dyDescent="0.25">
      <c r="A4554">
        <v>334536</v>
      </c>
      <c r="B4554" t="s">
        <v>4748</v>
      </c>
      <c r="C4554" t="str">
        <f>"9781412902595"</f>
        <v>9781412902595</v>
      </c>
      <c r="D4554" t="str">
        <f>"9781847877925"</f>
        <v>9781847877925</v>
      </c>
      <c r="E4554" t="s">
        <v>1569</v>
      </c>
      <c r="F4554" t="s">
        <v>1570</v>
      </c>
      <c r="G4554" s="1">
        <v>38307</v>
      </c>
      <c r="H4554" s="1">
        <v>39538</v>
      </c>
      <c r="I4554" t="s">
        <v>12</v>
      </c>
      <c r="J4554" t="s">
        <v>15324</v>
      </c>
    </row>
    <row r="4555" spans="1:10" x14ac:dyDescent="0.25">
      <c r="A4555">
        <v>334538</v>
      </c>
      <c r="B4555" t="s">
        <v>4749</v>
      </c>
      <c r="C4555" t="str">
        <f>"9780761940630"</f>
        <v>9780761940630</v>
      </c>
      <c r="D4555" t="str">
        <f>"9781847877383"</f>
        <v>9781847877383</v>
      </c>
      <c r="E4555" t="s">
        <v>1569</v>
      </c>
      <c r="F4555" t="s">
        <v>1570</v>
      </c>
      <c r="G4555" s="1">
        <v>38762</v>
      </c>
      <c r="H4555" s="1">
        <v>39546</v>
      </c>
      <c r="I4555" t="s">
        <v>12</v>
      </c>
      <c r="J4555" t="s">
        <v>15325</v>
      </c>
    </row>
    <row r="4556" spans="1:10" x14ac:dyDescent="0.25">
      <c r="A4556">
        <v>334539</v>
      </c>
      <c r="B4556" t="s">
        <v>4750</v>
      </c>
      <c r="C4556" t="str">
        <f>"9781412902045"</f>
        <v>9781412902045</v>
      </c>
      <c r="D4556" t="str">
        <f>"9781847877840"</f>
        <v>9781847877840</v>
      </c>
      <c r="E4556" t="s">
        <v>1569</v>
      </c>
      <c r="F4556" t="s">
        <v>1570</v>
      </c>
      <c r="G4556" s="1">
        <v>38679</v>
      </c>
      <c r="H4556" s="1">
        <v>39538</v>
      </c>
      <c r="I4556" t="s">
        <v>12</v>
      </c>
      <c r="J4556" t="s">
        <v>15326</v>
      </c>
    </row>
    <row r="4557" spans="1:10" x14ac:dyDescent="0.25">
      <c r="A4557">
        <v>334547</v>
      </c>
      <c r="B4557" t="s">
        <v>4751</v>
      </c>
      <c r="C4557" t="str">
        <f>"9780803983502"</f>
        <v>9780803983502</v>
      </c>
      <c r="D4557" t="str">
        <f>"9781847876225"</f>
        <v>9781847876225</v>
      </c>
      <c r="E4557" t="s">
        <v>1569</v>
      </c>
      <c r="F4557" t="s">
        <v>1570</v>
      </c>
      <c r="G4557" s="1">
        <v>36873</v>
      </c>
      <c r="H4557" s="1">
        <v>39538</v>
      </c>
      <c r="I4557" t="s">
        <v>12</v>
      </c>
      <c r="J4557" t="s">
        <v>15327</v>
      </c>
    </row>
    <row r="4558" spans="1:10" x14ac:dyDescent="0.25">
      <c r="A4558">
        <v>334555</v>
      </c>
      <c r="B4558" t="s">
        <v>4752</v>
      </c>
      <c r="C4558" t="str">
        <f>"9780761941712"</f>
        <v>9780761941712</v>
      </c>
      <c r="D4558" t="str">
        <f>"9781847877239"</f>
        <v>9781847877239</v>
      </c>
      <c r="E4558" t="s">
        <v>1569</v>
      </c>
      <c r="F4558" t="s">
        <v>1570</v>
      </c>
      <c r="G4558" s="1">
        <v>38805</v>
      </c>
      <c r="H4558" s="1">
        <v>39546</v>
      </c>
      <c r="I4558" t="s">
        <v>12</v>
      </c>
      <c r="J4558" t="s">
        <v>15328</v>
      </c>
    </row>
    <row r="4559" spans="1:10" x14ac:dyDescent="0.25">
      <c r="A4559">
        <v>334560</v>
      </c>
      <c r="B4559" t="s">
        <v>4753</v>
      </c>
      <c r="C4559" t="str">
        <f>"9780761968849"</f>
        <v>9780761968849</v>
      </c>
      <c r="D4559" t="str">
        <f>"9781847876805"</f>
        <v>9781847876805</v>
      </c>
      <c r="E4559" t="s">
        <v>1569</v>
      </c>
      <c r="F4559" t="s">
        <v>1570</v>
      </c>
      <c r="G4559" s="1">
        <v>36803</v>
      </c>
      <c r="H4559" s="1">
        <v>39538</v>
      </c>
      <c r="I4559" t="s">
        <v>12</v>
      </c>
      <c r="J4559" t="s">
        <v>15329</v>
      </c>
    </row>
    <row r="4560" spans="1:10" x14ac:dyDescent="0.25">
      <c r="A4560">
        <v>334568</v>
      </c>
      <c r="B4560" t="s">
        <v>4754</v>
      </c>
      <c r="C4560" t="str">
        <f>"9781412900621"</f>
        <v>9781412900621</v>
      </c>
      <c r="D4560" t="str">
        <f>"9781847877734"</f>
        <v>9781847877734</v>
      </c>
      <c r="E4560" t="s">
        <v>1569</v>
      </c>
      <c r="F4560" t="s">
        <v>1570</v>
      </c>
      <c r="G4560" s="1">
        <v>38635</v>
      </c>
      <c r="H4560" s="1">
        <v>39538</v>
      </c>
      <c r="I4560" t="s">
        <v>12</v>
      </c>
      <c r="J4560" t="s">
        <v>15330</v>
      </c>
    </row>
    <row r="4561" spans="1:10" x14ac:dyDescent="0.25">
      <c r="A4561">
        <v>334576</v>
      </c>
      <c r="B4561" t="s">
        <v>4755</v>
      </c>
      <c r="C4561" t="str">
        <f>"9780761970231"</f>
        <v>9780761970231</v>
      </c>
      <c r="D4561" t="str">
        <f>"9781847877215"</f>
        <v>9781847877215</v>
      </c>
      <c r="E4561" t="s">
        <v>1569</v>
      </c>
      <c r="F4561" t="s">
        <v>1570</v>
      </c>
      <c r="G4561" s="1">
        <v>38365</v>
      </c>
      <c r="H4561" s="1">
        <v>39538</v>
      </c>
      <c r="I4561" t="s">
        <v>12</v>
      </c>
      <c r="J4561" t="s">
        <v>15331</v>
      </c>
    </row>
    <row r="4562" spans="1:10" x14ac:dyDescent="0.25">
      <c r="A4562">
        <v>334577</v>
      </c>
      <c r="B4562" t="s">
        <v>4756</v>
      </c>
      <c r="C4562" t="str">
        <f>"9780761942481"</f>
        <v>9780761942481</v>
      </c>
      <c r="D4562" t="str">
        <f>"9781847877505"</f>
        <v>9781847877505</v>
      </c>
      <c r="E4562" t="s">
        <v>1569</v>
      </c>
      <c r="F4562" t="s">
        <v>1570</v>
      </c>
      <c r="G4562" s="1">
        <v>38337</v>
      </c>
      <c r="H4562" s="1">
        <v>39546</v>
      </c>
      <c r="I4562" t="s">
        <v>12</v>
      </c>
      <c r="J4562" t="s">
        <v>15332</v>
      </c>
    </row>
    <row r="4563" spans="1:10" x14ac:dyDescent="0.25">
      <c r="A4563">
        <v>334580</v>
      </c>
      <c r="B4563" t="s">
        <v>4757</v>
      </c>
      <c r="C4563" t="str">
        <f>"9780761947578"</f>
        <v>9780761947578</v>
      </c>
      <c r="D4563" t="str">
        <f>"9781847877352"</f>
        <v>9781847877352</v>
      </c>
      <c r="E4563" t="s">
        <v>1569</v>
      </c>
      <c r="F4563" t="s">
        <v>1570</v>
      </c>
      <c r="G4563" s="1">
        <v>38755</v>
      </c>
      <c r="H4563" s="1">
        <v>39546</v>
      </c>
      <c r="I4563" t="s">
        <v>12</v>
      </c>
      <c r="J4563" t="s">
        <v>15333</v>
      </c>
    </row>
    <row r="4564" spans="1:10" x14ac:dyDescent="0.25">
      <c r="A4564">
        <v>334581</v>
      </c>
      <c r="B4564" t="s">
        <v>4758</v>
      </c>
      <c r="C4564" t="str">
        <f>"9780761969990"</f>
        <v>9780761969990</v>
      </c>
      <c r="D4564" t="str">
        <f>"9781847871022"</f>
        <v>9781847871022</v>
      </c>
      <c r="E4564" t="s">
        <v>1569</v>
      </c>
      <c r="F4564" t="s">
        <v>1570</v>
      </c>
      <c r="G4564" s="1">
        <v>36812</v>
      </c>
      <c r="H4564" s="1">
        <v>39538</v>
      </c>
      <c r="I4564" t="s">
        <v>12</v>
      </c>
      <c r="J4564" t="s">
        <v>15334</v>
      </c>
    </row>
    <row r="4565" spans="1:10" x14ac:dyDescent="0.25">
      <c r="A4565">
        <v>334583</v>
      </c>
      <c r="B4565" t="s">
        <v>4759</v>
      </c>
      <c r="C4565" t="str">
        <f>"9781412919395"</f>
        <v>9781412919395</v>
      </c>
      <c r="D4565" t="str">
        <f>"9781847878595"</f>
        <v>9781847878595</v>
      </c>
      <c r="E4565" t="s">
        <v>1569</v>
      </c>
      <c r="F4565" t="s">
        <v>1570</v>
      </c>
      <c r="G4565" s="1">
        <v>38939</v>
      </c>
      <c r="H4565" s="1">
        <v>39546</v>
      </c>
      <c r="I4565" t="s">
        <v>12</v>
      </c>
      <c r="J4565" t="s">
        <v>15335</v>
      </c>
    </row>
    <row r="4566" spans="1:10" x14ac:dyDescent="0.25">
      <c r="A4566">
        <v>334584</v>
      </c>
      <c r="B4566" t="s">
        <v>4760</v>
      </c>
      <c r="C4566" t="str">
        <f>"9780761973416"</f>
        <v>9780761973416</v>
      </c>
      <c r="D4566" t="str">
        <f>"9781847877291"</f>
        <v>9781847877291</v>
      </c>
      <c r="E4566" t="s">
        <v>1569</v>
      </c>
      <c r="F4566" t="s">
        <v>1570</v>
      </c>
      <c r="G4566" s="1">
        <v>38125</v>
      </c>
      <c r="H4566" s="1">
        <v>39538</v>
      </c>
      <c r="I4566" t="s">
        <v>12</v>
      </c>
      <c r="J4566" t="s">
        <v>15336</v>
      </c>
    </row>
    <row r="4567" spans="1:10" x14ac:dyDescent="0.25">
      <c r="A4567">
        <v>334588</v>
      </c>
      <c r="B4567" t="s">
        <v>4761</v>
      </c>
      <c r="C4567" t="str">
        <f>"9780761941385"</f>
        <v>9780761941385</v>
      </c>
      <c r="D4567" t="str">
        <f>"9781847877420"</f>
        <v>9781847877420</v>
      </c>
      <c r="E4567" t="s">
        <v>1569</v>
      </c>
      <c r="F4567" t="s">
        <v>1570</v>
      </c>
      <c r="G4567" s="1">
        <v>38147</v>
      </c>
      <c r="H4567" s="1">
        <v>39546</v>
      </c>
      <c r="I4567" t="s">
        <v>12</v>
      </c>
      <c r="J4567" t="s">
        <v>15337</v>
      </c>
    </row>
    <row r="4568" spans="1:10" x14ac:dyDescent="0.25">
      <c r="A4568">
        <v>334605</v>
      </c>
      <c r="B4568" t="s">
        <v>4762</v>
      </c>
      <c r="C4568" t="str">
        <f>"9780761941330"</f>
        <v>9780761941330</v>
      </c>
      <c r="D4568" t="str">
        <f>"9781847877437"</f>
        <v>9781847877437</v>
      </c>
      <c r="E4568" t="s">
        <v>1569</v>
      </c>
      <c r="F4568" t="s">
        <v>1570</v>
      </c>
      <c r="G4568" s="1">
        <v>38433</v>
      </c>
      <c r="H4568" s="1">
        <v>39546</v>
      </c>
      <c r="I4568" t="s">
        <v>12</v>
      </c>
      <c r="J4568" t="s">
        <v>15338</v>
      </c>
    </row>
    <row r="4569" spans="1:10" x14ac:dyDescent="0.25">
      <c r="A4569">
        <v>334606</v>
      </c>
      <c r="B4569" t="s">
        <v>4763</v>
      </c>
      <c r="C4569" t="str">
        <f>"9780761942511"</f>
        <v>9780761942511</v>
      </c>
      <c r="D4569" t="str">
        <f>"9781847876478"</f>
        <v>9781847876478</v>
      </c>
      <c r="E4569" t="s">
        <v>1569</v>
      </c>
      <c r="F4569" t="s">
        <v>1570</v>
      </c>
      <c r="G4569" s="1">
        <v>38071</v>
      </c>
      <c r="H4569" s="1">
        <v>39546</v>
      </c>
      <c r="I4569" t="s">
        <v>12</v>
      </c>
      <c r="J4569" t="s">
        <v>15339</v>
      </c>
    </row>
    <row r="4570" spans="1:10" x14ac:dyDescent="0.25">
      <c r="A4570">
        <v>334620</v>
      </c>
      <c r="B4570" t="s">
        <v>4764</v>
      </c>
      <c r="C4570" t="str">
        <f>"9781412902922"</f>
        <v>9781412902922</v>
      </c>
      <c r="D4570" t="str">
        <f>"9781847877857"</f>
        <v>9781847877857</v>
      </c>
      <c r="E4570" t="s">
        <v>1569</v>
      </c>
      <c r="F4570" t="s">
        <v>1570</v>
      </c>
      <c r="G4570" s="1">
        <v>38883</v>
      </c>
      <c r="H4570" s="1">
        <v>39546</v>
      </c>
      <c r="I4570" t="s">
        <v>12</v>
      </c>
      <c r="J4570" t="s">
        <v>15340</v>
      </c>
    </row>
    <row r="4571" spans="1:10" x14ac:dyDescent="0.25">
      <c r="A4571">
        <v>334880</v>
      </c>
      <c r="B4571" t="s">
        <v>4765</v>
      </c>
      <c r="C4571" t="str">
        <f>"9780748627936"</f>
        <v>9780748627936</v>
      </c>
      <c r="D4571" t="str">
        <f>"9780748631773"</f>
        <v>9780748631773</v>
      </c>
      <c r="E4571" t="s">
        <v>1942</v>
      </c>
      <c r="F4571" t="s">
        <v>1942</v>
      </c>
      <c r="G4571" s="1">
        <v>39227</v>
      </c>
      <c r="H4571" s="1">
        <v>39541</v>
      </c>
      <c r="I4571" t="s">
        <v>12</v>
      </c>
      <c r="J4571" t="s">
        <v>15341</v>
      </c>
    </row>
    <row r="4572" spans="1:10" x14ac:dyDescent="0.25">
      <c r="A4572">
        <v>334886</v>
      </c>
      <c r="B4572" t="s">
        <v>4766</v>
      </c>
      <c r="C4572" t="str">
        <f>"9780748633739"</f>
        <v>9780748633739</v>
      </c>
      <c r="D4572" t="str">
        <f>"9780748633746"</f>
        <v>9780748633746</v>
      </c>
      <c r="E4572" t="s">
        <v>1942</v>
      </c>
      <c r="F4572" t="s">
        <v>1942</v>
      </c>
      <c r="G4572" s="1">
        <v>39485</v>
      </c>
      <c r="H4572" s="1">
        <v>39541</v>
      </c>
      <c r="I4572" t="s">
        <v>12</v>
      </c>
      <c r="J4572" t="s">
        <v>15342</v>
      </c>
    </row>
    <row r="4573" spans="1:10" x14ac:dyDescent="0.25">
      <c r="A4573">
        <v>334892</v>
      </c>
      <c r="B4573" t="s">
        <v>4767</v>
      </c>
      <c r="C4573" t="str">
        <f>"9780748618309"</f>
        <v>9780748618309</v>
      </c>
      <c r="D4573" t="str">
        <f>"9780748628865"</f>
        <v>9780748628865</v>
      </c>
      <c r="E4573" t="s">
        <v>1942</v>
      </c>
      <c r="F4573" t="s">
        <v>1942</v>
      </c>
      <c r="G4573" s="1">
        <v>39470</v>
      </c>
      <c r="H4573" s="1">
        <v>39541</v>
      </c>
      <c r="I4573" t="s">
        <v>12</v>
      </c>
      <c r="J4573" t="s">
        <v>15343</v>
      </c>
    </row>
    <row r="4574" spans="1:10" x14ac:dyDescent="0.25">
      <c r="A4574">
        <v>334895</v>
      </c>
      <c r="B4574" t="s">
        <v>4768</v>
      </c>
      <c r="C4574" t="str">
        <f>"9780748621224"</f>
        <v>9780748621224</v>
      </c>
      <c r="D4574" t="str">
        <f>"9780748629381"</f>
        <v>9780748629381</v>
      </c>
      <c r="E4574" t="s">
        <v>1942</v>
      </c>
      <c r="F4574" t="s">
        <v>1942</v>
      </c>
      <c r="G4574" s="1">
        <v>39227</v>
      </c>
      <c r="H4574" s="1">
        <v>39541</v>
      </c>
      <c r="I4574" t="s">
        <v>12</v>
      </c>
      <c r="J4574" t="s">
        <v>15344</v>
      </c>
    </row>
    <row r="4575" spans="1:10" x14ac:dyDescent="0.25">
      <c r="A4575">
        <v>335204</v>
      </c>
      <c r="B4575" t="s">
        <v>4769</v>
      </c>
      <c r="C4575" t="str">
        <f>"9783805581943"</f>
        <v>9783805581943</v>
      </c>
      <c r="D4575" t="str">
        <f>"9783318014105"</f>
        <v>9783318014105</v>
      </c>
      <c r="E4575" t="s">
        <v>2883</v>
      </c>
      <c r="F4575" t="s">
        <v>2883</v>
      </c>
      <c r="G4575" s="1">
        <v>39113</v>
      </c>
      <c r="H4575" s="1">
        <v>39543</v>
      </c>
      <c r="I4575" t="s">
        <v>12</v>
      </c>
      <c r="J4575" t="s">
        <v>15345</v>
      </c>
    </row>
    <row r="4576" spans="1:10" x14ac:dyDescent="0.25">
      <c r="A4576">
        <v>335272</v>
      </c>
      <c r="B4576" t="s">
        <v>4770</v>
      </c>
      <c r="C4576" t="str">
        <f>"9780335222421"</f>
        <v>9780335222421</v>
      </c>
      <c r="D4576" t="str">
        <f>"9780335234806"</f>
        <v>9780335234806</v>
      </c>
      <c r="E4576" t="s">
        <v>2795</v>
      </c>
      <c r="F4576" t="s">
        <v>2796</v>
      </c>
      <c r="G4576" s="1">
        <v>39514</v>
      </c>
      <c r="H4576" s="1">
        <v>39544</v>
      </c>
      <c r="I4576" t="s">
        <v>12</v>
      </c>
      <c r="J4576" t="s">
        <v>15346</v>
      </c>
    </row>
    <row r="4577" spans="1:10" x14ac:dyDescent="0.25">
      <c r="A4577">
        <v>335273</v>
      </c>
      <c r="B4577" t="s">
        <v>4771</v>
      </c>
      <c r="C4577" t="str">
        <f>"9780335222537"</f>
        <v>9780335222537</v>
      </c>
      <c r="D4577" t="str">
        <f>"9780335234813"</f>
        <v>9780335234813</v>
      </c>
      <c r="E4577" t="s">
        <v>2795</v>
      </c>
      <c r="F4577" t="s">
        <v>2796</v>
      </c>
      <c r="G4577" s="1">
        <v>39479</v>
      </c>
      <c r="H4577" s="1">
        <v>39544</v>
      </c>
      <c r="I4577" t="s">
        <v>12</v>
      </c>
      <c r="J4577" t="s">
        <v>15347</v>
      </c>
    </row>
    <row r="4578" spans="1:10" x14ac:dyDescent="0.25">
      <c r="A4578">
        <v>335388</v>
      </c>
      <c r="B4578" t="s">
        <v>4772</v>
      </c>
      <c r="C4578" t="str">
        <f>"9781576753958"</f>
        <v>9781576753958</v>
      </c>
      <c r="D4578" t="str">
        <f>"9781576757987"</f>
        <v>9781576757987</v>
      </c>
      <c r="E4578" t="s">
        <v>4158</v>
      </c>
      <c r="F4578" t="s">
        <v>4158</v>
      </c>
      <c r="G4578" s="1">
        <v>39141</v>
      </c>
      <c r="H4578" s="1">
        <v>40089</v>
      </c>
      <c r="I4578" t="s">
        <v>12</v>
      </c>
      <c r="J4578" t="s">
        <v>15348</v>
      </c>
    </row>
    <row r="4579" spans="1:10" x14ac:dyDescent="0.25">
      <c r="A4579">
        <v>335406</v>
      </c>
      <c r="B4579" t="s">
        <v>4773</v>
      </c>
      <c r="C4579" t="str">
        <f>"9780816654475"</f>
        <v>9780816654475</v>
      </c>
      <c r="D4579" t="str">
        <f>"9780816656738"</f>
        <v>9780816656738</v>
      </c>
      <c r="E4579" t="s">
        <v>3970</v>
      </c>
      <c r="F4579" t="s">
        <v>3970</v>
      </c>
      <c r="G4579" s="1">
        <v>39783</v>
      </c>
      <c r="H4579" s="1">
        <v>39547</v>
      </c>
      <c r="I4579" t="s">
        <v>12</v>
      </c>
      <c r="J4579" t="s">
        <v>15349</v>
      </c>
    </row>
    <row r="4580" spans="1:10" x14ac:dyDescent="0.25">
      <c r="A4580">
        <v>336405</v>
      </c>
      <c r="B4580" t="s">
        <v>4774</v>
      </c>
      <c r="C4580" t="str">
        <f>"9780550102867"</f>
        <v>9780550102867</v>
      </c>
      <c r="D4580" t="str">
        <f>"9780550104625"</f>
        <v>9780550104625</v>
      </c>
      <c r="E4580" t="s">
        <v>4775</v>
      </c>
      <c r="F4580" t="s">
        <v>4776</v>
      </c>
      <c r="G4580" s="1">
        <v>39262</v>
      </c>
      <c r="H4580" s="1">
        <v>39618</v>
      </c>
      <c r="I4580" t="s">
        <v>12</v>
      </c>
      <c r="J4580" t="s">
        <v>15350</v>
      </c>
    </row>
    <row r="4581" spans="1:10" x14ac:dyDescent="0.25">
      <c r="A4581">
        <v>336419</v>
      </c>
      <c r="B4581" t="s">
        <v>4777</v>
      </c>
      <c r="C4581" t="str">
        <f>"9781592135844"</f>
        <v>9781592135844</v>
      </c>
      <c r="D4581" t="str">
        <f>"9781592135868"</f>
        <v>9781592135868</v>
      </c>
      <c r="E4581" t="s">
        <v>3604</v>
      </c>
      <c r="F4581" t="s">
        <v>3604</v>
      </c>
      <c r="G4581" s="1">
        <v>39353</v>
      </c>
      <c r="H4581" s="1">
        <v>39556</v>
      </c>
      <c r="I4581" t="s">
        <v>12</v>
      </c>
      <c r="J4581" t="s">
        <v>15351</v>
      </c>
    </row>
    <row r="4582" spans="1:10" x14ac:dyDescent="0.25">
      <c r="A4582">
        <v>336422</v>
      </c>
      <c r="B4582" t="s">
        <v>4778</v>
      </c>
      <c r="C4582" t="str">
        <f>"9781592135424"</f>
        <v>9781592135424</v>
      </c>
      <c r="D4582" t="str">
        <f>"9781592135448"</f>
        <v>9781592135448</v>
      </c>
      <c r="E4582" t="s">
        <v>3604</v>
      </c>
      <c r="F4582" t="s">
        <v>3604</v>
      </c>
      <c r="G4582" s="1">
        <v>39315</v>
      </c>
      <c r="H4582" s="1">
        <v>39556</v>
      </c>
      <c r="I4582" t="s">
        <v>12</v>
      </c>
      <c r="J4582" t="s">
        <v>15352</v>
      </c>
    </row>
    <row r="4583" spans="1:10" x14ac:dyDescent="0.25">
      <c r="A4583">
        <v>336954</v>
      </c>
      <c r="B4583" t="s">
        <v>4779</v>
      </c>
      <c r="C4583" t="str">
        <f>"9781588294340"</f>
        <v>9781588294340</v>
      </c>
      <c r="D4583" t="str">
        <f>"9781597452953"</f>
        <v>9781597452953</v>
      </c>
      <c r="E4583" t="s">
        <v>4780</v>
      </c>
      <c r="F4583" t="s">
        <v>4780</v>
      </c>
      <c r="G4583" s="1">
        <v>39055</v>
      </c>
      <c r="H4583" s="1">
        <v>39566</v>
      </c>
      <c r="I4583" t="s">
        <v>12</v>
      </c>
      <c r="J4583" t="s">
        <v>15353</v>
      </c>
    </row>
    <row r="4584" spans="1:10" x14ac:dyDescent="0.25">
      <c r="A4584">
        <v>337084</v>
      </c>
      <c r="B4584" t="s">
        <v>4781</v>
      </c>
      <c r="C4584" t="str">
        <f>"9781588297433"</f>
        <v>9781588297433</v>
      </c>
      <c r="D4584" t="str">
        <f>"9781597453011"</f>
        <v>9781597453011</v>
      </c>
      <c r="E4584" t="s">
        <v>4780</v>
      </c>
      <c r="F4584" t="s">
        <v>4780</v>
      </c>
      <c r="G4584" s="1">
        <v>39202</v>
      </c>
      <c r="H4584" s="1">
        <v>39566</v>
      </c>
      <c r="I4584" t="s">
        <v>12</v>
      </c>
      <c r="J4584" t="s">
        <v>15354</v>
      </c>
    </row>
    <row r="4585" spans="1:10" x14ac:dyDescent="0.25">
      <c r="A4585">
        <v>338355</v>
      </c>
      <c r="B4585" t="s">
        <v>4782</v>
      </c>
      <c r="C4585" t="str">
        <f>"9781588293596"</f>
        <v>9781588293596</v>
      </c>
      <c r="D4585" t="str">
        <f>"9781592597796"</f>
        <v>9781592597796</v>
      </c>
      <c r="E4585" t="s">
        <v>4780</v>
      </c>
      <c r="F4585" t="s">
        <v>4780</v>
      </c>
      <c r="G4585" s="1">
        <v>38295</v>
      </c>
      <c r="H4585" s="1">
        <v>39566</v>
      </c>
      <c r="I4585" t="s">
        <v>12</v>
      </c>
      <c r="J4585" t="s">
        <v>15355</v>
      </c>
    </row>
    <row r="4586" spans="1:10" x14ac:dyDescent="0.25">
      <c r="A4586">
        <v>338356</v>
      </c>
      <c r="B4586" t="s">
        <v>4783</v>
      </c>
      <c r="C4586" t="str">
        <f>"9781588298607"</f>
        <v>9781588298607</v>
      </c>
      <c r="D4586" t="str">
        <f>"9781597451734"</f>
        <v>9781597451734</v>
      </c>
      <c r="E4586" t="s">
        <v>4780</v>
      </c>
      <c r="F4586" t="s">
        <v>4780</v>
      </c>
      <c r="G4586" s="1">
        <v>39115</v>
      </c>
      <c r="H4586" s="1">
        <v>39566</v>
      </c>
      <c r="I4586" t="s">
        <v>12</v>
      </c>
      <c r="J4586" t="s">
        <v>15356</v>
      </c>
    </row>
    <row r="4587" spans="1:10" x14ac:dyDescent="0.25">
      <c r="A4587">
        <v>338747</v>
      </c>
      <c r="B4587" t="s">
        <v>4784</v>
      </c>
      <c r="C4587" t="str">
        <f>"9781596931626"</f>
        <v>9781596931626</v>
      </c>
      <c r="D4587" t="str">
        <f>"9781596931633"</f>
        <v>9781596931633</v>
      </c>
      <c r="E4587" t="s">
        <v>1441</v>
      </c>
      <c r="F4587" t="s">
        <v>1442</v>
      </c>
      <c r="G4587" s="1">
        <v>39082</v>
      </c>
      <c r="H4587" s="1">
        <v>39568</v>
      </c>
      <c r="I4587" t="s">
        <v>12</v>
      </c>
      <c r="J4587" t="s">
        <v>15357</v>
      </c>
    </row>
    <row r="4588" spans="1:10" x14ac:dyDescent="0.25">
      <c r="A4588">
        <v>338756</v>
      </c>
      <c r="B4588" t="s">
        <v>4785</v>
      </c>
      <c r="C4588" t="str">
        <f>"9781596931541"</f>
        <v>9781596931541</v>
      </c>
      <c r="D4588" t="str">
        <f>"9781596931558"</f>
        <v>9781596931558</v>
      </c>
      <c r="E4588" t="s">
        <v>1441</v>
      </c>
      <c r="F4588" t="s">
        <v>1442</v>
      </c>
      <c r="G4588" s="1">
        <v>39141</v>
      </c>
      <c r="H4588" s="1">
        <v>39702</v>
      </c>
      <c r="I4588" t="s">
        <v>12</v>
      </c>
      <c r="J4588" t="s">
        <v>15358</v>
      </c>
    </row>
    <row r="4589" spans="1:10" x14ac:dyDescent="0.25">
      <c r="A4589">
        <v>338777</v>
      </c>
      <c r="B4589" t="s">
        <v>4786</v>
      </c>
      <c r="C4589" t="str">
        <f>"9781596931947"</f>
        <v>9781596931947</v>
      </c>
      <c r="D4589" t="str">
        <f>"9781596931954"</f>
        <v>9781596931954</v>
      </c>
      <c r="E4589" t="s">
        <v>1441</v>
      </c>
      <c r="F4589" t="s">
        <v>1442</v>
      </c>
      <c r="G4589" s="1">
        <v>39437</v>
      </c>
      <c r="H4589" s="1">
        <v>39702</v>
      </c>
      <c r="I4589" t="s">
        <v>12</v>
      </c>
      <c r="J4589" t="s">
        <v>15359</v>
      </c>
    </row>
    <row r="4590" spans="1:10" x14ac:dyDescent="0.25">
      <c r="A4590">
        <v>338796</v>
      </c>
      <c r="B4590" t="s">
        <v>4787</v>
      </c>
      <c r="C4590" t="str">
        <f>"9781859591482"</f>
        <v>9781859591482</v>
      </c>
      <c r="D4590" t="str">
        <f>"9781859592007"</f>
        <v>9781859592007</v>
      </c>
      <c r="E4590" t="s">
        <v>4788</v>
      </c>
      <c r="F4590" t="s">
        <v>4789</v>
      </c>
      <c r="G4590" s="1">
        <v>38869</v>
      </c>
      <c r="H4590" s="1">
        <v>39570</v>
      </c>
      <c r="I4590" t="s">
        <v>12</v>
      </c>
      <c r="J4590" t="s">
        <v>15360</v>
      </c>
    </row>
    <row r="4591" spans="1:10" x14ac:dyDescent="0.25">
      <c r="A4591">
        <v>338845</v>
      </c>
      <c r="B4591" t="s">
        <v>4790</v>
      </c>
      <c r="C4591" t="str">
        <f>"9781419632006"</f>
        <v>9781419632006</v>
      </c>
      <c r="D4591" t="str">
        <f>"9781605570594"</f>
        <v>9781605570594</v>
      </c>
      <c r="E4591" t="s">
        <v>4021</v>
      </c>
      <c r="F4591" t="s">
        <v>4021</v>
      </c>
      <c r="G4591" s="1">
        <v>38718</v>
      </c>
      <c r="H4591" s="1">
        <v>38169</v>
      </c>
      <c r="I4591" t="s">
        <v>12</v>
      </c>
      <c r="J4591" t="s">
        <v>15361</v>
      </c>
    </row>
    <row r="4592" spans="1:10" x14ac:dyDescent="0.25">
      <c r="A4592">
        <v>338849</v>
      </c>
      <c r="B4592" t="s">
        <v>4791</v>
      </c>
      <c r="C4592" t="str">
        <f>"9780945439097"</f>
        <v>9780945439097</v>
      </c>
      <c r="D4592" t="str">
        <f>"9781605570839"</f>
        <v>9781605570839</v>
      </c>
      <c r="E4592" t="s">
        <v>4021</v>
      </c>
      <c r="F4592" t="s">
        <v>4021</v>
      </c>
      <c r="G4592" s="1">
        <v>33604</v>
      </c>
      <c r="H4592" s="1">
        <v>38169</v>
      </c>
      <c r="I4592" t="s">
        <v>12</v>
      </c>
      <c r="J4592" t="s">
        <v>15362</v>
      </c>
    </row>
    <row r="4593" spans="1:10" x14ac:dyDescent="0.25">
      <c r="A4593">
        <v>338852</v>
      </c>
      <c r="B4593" t="s">
        <v>4792</v>
      </c>
      <c r="C4593" t="str">
        <f>"9780976029403"</f>
        <v>9780976029403</v>
      </c>
      <c r="D4593" t="str">
        <f>"9781605570686"</f>
        <v>9781605570686</v>
      </c>
      <c r="E4593" t="s">
        <v>4021</v>
      </c>
      <c r="F4593" t="s">
        <v>4021</v>
      </c>
      <c r="G4593" s="1">
        <v>37987</v>
      </c>
      <c r="H4593" s="1">
        <v>38169</v>
      </c>
      <c r="I4593" t="s">
        <v>12</v>
      </c>
      <c r="J4593" t="s">
        <v>15363</v>
      </c>
    </row>
    <row r="4594" spans="1:10" x14ac:dyDescent="0.25">
      <c r="A4594">
        <v>339205</v>
      </c>
      <c r="B4594" t="s">
        <v>4793</v>
      </c>
      <c r="C4594" t="str">
        <f>"9781842777114"</f>
        <v>9781842777114</v>
      </c>
      <c r="D4594" t="str">
        <f>"9781848131385"</f>
        <v>9781848131385</v>
      </c>
      <c r="E4594" t="s">
        <v>4626</v>
      </c>
      <c r="F4594" t="s">
        <v>4626</v>
      </c>
      <c r="G4594" s="1">
        <v>39173</v>
      </c>
      <c r="H4594" s="1">
        <v>39569</v>
      </c>
      <c r="I4594" t="s">
        <v>12</v>
      </c>
      <c r="J4594" t="s">
        <v>15364</v>
      </c>
    </row>
    <row r="4595" spans="1:10" x14ac:dyDescent="0.25">
      <c r="A4595">
        <v>339220</v>
      </c>
      <c r="B4595" t="s">
        <v>4794</v>
      </c>
      <c r="C4595" t="str">
        <f>"9781842773499"</f>
        <v>9781842773499</v>
      </c>
      <c r="D4595" t="str">
        <f>"9781848131750"</f>
        <v>9781848131750</v>
      </c>
      <c r="E4595" t="s">
        <v>4626</v>
      </c>
      <c r="F4595" t="s">
        <v>4626</v>
      </c>
      <c r="G4595" s="1">
        <v>38261</v>
      </c>
      <c r="H4595" s="1">
        <v>39569</v>
      </c>
      <c r="I4595" t="s">
        <v>12</v>
      </c>
      <c r="J4595" t="s">
        <v>15365</v>
      </c>
    </row>
    <row r="4596" spans="1:10" x14ac:dyDescent="0.25">
      <c r="A4596">
        <v>339226</v>
      </c>
      <c r="B4596" t="s">
        <v>4795</v>
      </c>
      <c r="C4596" t="str">
        <f>"9781842771396"</f>
        <v>9781842771396</v>
      </c>
      <c r="D4596" t="str">
        <f>"9781848131408"</f>
        <v>9781848131408</v>
      </c>
      <c r="E4596" t="s">
        <v>4626</v>
      </c>
      <c r="F4596" t="s">
        <v>4626</v>
      </c>
      <c r="G4596" s="1">
        <v>38384</v>
      </c>
      <c r="H4596" s="1">
        <v>39569</v>
      </c>
      <c r="I4596" t="s">
        <v>12</v>
      </c>
      <c r="J4596" t="s">
        <v>15366</v>
      </c>
    </row>
    <row r="4597" spans="1:10" x14ac:dyDescent="0.25">
      <c r="A4597">
        <v>339239</v>
      </c>
      <c r="B4597" t="s">
        <v>4796</v>
      </c>
      <c r="C4597" t="str">
        <f>"9781842778074"</f>
        <v>9781842778074</v>
      </c>
      <c r="D4597" t="str">
        <f>"9781848131149"</f>
        <v>9781848131149</v>
      </c>
      <c r="E4597" t="s">
        <v>4626</v>
      </c>
      <c r="F4597" t="s">
        <v>4626</v>
      </c>
      <c r="G4597" s="1">
        <v>38899</v>
      </c>
      <c r="H4597" s="1">
        <v>39569</v>
      </c>
      <c r="I4597" t="s">
        <v>12</v>
      </c>
      <c r="J4597" t="s">
        <v>15367</v>
      </c>
    </row>
    <row r="4598" spans="1:10" x14ac:dyDescent="0.25">
      <c r="A4598">
        <v>339431</v>
      </c>
      <c r="B4598" t="s">
        <v>4797</v>
      </c>
      <c r="C4598" t="str">
        <f>"9781843104988"</f>
        <v>9781843104988</v>
      </c>
      <c r="D4598" t="str">
        <f>"9781846427176"</f>
        <v>9781846427176</v>
      </c>
      <c r="E4598" t="s">
        <v>2950</v>
      </c>
      <c r="F4598" t="s">
        <v>2950</v>
      </c>
      <c r="G4598" s="1">
        <v>39370</v>
      </c>
      <c r="H4598" s="1">
        <v>39535</v>
      </c>
      <c r="I4598" t="s">
        <v>12</v>
      </c>
      <c r="J4598" t="s">
        <v>15368</v>
      </c>
    </row>
    <row r="4599" spans="1:10" x14ac:dyDescent="0.25">
      <c r="A4599">
        <v>340732</v>
      </c>
      <c r="B4599" t="s">
        <v>4798</v>
      </c>
      <c r="C4599" t="str">
        <f>"9781552504024"</f>
        <v>9781552504024</v>
      </c>
      <c r="D4599" t="str">
        <f>"9781552504055"</f>
        <v>9781552504055</v>
      </c>
      <c r="E4599" t="s">
        <v>1968</v>
      </c>
      <c r="F4599" t="s">
        <v>1969</v>
      </c>
      <c r="G4599" s="1">
        <v>39448</v>
      </c>
      <c r="H4599" s="1">
        <v>39570</v>
      </c>
      <c r="I4599" t="s">
        <v>12</v>
      </c>
      <c r="J4599" t="s">
        <v>15369</v>
      </c>
    </row>
    <row r="4600" spans="1:10" x14ac:dyDescent="0.25">
      <c r="A4600">
        <v>340798</v>
      </c>
      <c r="B4600" t="s">
        <v>4799</v>
      </c>
      <c r="C4600" t="str">
        <f>"9781593851477"</f>
        <v>9781593851477</v>
      </c>
      <c r="D4600" t="str">
        <f>"9781606230077"</f>
        <v>9781606230077</v>
      </c>
      <c r="E4600" t="s">
        <v>3740</v>
      </c>
      <c r="F4600" t="s">
        <v>3741</v>
      </c>
      <c r="G4600" s="1">
        <v>39500</v>
      </c>
      <c r="H4600" s="1">
        <v>39602</v>
      </c>
      <c r="I4600" t="s">
        <v>12</v>
      </c>
      <c r="J4600" t="s">
        <v>15370</v>
      </c>
    </row>
    <row r="4601" spans="1:10" x14ac:dyDescent="0.25">
      <c r="A4601">
        <v>340805</v>
      </c>
      <c r="B4601" t="s">
        <v>4800</v>
      </c>
      <c r="C4601" t="str">
        <f>"9781593855840"</f>
        <v>9781593855840</v>
      </c>
      <c r="D4601" t="str">
        <f>"9781606230145"</f>
        <v>9781606230145</v>
      </c>
      <c r="E4601" t="s">
        <v>3740</v>
      </c>
      <c r="F4601" t="s">
        <v>3741</v>
      </c>
      <c r="G4601" s="1">
        <v>39479</v>
      </c>
      <c r="H4601" s="1">
        <v>39602</v>
      </c>
      <c r="I4601" t="s">
        <v>12</v>
      </c>
      <c r="J4601" t="s">
        <v>15371</v>
      </c>
    </row>
    <row r="4602" spans="1:10" x14ac:dyDescent="0.25">
      <c r="A4602">
        <v>342374</v>
      </c>
      <c r="B4602" t="s">
        <v>4801</v>
      </c>
      <c r="C4602" t="str">
        <f>"9781416606772"</f>
        <v>9781416606772</v>
      </c>
      <c r="D4602" t="str">
        <f>"9781416607533"</f>
        <v>9781416607533</v>
      </c>
      <c r="E4602" t="s">
        <v>2492</v>
      </c>
      <c r="F4602" t="s">
        <v>2492</v>
      </c>
      <c r="G4602" s="1">
        <v>39539</v>
      </c>
      <c r="H4602" s="1">
        <v>39580</v>
      </c>
      <c r="I4602" t="s">
        <v>12</v>
      </c>
      <c r="J4602" t="s">
        <v>15372</v>
      </c>
    </row>
    <row r="4603" spans="1:10" x14ac:dyDescent="0.25">
      <c r="A4603">
        <v>343014</v>
      </c>
      <c r="B4603" t="s">
        <v>4802</v>
      </c>
      <c r="C4603" t="str">
        <f>"9780971489424"</f>
        <v>9780971489424</v>
      </c>
      <c r="D4603" t="str">
        <f>"9781932528220"</f>
        <v>9781932528220</v>
      </c>
      <c r="E4603" t="s">
        <v>4803</v>
      </c>
      <c r="F4603" t="s">
        <v>4803</v>
      </c>
      <c r="G4603" s="1">
        <v>37438</v>
      </c>
      <c r="H4603" s="1">
        <v>39584</v>
      </c>
      <c r="I4603" t="s">
        <v>12</v>
      </c>
      <c r="J4603" t="s">
        <v>15373</v>
      </c>
    </row>
    <row r="4604" spans="1:10" x14ac:dyDescent="0.25">
      <c r="A4604">
        <v>343052</v>
      </c>
      <c r="B4604" t="s">
        <v>4804</v>
      </c>
      <c r="C4604" t="str">
        <f>"9781932528091"</f>
        <v>9781932528091</v>
      </c>
      <c r="D4604" t="str">
        <f>"9781932528435"</f>
        <v>9781932528435</v>
      </c>
      <c r="E4604" t="s">
        <v>4803</v>
      </c>
      <c r="F4604" t="s">
        <v>4803</v>
      </c>
      <c r="G4604" s="1">
        <v>39508</v>
      </c>
      <c r="H4604" s="1">
        <v>41134</v>
      </c>
      <c r="I4604" t="s">
        <v>12</v>
      </c>
      <c r="J4604" t="s">
        <v>15374</v>
      </c>
    </row>
    <row r="4605" spans="1:10" x14ac:dyDescent="0.25">
      <c r="A4605">
        <v>343054</v>
      </c>
      <c r="B4605" t="s">
        <v>4805</v>
      </c>
      <c r="C4605" t="str">
        <f>"9781932528107"</f>
        <v>9781932528107</v>
      </c>
      <c r="D4605" t="str">
        <f>"9781932528978"</f>
        <v>9781932528978</v>
      </c>
      <c r="E4605" t="s">
        <v>4803</v>
      </c>
      <c r="F4605" t="s">
        <v>4806</v>
      </c>
      <c r="G4605" s="1">
        <v>39508</v>
      </c>
      <c r="H4605" s="1">
        <v>39584</v>
      </c>
      <c r="I4605" t="s">
        <v>12</v>
      </c>
      <c r="J4605" t="s">
        <v>15375</v>
      </c>
    </row>
    <row r="4606" spans="1:10" x14ac:dyDescent="0.25">
      <c r="A4606">
        <v>343056</v>
      </c>
      <c r="B4606" t="s">
        <v>4807</v>
      </c>
      <c r="C4606" t="str">
        <f>"9781932528152"</f>
        <v>9781932528152</v>
      </c>
      <c r="D4606" t="str">
        <f>"9781932528510"</f>
        <v>9781932528510</v>
      </c>
      <c r="E4606" t="s">
        <v>4803</v>
      </c>
      <c r="F4606" t="s">
        <v>4803</v>
      </c>
      <c r="G4606" s="1">
        <v>39539</v>
      </c>
      <c r="H4606" s="1">
        <v>39644</v>
      </c>
      <c r="I4606" t="s">
        <v>12</v>
      </c>
      <c r="J4606" t="s">
        <v>15376</v>
      </c>
    </row>
    <row r="4607" spans="1:10" x14ac:dyDescent="0.25">
      <c r="A4607">
        <v>343057</v>
      </c>
      <c r="B4607" t="s">
        <v>4808</v>
      </c>
      <c r="C4607" t="str">
        <f>"9781932528534"</f>
        <v>9781932528534</v>
      </c>
      <c r="D4607" t="str">
        <f>"9781932528541"</f>
        <v>9781932528541</v>
      </c>
      <c r="E4607" t="s">
        <v>4803</v>
      </c>
      <c r="F4607" t="s">
        <v>4803</v>
      </c>
      <c r="G4607" s="1">
        <v>39904</v>
      </c>
      <c r="H4607" s="1">
        <v>39639</v>
      </c>
      <c r="I4607" t="s">
        <v>12</v>
      </c>
      <c r="J4607" t="s">
        <v>15377</v>
      </c>
    </row>
    <row r="4608" spans="1:10" x14ac:dyDescent="0.25">
      <c r="A4608">
        <v>343251</v>
      </c>
      <c r="B4608" t="s">
        <v>4809</v>
      </c>
      <c r="C4608" t="str">
        <f>"9781931644631"</f>
        <v>9781931644631</v>
      </c>
      <c r="D4608" t="str">
        <f>"9781931644709"</f>
        <v>9781931644709</v>
      </c>
      <c r="E4608" t="s">
        <v>3668</v>
      </c>
      <c r="F4608" t="s">
        <v>3668</v>
      </c>
      <c r="G4608" s="1">
        <v>39522</v>
      </c>
      <c r="H4608" s="1">
        <v>41134</v>
      </c>
      <c r="I4608" t="s">
        <v>12</v>
      </c>
      <c r="J4608" t="s">
        <v>15378</v>
      </c>
    </row>
    <row r="4609" spans="1:10" x14ac:dyDescent="0.25">
      <c r="A4609">
        <v>343568</v>
      </c>
      <c r="B4609" t="s">
        <v>4810</v>
      </c>
      <c r="C4609" t="str">
        <f>"9780748622719"</f>
        <v>9780748622719</v>
      </c>
      <c r="D4609" t="str">
        <f>"9780748629831"</f>
        <v>9780748629831</v>
      </c>
      <c r="E4609" t="s">
        <v>1942</v>
      </c>
      <c r="F4609" t="s">
        <v>1942</v>
      </c>
      <c r="G4609" s="1">
        <v>39555</v>
      </c>
      <c r="H4609" s="1">
        <v>39602</v>
      </c>
      <c r="I4609" t="s">
        <v>12</v>
      </c>
      <c r="J4609" t="s">
        <v>15379</v>
      </c>
    </row>
    <row r="4610" spans="1:10" x14ac:dyDescent="0.25">
      <c r="A4610">
        <v>343572</v>
      </c>
      <c r="B4610" t="s">
        <v>4811</v>
      </c>
      <c r="C4610" t="str">
        <f>"9780748624126"</f>
        <v>9780748624126</v>
      </c>
      <c r="D4610" t="str">
        <f>"9780748630349"</f>
        <v>9780748630349</v>
      </c>
      <c r="E4610" t="s">
        <v>1942</v>
      </c>
      <c r="F4610" t="s">
        <v>1942</v>
      </c>
      <c r="G4610" s="1">
        <v>39534</v>
      </c>
      <c r="H4610" s="1">
        <v>39602</v>
      </c>
      <c r="I4610" t="s">
        <v>12</v>
      </c>
      <c r="J4610" t="s">
        <v>15380</v>
      </c>
    </row>
    <row r="4611" spans="1:10" x14ac:dyDescent="0.25">
      <c r="A4611">
        <v>343573</v>
      </c>
      <c r="B4611" t="s">
        <v>4812</v>
      </c>
      <c r="C4611" t="str">
        <f>"9780748622733"</f>
        <v>9780748622733</v>
      </c>
      <c r="D4611" t="str">
        <f>"9780748629848"</f>
        <v>9780748629848</v>
      </c>
      <c r="E4611" t="s">
        <v>1942</v>
      </c>
      <c r="F4611" t="s">
        <v>1942</v>
      </c>
      <c r="G4611" s="1">
        <v>39783</v>
      </c>
      <c r="H4611" s="1">
        <v>39602</v>
      </c>
      <c r="I4611" t="s">
        <v>12</v>
      </c>
      <c r="J4611" t="s">
        <v>15381</v>
      </c>
    </row>
    <row r="4612" spans="1:10" x14ac:dyDescent="0.25">
      <c r="A4612">
        <v>343575</v>
      </c>
      <c r="B4612" t="s">
        <v>4813</v>
      </c>
      <c r="C4612" t="str">
        <f>"9780748624720"</f>
        <v>9780748624720</v>
      </c>
      <c r="D4612" t="str">
        <f>"9780748630585"</f>
        <v>9780748630585</v>
      </c>
      <c r="E4612" t="s">
        <v>1942</v>
      </c>
      <c r="F4612" t="s">
        <v>1942</v>
      </c>
      <c r="G4612" s="1">
        <v>39555</v>
      </c>
      <c r="H4612" s="1">
        <v>39602</v>
      </c>
      <c r="I4612" t="s">
        <v>12</v>
      </c>
      <c r="J4612" t="s">
        <v>15382</v>
      </c>
    </row>
    <row r="4613" spans="1:10" x14ac:dyDescent="0.25">
      <c r="A4613">
        <v>343579</v>
      </c>
      <c r="B4613" t="s">
        <v>4814</v>
      </c>
      <c r="C4613" t="str">
        <f>"9780748627547"</f>
        <v>9780748627547</v>
      </c>
      <c r="D4613" t="str">
        <f>"9780748631582"</f>
        <v>9780748631582</v>
      </c>
      <c r="E4613" t="s">
        <v>1942</v>
      </c>
      <c r="F4613" t="s">
        <v>1942</v>
      </c>
      <c r="G4613" s="1">
        <v>39518</v>
      </c>
      <c r="H4613" s="1">
        <v>39602</v>
      </c>
      <c r="I4613" t="s">
        <v>12</v>
      </c>
      <c r="J4613" t="s">
        <v>15383</v>
      </c>
    </row>
    <row r="4614" spans="1:10" x14ac:dyDescent="0.25">
      <c r="A4614">
        <v>343580</v>
      </c>
      <c r="B4614" t="s">
        <v>4815</v>
      </c>
      <c r="C4614" t="str">
        <f>"9780748625994"</f>
        <v>9780748625994</v>
      </c>
      <c r="D4614" t="str">
        <f>"9780748631315"</f>
        <v>9780748631315</v>
      </c>
      <c r="E4614" t="s">
        <v>1942</v>
      </c>
      <c r="F4614" t="s">
        <v>1942</v>
      </c>
      <c r="G4614" s="1">
        <v>39553</v>
      </c>
      <c r="H4614" s="1">
        <v>39602</v>
      </c>
      <c r="I4614" t="s">
        <v>12</v>
      </c>
      <c r="J4614" t="s">
        <v>15384</v>
      </c>
    </row>
    <row r="4615" spans="1:10" x14ac:dyDescent="0.25">
      <c r="A4615">
        <v>343581</v>
      </c>
      <c r="B4615" t="s">
        <v>4816</v>
      </c>
      <c r="C4615" t="str">
        <f>"9780748621583"</f>
        <v>9780748621583</v>
      </c>
      <c r="D4615" t="str">
        <f>"9780748629510"</f>
        <v>9780748629510</v>
      </c>
      <c r="E4615" t="s">
        <v>1942</v>
      </c>
      <c r="F4615" t="s">
        <v>1942</v>
      </c>
      <c r="G4615" s="1">
        <v>39512</v>
      </c>
      <c r="H4615" s="1">
        <v>39602</v>
      </c>
      <c r="I4615" t="s">
        <v>12</v>
      </c>
      <c r="J4615" t="s">
        <v>15385</v>
      </c>
    </row>
    <row r="4616" spans="1:10" x14ac:dyDescent="0.25">
      <c r="A4616">
        <v>343736</v>
      </c>
      <c r="B4616" t="s">
        <v>4817</v>
      </c>
      <c r="C4616" t="str">
        <f>"9780333640777"</f>
        <v>9780333640777</v>
      </c>
      <c r="D4616" t="str">
        <f>"9781403990471"</f>
        <v>9781403990471</v>
      </c>
      <c r="E4616" t="s">
        <v>875</v>
      </c>
      <c r="F4616" t="s">
        <v>876</v>
      </c>
      <c r="G4616" s="1">
        <v>37586</v>
      </c>
      <c r="H4616" s="1">
        <v>39590</v>
      </c>
      <c r="I4616" t="s">
        <v>12</v>
      </c>
      <c r="J4616" t="s">
        <v>15386</v>
      </c>
    </row>
    <row r="4617" spans="1:10" x14ac:dyDescent="0.25">
      <c r="A4617">
        <v>343738</v>
      </c>
      <c r="B4617" t="s">
        <v>4818</v>
      </c>
      <c r="C4617" t="str">
        <f>"9781403903242"</f>
        <v>9781403903242</v>
      </c>
      <c r="D4617" t="str">
        <f>"9781403997210"</f>
        <v>9781403997210</v>
      </c>
      <c r="E4617" t="s">
        <v>875</v>
      </c>
      <c r="F4617" t="s">
        <v>876</v>
      </c>
      <c r="G4617" s="1">
        <v>38160</v>
      </c>
      <c r="H4617" s="1">
        <v>39590</v>
      </c>
      <c r="I4617" t="s">
        <v>12</v>
      </c>
      <c r="J4617" t="s">
        <v>15387</v>
      </c>
    </row>
    <row r="4618" spans="1:10" x14ac:dyDescent="0.25">
      <c r="A4618">
        <v>343743</v>
      </c>
      <c r="B4618" t="s">
        <v>4819</v>
      </c>
      <c r="C4618" t="str">
        <f>"9781403902122"</f>
        <v>9781403902122</v>
      </c>
      <c r="D4618" t="str">
        <f>"9780230000629"</f>
        <v>9780230000629</v>
      </c>
      <c r="E4618" t="s">
        <v>875</v>
      </c>
      <c r="F4618" t="s">
        <v>876</v>
      </c>
      <c r="G4618" s="1">
        <v>37918</v>
      </c>
      <c r="H4618" s="1">
        <v>39602</v>
      </c>
      <c r="I4618" t="s">
        <v>12</v>
      </c>
      <c r="J4618" t="s">
        <v>15388</v>
      </c>
    </row>
    <row r="4619" spans="1:10" x14ac:dyDescent="0.25">
      <c r="A4619">
        <v>343751</v>
      </c>
      <c r="B4619" t="s">
        <v>4820</v>
      </c>
      <c r="C4619" t="str">
        <f>"9781403933799"</f>
        <v>9781403933799</v>
      </c>
      <c r="D4619" t="str">
        <f>"9780230000728"</f>
        <v>9780230000728</v>
      </c>
      <c r="E4619" t="s">
        <v>875</v>
      </c>
      <c r="F4619" t="s">
        <v>876</v>
      </c>
      <c r="G4619" s="1">
        <v>38015</v>
      </c>
      <c r="H4619" s="1">
        <v>39602</v>
      </c>
      <c r="I4619" t="s">
        <v>12</v>
      </c>
      <c r="J4619" t="s">
        <v>15389</v>
      </c>
    </row>
    <row r="4620" spans="1:10" x14ac:dyDescent="0.25">
      <c r="A4620">
        <v>343785</v>
      </c>
      <c r="B4620" t="s">
        <v>4821</v>
      </c>
      <c r="C4620" t="str">
        <f>"9781403916907"</f>
        <v>9781403916907</v>
      </c>
      <c r="D4620" t="str">
        <f>"9780230005679"</f>
        <v>9780230005679</v>
      </c>
      <c r="E4620" t="s">
        <v>875</v>
      </c>
      <c r="F4620" t="s">
        <v>876</v>
      </c>
      <c r="G4620" s="1">
        <v>38273</v>
      </c>
      <c r="H4620" s="1">
        <v>39602</v>
      </c>
      <c r="I4620" t="s">
        <v>12</v>
      </c>
      <c r="J4620" t="s">
        <v>15390</v>
      </c>
    </row>
    <row r="4621" spans="1:10" x14ac:dyDescent="0.25">
      <c r="A4621">
        <v>343796</v>
      </c>
      <c r="B4621" t="s">
        <v>4822</v>
      </c>
      <c r="C4621" t="str">
        <f>"9781403936547"</f>
        <v>9781403936547</v>
      </c>
      <c r="D4621" t="str">
        <f>"9780230005815"</f>
        <v>9780230005815</v>
      </c>
      <c r="E4621" t="s">
        <v>875</v>
      </c>
      <c r="F4621" t="s">
        <v>875</v>
      </c>
      <c r="G4621" s="1">
        <v>38576</v>
      </c>
      <c r="H4621" s="1">
        <v>39590</v>
      </c>
      <c r="I4621" t="s">
        <v>12</v>
      </c>
      <c r="J4621" t="s">
        <v>15391</v>
      </c>
    </row>
    <row r="4622" spans="1:10" x14ac:dyDescent="0.25">
      <c r="A4622">
        <v>343802</v>
      </c>
      <c r="B4622" t="s">
        <v>4823</v>
      </c>
      <c r="C4622" t="str">
        <f>"9780333986394"</f>
        <v>9780333986394</v>
      </c>
      <c r="D4622" t="str">
        <f>"9780230005884"</f>
        <v>9780230005884</v>
      </c>
      <c r="E4622" t="s">
        <v>875</v>
      </c>
      <c r="F4622" t="s">
        <v>876</v>
      </c>
      <c r="G4622" s="1">
        <v>37873</v>
      </c>
      <c r="H4622" s="1">
        <v>39590</v>
      </c>
      <c r="I4622" t="s">
        <v>12</v>
      </c>
      <c r="J4622" t="s">
        <v>15392</v>
      </c>
    </row>
    <row r="4623" spans="1:10" x14ac:dyDescent="0.25">
      <c r="A4623">
        <v>343815</v>
      </c>
      <c r="B4623" t="s">
        <v>4824</v>
      </c>
      <c r="C4623" t="str">
        <f>"9781403945105"</f>
        <v>9781403945105</v>
      </c>
      <c r="D4623" t="str">
        <f>"9780230006072"</f>
        <v>9780230006072</v>
      </c>
      <c r="E4623" t="s">
        <v>875</v>
      </c>
      <c r="F4623" t="s">
        <v>875</v>
      </c>
      <c r="G4623" s="1">
        <v>38510</v>
      </c>
      <c r="H4623" s="1">
        <v>39590</v>
      </c>
      <c r="I4623" t="s">
        <v>12</v>
      </c>
      <c r="J4623" t="s">
        <v>15393</v>
      </c>
    </row>
    <row r="4624" spans="1:10" x14ac:dyDescent="0.25">
      <c r="A4624">
        <v>343817</v>
      </c>
      <c r="B4624" t="s">
        <v>4825</v>
      </c>
      <c r="C4624" t="str">
        <f>"9780333778128"</f>
        <v>9780333778128</v>
      </c>
      <c r="D4624" t="str">
        <f>"9780230006096"</f>
        <v>9780230006096</v>
      </c>
      <c r="E4624" t="s">
        <v>876</v>
      </c>
      <c r="F4624" t="s">
        <v>876</v>
      </c>
      <c r="G4624" s="1">
        <v>38447</v>
      </c>
      <c r="H4624" s="1">
        <v>39590</v>
      </c>
      <c r="I4624" t="s">
        <v>12</v>
      </c>
      <c r="J4624" t="s">
        <v>15394</v>
      </c>
    </row>
    <row r="4625" spans="1:10" x14ac:dyDescent="0.25">
      <c r="A4625">
        <v>343824</v>
      </c>
      <c r="B4625" t="s">
        <v>4826</v>
      </c>
      <c r="C4625" t="str">
        <f>"9781403939951"</f>
        <v>9781403939951</v>
      </c>
      <c r="D4625" t="str">
        <f>"9780230006195"</f>
        <v>9780230006195</v>
      </c>
      <c r="E4625" t="s">
        <v>875</v>
      </c>
      <c r="F4625" t="s">
        <v>875</v>
      </c>
      <c r="G4625" s="1">
        <v>38454</v>
      </c>
      <c r="H4625" s="1">
        <v>39590</v>
      </c>
      <c r="I4625" t="s">
        <v>12</v>
      </c>
      <c r="J4625" t="s">
        <v>15395</v>
      </c>
    </row>
    <row r="4626" spans="1:10" x14ac:dyDescent="0.25">
      <c r="A4626">
        <v>343826</v>
      </c>
      <c r="B4626" t="s">
        <v>4827</v>
      </c>
      <c r="C4626" t="str">
        <f>"9781403900524"</f>
        <v>9781403900524</v>
      </c>
      <c r="D4626" t="str">
        <f>"9780230006218"</f>
        <v>9780230006218</v>
      </c>
      <c r="E4626" t="s">
        <v>875</v>
      </c>
      <c r="F4626" t="s">
        <v>876</v>
      </c>
      <c r="G4626" s="1">
        <v>37872</v>
      </c>
      <c r="H4626" s="1">
        <v>39590</v>
      </c>
      <c r="I4626" t="s">
        <v>12</v>
      </c>
      <c r="J4626" t="s">
        <v>15396</v>
      </c>
    </row>
    <row r="4627" spans="1:10" x14ac:dyDescent="0.25">
      <c r="A4627">
        <v>343830</v>
      </c>
      <c r="B4627" t="s">
        <v>4828</v>
      </c>
      <c r="C4627" t="str">
        <f>"9781403918895"</f>
        <v>9781403918895</v>
      </c>
      <c r="D4627" t="str">
        <f>"9780230007734"</f>
        <v>9780230007734</v>
      </c>
      <c r="E4627" t="s">
        <v>875</v>
      </c>
      <c r="F4627" t="s">
        <v>876</v>
      </c>
      <c r="G4627" s="1">
        <v>38044</v>
      </c>
      <c r="H4627" s="1">
        <v>39590</v>
      </c>
      <c r="I4627" t="s">
        <v>12</v>
      </c>
      <c r="J4627" t="s">
        <v>15397</v>
      </c>
    </row>
    <row r="4628" spans="1:10" x14ac:dyDescent="0.25">
      <c r="A4628">
        <v>343832</v>
      </c>
      <c r="B4628" t="s">
        <v>4829</v>
      </c>
      <c r="C4628" t="str">
        <f>"9781403916839"</f>
        <v>9781403916839</v>
      </c>
      <c r="D4628" t="str">
        <f>"9780230500167"</f>
        <v>9780230500167</v>
      </c>
      <c r="E4628" t="s">
        <v>875</v>
      </c>
      <c r="F4628" t="s">
        <v>876</v>
      </c>
      <c r="G4628" s="1">
        <v>37840</v>
      </c>
      <c r="H4628" s="1">
        <v>39590</v>
      </c>
      <c r="I4628" t="s">
        <v>12</v>
      </c>
      <c r="J4628" t="s">
        <v>15398</v>
      </c>
    </row>
    <row r="4629" spans="1:10" x14ac:dyDescent="0.25">
      <c r="A4629">
        <v>343886</v>
      </c>
      <c r="B4629" t="s">
        <v>4830</v>
      </c>
      <c r="C4629" t="str">
        <f>"9780333791813"</f>
        <v>9780333791813</v>
      </c>
      <c r="D4629" t="str">
        <f>"9780230000681"</f>
        <v>9780230000681</v>
      </c>
      <c r="E4629" t="s">
        <v>875</v>
      </c>
      <c r="F4629" t="s">
        <v>876</v>
      </c>
      <c r="G4629" s="1">
        <v>38198</v>
      </c>
      <c r="H4629" s="1">
        <v>39590</v>
      </c>
      <c r="I4629" t="s">
        <v>12</v>
      </c>
      <c r="J4629" t="s">
        <v>15399</v>
      </c>
    </row>
    <row r="4630" spans="1:10" x14ac:dyDescent="0.25">
      <c r="A4630">
        <v>343897</v>
      </c>
      <c r="B4630" t="s">
        <v>4831</v>
      </c>
      <c r="C4630" t="str">
        <f>"9780333921340"</f>
        <v>9780333921340</v>
      </c>
      <c r="D4630" t="str">
        <f>"9780333985182"</f>
        <v>9780333985182</v>
      </c>
      <c r="E4630" t="s">
        <v>875</v>
      </c>
      <c r="F4630" t="s">
        <v>876</v>
      </c>
      <c r="G4630" s="1">
        <v>36922</v>
      </c>
      <c r="H4630" s="1">
        <v>39590</v>
      </c>
      <c r="I4630" t="s">
        <v>12</v>
      </c>
      <c r="J4630" t="s">
        <v>15400</v>
      </c>
    </row>
    <row r="4631" spans="1:10" x14ac:dyDescent="0.25">
      <c r="A4631">
        <v>343939</v>
      </c>
      <c r="B4631" t="s">
        <v>4832</v>
      </c>
      <c r="C4631" t="str">
        <f>"9780761941545"</f>
        <v>9780761941545</v>
      </c>
      <c r="D4631" t="str">
        <f>"9781848600522"</f>
        <v>9781848600522</v>
      </c>
      <c r="E4631" t="s">
        <v>1569</v>
      </c>
      <c r="F4631" t="s">
        <v>1570</v>
      </c>
      <c r="G4631" s="1">
        <v>38378</v>
      </c>
      <c r="H4631" s="1">
        <v>39590</v>
      </c>
      <c r="I4631" t="s">
        <v>12</v>
      </c>
      <c r="J4631" t="s">
        <v>15401</v>
      </c>
    </row>
    <row r="4632" spans="1:10" x14ac:dyDescent="0.25">
      <c r="A4632">
        <v>343955</v>
      </c>
      <c r="B4632" t="s">
        <v>4833</v>
      </c>
      <c r="C4632" t="str">
        <f>"9780761965053"</f>
        <v>9780761965053</v>
      </c>
      <c r="D4632" t="str">
        <f>"9781848600614"</f>
        <v>9781848600614</v>
      </c>
      <c r="E4632" t="s">
        <v>1569</v>
      </c>
      <c r="F4632" t="s">
        <v>1570</v>
      </c>
      <c r="G4632" s="1">
        <v>37909</v>
      </c>
      <c r="H4632" s="1">
        <v>39590</v>
      </c>
      <c r="I4632" t="s">
        <v>12</v>
      </c>
      <c r="J4632" t="s">
        <v>15402</v>
      </c>
    </row>
    <row r="4633" spans="1:10" x14ac:dyDescent="0.25">
      <c r="A4633">
        <v>343958</v>
      </c>
      <c r="B4633" t="s">
        <v>4834</v>
      </c>
      <c r="C4633" t="str">
        <f>"9780761971122"</f>
        <v>9780761971122</v>
      </c>
      <c r="D4633" t="str">
        <f>"9781847876928"</f>
        <v>9781847876928</v>
      </c>
      <c r="E4633" t="s">
        <v>1569</v>
      </c>
      <c r="F4633" t="s">
        <v>1570</v>
      </c>
      <c r="G4633" s="1">
        <v>37616</v>
      </c>
      <c r="H4633" s="1">
        <v>39590</v>
      </c>
      <c r="I4633" t="s">
        <v>12</v>
      </c>
      <c r="J4633" t="s">
        <v>15403</v>
      </c>
    </row>
    <row r="4634" spans="1:10" x14ac:dyDescent="0.25">
      <c r="A4634">
        <v>343969</v>
      </c>
      <c r="B4634" t="s">
        <v>4835</v>
      </c>
      <c r="C4634" t="str">
        <f>"9781412902021"</f>
        <v>9781412902021</v>
      </c>
      <c r="D4634" t="str">
        <f>"9781848600843"</f>
        <v>9781848600843</v>
      </c>
      <c r="E4634" t="s">
        <v>1569</v>
      </c>
      <c r="F4634" t="s">
        <v>1570</v>
      </c>
      <c r="G4634" s="1">
        <v>38574</v>
      </c>
      <c r="H4634" s="1">
        <v>39590</v>
      </c>
      <c r="I4634" t="s">
        <v>12</v>
      </c>
      <c r="J4634" t="s">
        <v>15404</v>
      </c>
    </row>
    <row r="4635" spans="1:10" x14ac:dyDescent="0.25">
      <c r="A4635">
        <v>343982</v>
      </c>
      <c r="B4635" t="s">
        <v>4836</v>
      </c>
      <c r="C4635" t="str">
        <f>"9781412907569"</f>
        <v>9781412907569</v>
      </c>
      <c r="D4635" t="str">
        <f>"9781848600812"</f>
        <v>9781848600812</v>
      </c>
      <c r="E4635" t="s">
        <v>1569</v>
      </c>
      <c r="F4635" t="s">
        <v>1570</v>
      </c>
      <c r="G4635" s="1">
        <v>38460</v>
      </c>
      <c r="H4635" s="1">
        <v>39590</v>
      </c>
      <c r="I4635" t="s">
        <v>12</v>
      </c>
      <c r="J4635" t="s">
        <v>15405</v>
      </c>
    </row>
    <row r="4636" spans="1:10" x14ac:dyDescent="0.25">
      <c r="A4636">
        <v>344099</v>
      </c>
      <c r="B4636" t="s">
        <v>4837</v>
      </c>
      <c r="C4636" t="str">
        <f>"9789812706140"</f>
        <v>9789812706140</v>
      </c>
      <c r="D4636" t="str">
        <f>"9789812770721"</f>
        <v>9789812770721</v>
      </c>
      <c r="E4636" t="s">
        <v>1042</v>
      </c>
      <c r="F4636" t="s">
        <v>1043</v>
      </c>
      <c r="G4636" s="1">
        <v>39295</v>
      </c>
      <c r="H4636" s="1">
        <v>39637</v>
      </c>
      <c r="I4636" t="s">
        <v>12</v>
      </c>
      <c r="J4636" t="s">
        <v>15406</v>
      </c>
    </row>
    <row r="4637" spans="1:10" x14ac:dyDescent="0.25">
      <c r="A4637">
        <v>345132</v>
      </c>
      <c r="B4637" t="s">
        <v>4838</v>
      </c>
      <c r="C4637" t="str">
        <f>"9780335215256"</f>
        <v>9780335215256</v>
      </c>
      <c r="D4637" t="str">
        <f>"9780335235452"</f>
        <v>9780335235452</v>
      </c>
      <c r="E4637" t="s">
        <v>2795</v>
      </c>
      <c r="F4637" t="s">
        <v>2796</v>
      </c>
      <c r="G4637" s="1">
        <v>39295</v>
      </c>
      <c r="H4637" s="1">
        <v>39596</v>
      </c>
      <c r="I4637" t="s">
        <v>12</v>
      </c>
      <c r="J4637" t="s">
        <v>15407</v>
      </c>
    </row>
    <row r="4638" spans="1:10" x14ac:dyDescent="0.25">
      <c r="A4638">
        <v>345134</v>
      </c>
      <c r="B4638" t="s">
        <v>4839</v>
      </c>
      <c r="C4638" t="str">
        <f>"9780335221165"</f>
        <v>9780335221165</v>
      </c>
      <c r="D4638" t="str">
        <f>"9780335235476"</f>
        <v>9780335235476</v>
      </c>
      <c r="E4638" t="s">
        <v>2795</v>
      </c>
      <c r="F4638" t="s">
        <v>2796</v>
      </c>
      <c r="G4638" s="1">
        <v>39569</v>
      </c>
      <c r="H4638" s="1">
        <v>39596</v>
      </c>
      <c r="I4638" t="s">
        <v>12</v>
      </c>
      <c r="J4638" t="s">
        <v>15408</v>
      </c>
    </row>
    <row r="4639" spans="1:10" x14ac:dyDescent="0.25">
      <c r="A4639">
        <v>345136</v>
      </c>
      <c r="B4639" t="s">
        <v>4840</v>
      </c>
      <c r="C4639" t="str">
        <f>"9780335222377"</f>
        <v>9780335222377</v>
      </c>
      <c r="D4639" t="str">
        <f>"9780335235490"</f>
        <v>9780335235490</v>
      </c>
      <c r="E4639" t="s">
        <v>2795</v>
      </c>
      <c r="F4639" t="s">
        <v>2796</v>
      </c>
      <c r="G4639" s="1">
        <v>39569</v>
      </c>
      <c r="H4639" s="1">
        <v>39596</v>
      </c>
      <c r="I4639" t="s">
        <v>12</v>
      </c>
      <c r="J4639" t="s">
        <v>15409</v>
      </c>
    </row>
    <row r="4640" spans="1:10" x14ac:dyDescent="0.25">
      <c r="A4640">
        <v>345139</v>
      </c>
      <c r="B4640" t="s">
        <v>4841</v>
      </c>
      <c r="C4640" t="str">
        <f>"9780335227174"</f>
        <v>9780335227174</v>
      </c>
      <c r="D4640" t="str">
        <f>"9780335235520"</f>
        <v>9780335235520</v>
      </c>
      <c r="E4640" t="s">
        <v>2795</v>
      </c>
      <c r="F4640" t="s">
        <v>2796</v>
      </c>
      <c r="G4640" s="1">
        <v>39539</v>
      </c>
      <c r="H4640" s="1">
        <v>39596</v>
      </c>
      <c r="I4640" t="s">
        <v>12</v>
      </c>
      <c r="J4640" t="s">
        <v>15410</v>
      </c>
    </row>
    <row r="4641" spans="1:10" x14ac:dyDescent="0.25">
      <c r="A4641">
        <v>345141</v>
      </c>
      <c r="B4641" t="s">
        <v>4842</v>
      </c>
      <c r="C4641" t="str">
        <f>"9780335222698"</f>
        <v>9780335222698</v>
      </c>
      <c r="D4641" t="str">
        <f>"9780335235551"</f>
        <v>9780335235551</v>
      </c>
      <c r="E4641" t="s">
        <v>2795</v>
      </c>
      <c r="F4641" t="s">
        <v>2796</v>
      </c>
      <c r="G4641" s="1">
        <v>39539</v>
      </c>
      <c r="H4641" s="1">
        <v>39596</v>
      </c>
      <c r="I4641" t="s">
        <v>12</v>
      </c>
      <c r="J4641" t="s">
        <v>15411</v>
      </c>
    </row>
    <row r="4642" spans="1:10" x14ac:dyDescent="0.25">
      <c r="A4642">
        <v>345174</v>
      </c>
      <c r="B4642" t="s">
        <v>4843</v>
      </c>
      <c r="C4642" t="str">
        <f>"9780833041548"</f>
        <v>9780833041548</v>
      </c>
      <c r="D4642" t="str">
        <f>"9780833044457"</f>
        <v>9780833044457</v>
      </c>
      <c r="E4642" t="s">
        <v>1063</v>
      </c>
      <c r="F4642" t="s">
        <v>1064</v>
      </c>
      <c r="G4642" s="1">
        <v>39341</v>
      </c>
      <c r="H4642" s="1">
        <v>40030</v>
      </c>
      <c r="I4642" t="s">
        <v>12</v>
      </c>
      <c r="J4642" t="s">
        <v>15412</v>
      </c>
    </row>
    <row r="4643" spans="1:10" x14ac:dyDescent="0.25">
      <c r="A4643">
        <v>345179</v>
      </c>
      <c r="B4643" t="s">
        <v>4844</v>
      </c>
      <c r="C4643" t="str">
        <f>"9780833042064"</f>
        <v>9780833042064</v>
      </c>
      <c r="D4643" t="str">
        <f>"9780833044365"</f>
        <v>9780833044365</v>
      </c>
      <c r="E4643" t="s">
        <v>1063</v>
      </c>
      <c r="F4643" t="s">
        <v>1064</v>
      </c>
      <c r="G4643" s="1">
        <v>39458</v>
      </c>
      <c r="H4643" s="1">
        <v>40030</v>
      </c>
      <c r="I4643" t="s">
        <v>12</v>
      </c>
      <c r="J4643" t="s">
        <v>15413</v>
      </c>
    </row>
    <row r="4644" spans="1:10" x14ac:dyDescent="0.25">
      <c r="A4644">
        <v>345185</v>
      </c>
      <c r="B4644" t="s">
        <v>4845</v>
      </c>
      <c r="C4644" t="str">
        <f>"9780833042354"</f>
        <v>9780833042354</v>
      </c>
      <c r="D4644" t="str">
        <f>"9780833044334"</f>
        <v>9780833044334</v>
      </c>
      <c r="E4644" t="s">
        <v>1063</v>
      </c>
      <c r="F4644" t="s">
        <v>1064</v>
      </c>
      <c r="G4644" s="1">
        <v>39365</v>
      </c>
      <c r="H4644" s="1">
        <v>40030</v>
      </c>
      <c r="I4644" t="s">
        <v>12</v>
      </c>
      <c r="J4644" t="s">
        <v>15414</v>
      </c>
    </row>
    <row r="4645" spans="1:10" x14ac:dyDescent="0.25">
      <c r="A4645">
        <v>345187</v>
      </c>
      <c r="B4645" t="s">
        <v>4846</v>
      </c>
      <c r="C4645" t="str">
        <f>"9780833043115"</f>
        <v>9780833043115</v>
      </c>
      <c r="D4645" t="str">
        <f>"9780833044495"</f>
        <v>9780833044495</v>
      </c>
      <c r="E4645" t="s">
        <v>1063</v>
      </c>
      <c r="F4645" t="s">
        <v>1064</v>
      </c>
      <c r="G4645" s="1">
        <v>39490</v>
      </c>
      <c r="H4645" s="1">
        <v>40030</v>
      </c>
      <c r="I4645" t="s">
        <v>12</v>
      </c>
      <c r="J4645" t="s">
        <v>15415</v>
      </c>
    </row>
    <row r="4646" spans="1:10" x14ac:dyDescent="0.25">
      <c r="A4646">
        <v>345188</v>
      </c>
      <c r="B4646" t="s">
        <v>4847</v>
      </c>
      <c r="C4646" t="str">
        <f>"9780833041654"</f>
        <v>9780833041654</v>
      </c>
      <c r="D4646" t="str">
        <f>"9780833044266"</f>
        <v>9780833044266</v>
      </c>
      <c r="E4646" t="s">
        <v>1063</v>
      </c>
      <c r="F4646" t="s">
        <v>1064</v>
      </c>
      <c r="G4646" s="1">
        <v>39401</v>
      </c>
      <c r="H4646" s="1">
        <v>40030</v>
      </c>
      <c r="I4646" t="s">
        <v>12</v>
      </c>
      <c r="J4646" t="s">
        <v>15416</v>
      </c>
    </row>
    <row r="4647" spans="1:10" x14ac:dyDescent="0.25">
      <c r="A4647">
        <v>345192</v>
      </c>
      <c r="B4647" t="s">
        <v>4848</v>
      </c>
      <c r="C4647" t="str">
        <f>"9780833042040"</f>
        <v>9780833042040</v>
      </c>
      <c r="D4647" t="str">
        <f>"9780833043955"</f>
        <v>9780833043955</v>
      </c>
      <c r="E4647" t="s">
        <v>1063</v>
      </c>
      <c r="F4647" t="s">
        <v>1064</v>
      </c>
      <c r="G4647" s="1">
        <v>39366</v>
      </c>
      <c r="H4647" s="1">
        <v>40030</v>
      </c>
      <c r="I4647" t="s">
        <v>12</v>
      </c>
      <c r="J4647" t="s">
        <v>15417</v>
      </c>
    </row>
    <row r="4648" spans="1:10" x14ac:dyDescent="0.25">
      <c r="A4648">
        <v>345549</v>
      </c>
      <c r="B4648" t="s">
        <v>4849</v>
      </c>
      <c r="C4648" t="str">
        <f>"9780520251984"</f>
        <v>9780520251984</v>
      </c>
      <c r="D4648" t="str">
        <f>"9780520940956"</f>
        <v>9780520940956</v>
      </c>
      <c r="E4648" t="s">
        <v>2000</v>
      </c>
      <c r="F4648" t="s">
        <v>2000</v>
      </c>
      <c r="G4648" s="1">
        <v>39497</v>
      </c>
      <c r="H4648" s="1">
        <v>42328</v>
      </c>
      <c r="I4648" t="s">
        <v>12</v>
      </c>
      <c r="J4648" t="s">
        <v>15418</v>
      </c>
    </row>
    <row r="4649" spans="1:10" x14ac:dyDescent="0.25">
      <c r="A4649">
        <v>345558</v>
      </c>
      <c r="B4649" t="s">
        <v>4850</v>
      </c>
      <c r="C4649" t="str">
        <f>"9780520251311"</f>
        <v>9780520251311</v>
      </c>
      <c r="D4649" t="str">
        <f>"9780520933811"</f>
        <v>9780520933811</v>
      </c>
      <c r="E4649" t="s">
        <v>2000</v>
      </c>
      <c r="F4649" t="s">
        <v>2000</v>
      </c>
      <c r="G4649" s="1">
        <v>39540</v>
      </c>
      <c r="H4649" s="1">
        <v>42328</v>
      </c>
      <c r="I4649" t="s">
        <v>12</v>
      </c>
      <c r="J4649" t="s">
        <v>15419</v>
      </c>
    </row>
    <row r="4650" spans="1:10" x14ac:dyDescent="0.25">
      <c r="A4650">
        <v>345569</v>
      </c>
      <c r="B4650" t="s">
        <v>4851</v>
      </c>
      <c r="C4650" t="str">
        <f>"9780520253735"</f>
        <v>9780520253735</v>
      </c>
      <c r="D4650" t="str">
        <f>"9780520941311"</f>
        <v>9780520941311</v>
      </c>
      <c r="E4650" t="s">
        <v>2000</v>
      </c>
      <c r="F4650" t="s">
        <v>2000</v>
      </c>
      <c r="G4650" s="1">
        <v>39511</v>
      </c>
      <c r="H4650" s="1">
        <v>42328</v>
      </c>
      <c r="I4650" t="s">
        <v>12</v>
      </c>
      <c r="J4650" t="s">
        <v>15420</v>
      </c>
    </row>
    <row r="4651" spans="1:10" x14ac:dyDescent="0.25">
      <c r="A4651">
        <v>346002</v>
      </c>
      <c r="B4651" t="s">
        <v>4852</v>
      </c>
      <c r="C4651" t="str">
        <f>"9781416606666"</f>
        <v>9781416606666</v>
      </c>
      <c r="D4651" t="str">
        <f>"9781416607670"</f>
        <v>9781416607670</v>
      </c>
      <c r="E4651" t="s">
        <v>2492</v>
      </c>
      <c r="F4651" t="s">
        <v>2492</v>
      </c>
      <c r="G4651" s="1">
        <v>39600</v>
      </c>
      <c r="H4651" s="1">
        <v>39602</v>
      </c>
      <c r="I4651" t="s">
        <v>12</v>
      </c>
      <c r="J4651" t="s">
        <v>15421</v>
      </c>
    </row>
    <row r="4652" spans="1:10" x14ac:dyDescent="0.25">
      <c r="A4652">
        <v>346009</v>
      </c>
      <c r="B4652" t="s">
        <v>4853</v>
      </c>
      <c r="C4652" t="str">
        <f>"9781933285221"</f>
        <v>9781933285221</v>
      </c>
      <c r="D4652" t="str">
        <f>"9781605570396"</f>
        <v>9781605570396</v>
      </c>
      <c r="E4652" t="s">
        <v>4021</v>
      </c>
      <c r="F4652" t="s">
        <v>4021</v>
      </c>
      <c r="G4652" s="1">
        <v>38718</v>
      </c>
      <c r="H4652" s="1">
        <v>38169</v>
      </c>
      <c r="I4652" t="s">
        <v>12</v>
      </c>
      <c r="J4652" t="s">
        <v>15422</v>
      </c>
    </row>
    <row r="4653" spans="1:10" x14ac:dyDescent="0.25">
      <c r="A4653">
        <v>346038</v>
      </c>
      <c r="B4653" t="s">
        <v>4854</v>
      </c>
      <c r="C4653" t="str">
        <f>"9781592133321"</f>
        <v>9781592133321</v>
      </c>
      <c r="D4653" t="str">
        <f>"9781592133345"</f>
        <v>9781592133345</v>
      </c>
      <c r="E4653" t="s">
        <v>3604</v>
      </c>
      <c r="F4653" t="s">
        <v>3604</v>
      </c>
      <c r="G4653" s="1">
        <v>39383</v>
      </c>
      <c r="H4653" s="1">
        <v>39602</v>
      </c>
      <c r="I4653" t="s">
        <v>12</v>
      </c>
      <c r="J4653" t="s">
        <v>15423</v>
      </c>
    </row>
    <row r="4654" spans="1:10" x14ac:dyDescent="0.25">
      <c r="A4654">
        <v>346108</v>
      </c>
      <c r="B4654" t="s">
        <v>4855</v>
      </c>
      <c r="C4654" t="str">
        <f>"9788122417791"</f>
        <v>9788122417791</v>
      </c>
      <c r="D4654" t="str">
        <f>"9788122423082"</f>
        <v>9788122423082</v>
      </c>
      <c r="E4654" t="s">
        <v>4636</v>
      </c>
      <c r="F4654" t="s">
        <v>4637</v>
      </c>
      <c r="G4654" s="1">
        <v>38827</v>
      </c>
      <c r="H4654" s="1">
        <v>39622</v>
      </c>
      <c r="I4654" t="s">
        <v>12</v>
      </c>
      <c r="J4654" t="s">
        <v>15424</v>
      </c>
    </row>
    <row r="4655" spans="1:10" x14ac:dyDescent="0.25">
      <c r="A4655">
        <v>348670</v>
      </c>
      <c r="B4655" t="s">
        <v>4856</v>
      </c>
      <c r="C4655" t="str">
        <f>"9780253350497"</f>
        <v>9780253350497</v>
      </c>
      <c r="D4655" t="str">
        <f>"9780253000132"</f>
        <v>9780253000132</v>
      </c>
      <c r="E4655" t="s">
        <v>4527</v>
      </c>
      <c r="F4655" t="s">
        <v>4527</v>
      </c>
      <c r="G4655" s="1">
        <v>39533</v>
      </c>
      <c r="H4655" s="1">
        <v>39638</v>
      </c>
      <c r="I4655" t="s">
        <v>12</v>
      </c>
      <c r="J4655" t="s">
        <v>15425</v>
      </c>
    </row>
    <row r="4656" spans="1:10" x14ac:dyDescent="0.25">
      <c r="A4656">
        <v>348675</v>
      </c>
      <c r="B4656" t="s">
        <v>4857</v>
      </c>
      <c r="C4656" t="str">
        <f>"9780253350664"</f>
        <v>9780253350664</v>
      </c>
      <c r="D4656" t="str">
        <f>"9780253000187"</f>
        <v>9780253000187</v>
      </c>
      <c r="E4656" t="s">
        <v>4527</v>
      </c>
      <c r="F4656" t="s">
        <v>4527</v>
      </c>
      <c r="G4656" s="1">
        <v>39519</v>
      </c>
      <c r="H4656" s="1">
        <v>39638</v>
      </c>
      <c r="I4656" t="s">
        <v>12</v>
      </c>
      <c r="J4656" t="s">
        <v>15426</v>
      </c>
    </row>
    <row r="4657" spans="1:10" x14ac:dyDescent="0.25">
      <c r="A4657">
        <v>348828</v>
      </c>
      <c r="B4657" t="s">
        <v>4858</v>
      </c>
      <c r="C4657" t="str">
        <f>"9780813542201"</f>
        <v>9780813542201</v>
      </c>
      <c r="D4657" t="str">
        <f>"9780813544236"</f>
        <v>9780813544236</v>
      </c>
      <c r="E4657" t="s">
        <v>4859</v>
      </c>
      <c r="F4657" t="s">
        <v>4859</v>
      </c>
      <c r="G4657" s="1">
        <v>39471</v>
      </c>
      <c r="H4657" s="1">
        <v>39638</v>
      </c>
      <c r="I4657" t="s">
        <v>12</v>
      </c>
      <c r="J4657" t="s">
        <v>15427</v>
      </c>
    </row>
    <row r="4658" spans="1:10" x14ac:dyDescent="0.25">
      <c r="A4658">
        <v>349732</v>
      </c>
      <c r="B4658" t="s">
        <v>4860</v>
      </c>
      <c r="C4658" t="str">
        <f>"9781841136172"</f>
        <v>9781841136172</v>
      </c>
      <c r="D4658" t="str">
        <f>"9781847314048"</f>
        <v>9781847314048</v>
      </c>
      <c r="E4658" t="s">
        <v>2198</v>
      </c>
      <c r="F4658" t="s">
        <v>2199</v>
      </c>
      <c r="G4658" s="1">
        <v>41773</v>
      </c>
      <c r="H4658" s="1">
        <v>39640</v>
      </c>
      <c r="I4658" t="s">
        <v>12</v>
      </c>
      <c r="J4658" t="s">
        <v>15428</v>
      </c>
    </row>
    <row r="4659" spans="1:10" x14ac:dyDescent="0.25">
      <c r="A4659">
        <v>349740</v>
      </c>
      <c r="B4659" t="s">
        <v>4861</v>
      </c>
      <c r="C4659" t="str">
        <f>"9781841501482"</f>
        <v>9781841501482</v>
      </c>
      <c r="D4659" t="str">
        <f>"9781841502250"</f>
        <v>9781841502250</v>
      </c>
      <c r="E4659" t="s">
        <v>2646</v>
      </c>
      <c r="F4659" t="s">
        <v>2647</v>
      </c>
      <c r="G4659" s="1">
        <v>39448</v>
      </c>
      <c r="H4659" s="1">
        <v>39642</v>
      </c>
      <c r="I4659" t="s">
        <v>12</v>
      </c>
      <c r="J4659" t="s">
        <v>15429</v>
      </c>
    </row>
    <row r="4660" spans="1:10" x14ac:dyDescent="0.25">
      <c r="A4660">
        <v>349741</v>
      </c>
      <c r="B4660" t="s">
        <v>4862</v>
      </c>
      <c r="C4660" t="str">
        <f>"9781841501918"</f>
        <v>9781841501918</v>
      </c>
      <c r="D4660" t="str">
        <f>"9781841502267"</f>
        <v>9781841502267</v>
      </c>
      <c r="E4660" t="s">
        <v>2646</v>
      </c>
      <c r="F4660" t="s">
        <v>2647</v>
      </c>
      <c r="G4660" s="1">
        <v>39539</v>
      </c>
      <c r="H4660" s="1">
        <v>39642</v>
      </c>
      <c r="I4660" t="s">
        <v>12</v>
      </c>
      <c r="J4660" t="s">
        <v>15430</v>
      </c>
    </row>
    <row r="4661" spans="1:10" x14ac:dyDescent="0.25">
      <c r="A4661">
        <v>349742</v>
      </c>
      <c r="B4661" t="s">
        <v>4863</v>
      </c>
      <c r="C4661" t="str">
        <f>"9781841501673"</f>
        <v>9781841501673</v>
      </c>
      <c r="D4661" t="str">
        <f>"9781841502274"</f>
        <v>9781841502274</v>
      </c>
      <c r="E4661" t="s">
        <v>2646</v>
      </c>
      <c r="F4661" t="s">
        <v>2647</v>
      </c>
      <c r="G4661" s="1">
        <v>39448</v>
      </c>
      <c r="H4661" s="1">
        <v>39642</v>
      </c>
      <c r="I4661" t="s">
        <v>12</v>
      </c>
      <c r="J4661" t="s">
        <v>15431</v>
      </c>
    </row>
    <row r="4662" spans="1:10" x14ac:dyDescent="0.25">
      <c r="A4662">
        <v>349743</v>
      </c>
      <c r="B4662" t="s">
        <v>4864</v>
      </c>
      <c r="C4662" t="str">
        <f>"9781841501475"</f>
        <v>9781841501475</v>
      </c>
      <c r="D4662" t="str">
        <f>"9781841502281"</f>
        <v>9781841502281</v>
      </c>
      <c r="E4662" t="s">
        <v>2646</v>
      </c>
      <c r="F4662" t="s">
        <v>2647</v>
      </c>
      <c r="G4662" s="1">
        <v>39448</v>
      </c>
      <c r="H4662" s="1">
        <v>39642</v>
      </c>
      <c r="I4662" t="s">
        <v>12</v>
      </c>
      <c r="J4662" t="s">
        <v>15432</v>
      </c>
    </row>
    <row r="4663" spans="1:10" x14ac:dyDescent="0.25">
      <c r="A4663">
        <v>349744</v>
      </c>
      <c r="B4663" t="s">
        <v>4865</v>
      </c>
      <c r="C4663" t="str">
        <f>"9781841501864"</f>
        <v>9781841501864</v>
      </c>
      <c r="D4663" t="str">
        <f>"9781841502298"</f>
        <v>9781841502298</v>
      </c>
      <c r="E4663" t="s">
        <v>2646</v>
      </c>
      <c r="F4663" t="s">
        <v>2647</v>
      </c>
      <c r="G4663" s="1">
        <v>39661</v>
      </c>
      <c r="H4663" s="1">
        <v>39666</v>
      </c>
      <c r="I4663" t="s">
        <v>12</v>
      </c>
      <c r="J4663" t="s">
        <v>15433</v>
      </c>
    </row>
    <row r="4664" spans="1:10" x14ac:dyDescent="0.25">
      <c r="A4664">
        <v>349745</v>
      </c>
      <c r="B4664" t="s">
        <v>4866</v>
      </c>
      <c r="C4664" t="str">
        <f>"9781841501956"</f>
        <v>9781841501956</v>
      </c>
      <c r="D4664" t="str">
        <f>"9781841502304"</f>
        <v>9781841502304</v>
      </c>
      <c r="E4664" t="s">
        <v>2646</v>
      </c>
      <c r="F4664" t="s">
        <v>2647</v>
      </c>
      <c r="G4664" s="1">
        <v>39456</v>
      </c>
      <c r="H4664" s="1">
        <v>39692</v>
      </c>
      <c r="I4664" t="s">
        <v>12</v>
      </c>
      <c r="J4664" t="s">
        <v>15434</v>
      </c>
    </row>
    <row r="4665" spans="1:10" x14ac:dyDescent="0.25">
      <c r="A4665">
        <v>349965</v>
      </c>
      <c r="B4665" t="s">
        <v>4867</v>
      </c>
      <c r="C4665" t="str">
        <f>"9781592135813"</f>
        <v>9781592135813</v>
      </c>
      <c r="D4665" t="str">
        <f>"9781592135837"</f>
        <v>9781592135837</v>
      </c>
      <c r="E4665" t="s">
        <v>3604</v>
      </c>
      <c r="F4665" t="s">
        <v>3604</v>
      </c>
      <c r="G4665" s="1">
        <v>39444</v>
      </c>
      <c r="H4665" s="1">
        <v>39645</v>
      </c>
      <c r="I4665" t="s">
        <v>12</v>
      </c>
      <c r="J4665" t="s">
        <v>15435</v>
      </c>
    </row>
    <row r="4666" spans="1:10" x14ac:dyDescent="0.25">
      <c r="A4666">
        <v>349988</v>
      </c>
      <c r="B4666" t="s">
        <v>4868</v>
      </c>
      <c r="C4666" t="str">
        <f>"9789241547406"</f>
        <v>9789241547406</v>
      </c>
      <c r="D4666" t="str">
        <f>"9789240684515"</f>
        <v>9789240684515</v>
      </c>
      <c r="E4666" t="s">
        <v>2717</v>
      </c>
      <c r="F4666" t="s">
        <v>2717</v>
      </c>
      <c r="G4666" s="1">
        <v>39457</v>
      </c>
      <c r="H4666" s="1">
        <v>39660</v>
      </c>
      <c r="I4666" t="s">
        <v>4869</v>
      </c>
      <c r="J4666" t="s">
        <v>15436</v>
      </c>
    </row>
    <row r="4667" spans="1:10" x14ac:dyDescent="0.25">
      <c r="A4667">
        <v>350182</v>
      </c>
      <c r="B4667" t="s">
        <v>4870</v>
      </c>
      <c r="C4667" t="str">
        <f>"9781571104564"</f>
        <v>9781571104564</v>
      </c>
      <c r="D4667" t="str">
        <f>"9781571107565"</f>
        <v>9781571107565</v>
      </c>
      <c r="E4667" t="s">
        <v>1329</v>
      </c>
      <c r="F4667" t="s">
        <v>1330</v>
      </c>
      <c r="G4667" s="1">
        <v>38718</v>
      </c>
      <c r="H4667" s="1">
        <v>39650</v>
      </c>
      <c r="I4667" t="s">
        <v>12</v>
      </c>
      <c r="J4667" t="s">
        <v>15437</v>
      </c>
    </row>
    <row r="4668" spans="1:10" x14ac:dyDescent="0.25">
      <c r="A4668">
        <v>350185</v>
      </c>
      <c r="B4668" t="s">
        <v>4871</v>
      </c>
      <c r="C4668" t="str">
        <f>"9781571103895"</f>
        <v>9781571103895</v>
      </c>
      <c r="D4668" t="str">
        <f>"9781571107626"</f>
        <v>9781571107626</v>
      </c>
      <c r="E4668" t="s">
        <v>1329</v>
      </c>
      <c r="F4668" t="s">
        <v>1330</v>
      </c>
      <c r="G4668" s="1">
        <v>38108</v>
      </c>
      <c r="H4668" s="1">
        <v>39650</v>
      </c>
      <c r="I4668" t="s">
        <v>12</v>
      </c>
      <c r="J4668" t="s">
        <v>15438</v>
      </c>
    </row>
    <row r="4669" spans="1:10" x14ac:dyDescent="0.25">
      <c r="A4669">
        <v>350186</v>
      </c>
      <c r="B4669" t="s">
        <v>4872</v>
      </c>
      <c r="C4669" t="str">
        <f>"9781571100894"</f>
        <v>9781571100894</v>
      </c>
      <c r="D4669" t="str">
        <f>"9781571107619"</f>
        <v>9781571107619</v>
      </c>
      <c r="E4669" t="s">
        <v>1329</v>
      </c>
      <c r="F4669" t="s">
        <v>1330</v>
      </c>
      <c r="G4669" s="1">
        <v>36800</v>
      </c>
      <c r="H4669" s="1">
        <v>39650</v>
      </c>
      <c r="I4669" t="s">
        <v>12</v>
      </c>
      <c r="J4669" t="s">
        <v>15439</v>
      </c>
    </row>
    <row r="4670" spans="1:10" x14ac:dyDescent="0.25">
      <c r="A4670">
        <v>350316</v>
      </c>
      <c r="B4670" t="s">
        <v>4873</v>
      </c>
      <c r="C4670" t="str">
        <f>"9781843108672"</f>
        <v>9781843108672</v>
      </c>
      <c r="D4670" t="str">
        <f>"9781846427954"</f>
        <v>9781846427954</v>
      </c>
      <c r="E4670" t="s">
        <v>2950</v>
      </c>
      <c r="F4670" t="s">
        <v>2950</v>
      </c>
      <c r="G4670" s="1">
        <v>39553</v>
      </c>
      <c r="H4670" s="1">
        <v>40347</v>
      </c>
      <c r="I4670" t="s">
        <v>12</v>
      </c>
      <c r="J4670" t="s">
        <v>15440</v>
      </c>
    </row>
    <row r="4671" spans="1:10" x14ac:dyDescent="0.25">
      <c r="A4671">
        <v>350317</v>
      </c>
      <c r="B4671" t="s">
        <v>4874</v>
      </c>
      <c r="C4671" t="str">
        <f>"9781843106388"</f>
        <v>9781843106388</v>
      </c>
      <c r="D4671" t="str">
        <f>"9781846427930"</f>
        <v>9781846427930</v>
      </c>
      <c r="E4671" t="s">
        <v>2950</v>
      </c>
      <c r="F4671" t="s">
        <v>2950</v>
      </c>
      <c r="G4671" s="1">
        <v>39553</v>
      </c>
      <c r="H4671" s="1">
        <v>39771</v>
      </c>
      <c r="I4671" t="s">
        <v>12</v>
      </c>
      <c r="J4671" t="s">
        <v>15441</v>
      </c>
    </row>
    <row r="4672" spans="1:10" x14ac:dyDescent="0.25">
      <c r="A4672">
        <v>350330</v>
      </c>
      <c r="B4672" t="s">
        <v>4875</v>
      </c>
      <c r="C4672" t="str">
        <f>"9781843105893"</f>
        <v>9781843105893</v>
      </c>
      <c r="D4672" t="str">
        <f>"9781846427541"</f>
        <v>9781846427541</v>
      </c>
      <c r="E4672" t="s">
        <v>2950</v>
      </c>
      <c r="F4672" t="s">
        <v>2950</v>
      </c>
      <c r="G4672" s="1">
        <v>39462</v>
      </c>
      <c r="H4672" s="1">
        <v>39771</v>
      </c>
      <c r="I4672" t="s">
        <v>12</v>
      </c>
      <c r="J4672" t="s">
        <v>15442</v>
      </c>
    </row>
    <row r="4673" spans="1:10" x14ac:dyDescent="0.25">
      <c r="A4673">
        <v>350352</v>
      </c>
      <c r="B4673" t="s">
        <v>4876</v>
      </c>
      <c r="C4673" t="str">
        <f>"9781843109150"</f>
        <v>9781843109150</v>
      </c>
      <c r="D4673" t="str">
        <f>"9781846427336"</f>
        <v>9781846427336</v>
      </c>
      <c r="E4673" t="s">
        <v>2950</v>
      </c>
      <c r="F4673" t="s">
        <v>2950</v>
      </c>
      <c r="G4673" s="1">
        <v>39401</v>
      </c>
      <c r="H4673" s="1">
        <v>40089</v>
      </c>
      <c r="I4673" t="s">
        <v>12</v>
      </c>
      <c r="J4673" t="s">
        <v>15443</v>
      </c>
    </row>
    <row r="4674" spans="1:10" x14ac:dyDescent="0.25">
      <c r="A4674">
        <v>350380</v>
      </c>
      <c r="B4674" t="s">
        <v>4877</v>
      </c>
      <c r="C4674" t="str">
        <f>"9781843105503"</f>
        <v>9781843105503</v>
      </c>
      <c r="D4674" t="str">
        <f>"9781846427855"</f>
        <v>9781846427855</v>
      </c>
      <c r="E4674" t="s">
        <v>2950</v>
      </c>
      <c r="F4674" t="s">
        <v>2950</v>
      </c>
      <c r="G4674" s="1">
        <v>39553</v>
      </c>
      <c r="H4674" s="1">
        <v>39771</v>
      </c>
      <c r="I4674" t="s">
        <v>12</v>
      </c>
      <c r="J4674" t="s">
        <v>15444</v>
      </c>
    </row>
    <row r="4675" spans="1:10" x14ac:dyDescent="0.25">
      <c r="A4675">
        <v>350390</v>
      </c>
      <c r="B4675" t="s">
        <v>4878</v>
      </c>
      <c r="C4675" t="str">
        <f>"9781843105992"</f>
        <v>9781843105992</v>
      </c>
      <c r="D4675" t="str">
        <f>"9781846427749"</f>
        <v>9781846427749</v>
      </c>
      <c r="E4675" t="s">
        <v>2950</v>
      </c>
      <c r="F4675" t="s">
        <v>2950</v>
      </c>
      <c r="G4675" s="1">
        <v>39522</v>
      </c>
      <c r="H4675" s="1">
        <v>39771</v>
      </c>
      <c r="I4675" t="s">
        <v>12</v>
      </c>
      <c r="J4675" t="s">
        <v>15445</v>
      </c>
    </row>
    <row r="4676" spans="1:10" x14ac:dyDescent="0.25">
      <c r="A4676">
        <v>350642</v>
      </c>
      <c r="B4676" t="s">
        <v>4879</v>
      </c>
      <c r="C4676" t="str">
        <f>"9780749452322"</f>
        <v>9780749452322</v>
      </c>
      <c r="D4676" t="str">
        <f>"9780749454241"</f>
        <v>9780749454241</v>
      </c>
      <c r="E4676" t="s">
        <v>1059</v>
      </c>
      <c r="F4676" t="s">
        <v>1059</v>
      </c>
      <c r="G4676" s="1">
        <v>39539</v>
      </c>
      <c r="H4676" s="1">
        <v>39654</v>
      </c>
      <c r="I4676" t="s">
        <v>12</v>
      </c>
      <c r="J4676" t="s">
        <v>15446</v>
      </c>
    </row>
    <row r="4677" spans="1:10" x14ac:dyDescent="0.25">
      <c r="A4677">
        <v>350665</v>
      </c>
      <c r="B4677" t="s">
        <v>4880</v>
      </c>
      <c r="C4677" t="str">
        <f>"9780749444334"</f>
        <v>9780749444334</v>
      </c>
      <c r="D4677" t="str">
        <f>"9780749454630"</f>
        <v>9780749454630</v>
      </c>
      <c r="E4677" t="s">
        <v>1059</v>
      </c>
      <c r="F4677" t="s">
        <v>1059</v>
      </c>
      <c r="G4677" s="1">
        <v>39600</v>
      </c>
      <c r="H4677" s="1">
        <v>39654</v>
      </c>
      <c r="I4677" t="s">
        <v>12</v>
      </c>
      <c r="J4677" t="s">
        <v>15447</v>
      </c>
    </row>
    <row r="4678" spans="1:10" x14ac:dyDescent="0.25">
      <c r="A4678">
        <v>350884</v>
      </c>
      <c r="B4678" t="s">
        <v>4881</v>
      </c>
      <c r="C4678" t="str">
        <f>"9780631226321"</f>
        <v>9780631226321</v>
      </c>
      <c r="D4678" t="str">
        <f>"9780470997277"</f>
        <v>9780470997277</v>
      </c>
      <c r="E4678" t="s">
        <v>1088</v>
      </c>
      <c r="F4678" t="s">
        <v>1089</v>
      </c>
      <c r="G4678" s="1">
        <v>37799</v>
      </c>
      <c r="H4678" s="1">
        <v>40696</v>
      </c>
      <c r="I4678" t="s">
        <v>12</v>
      </c>
      <c r="J4678" t="s">
        <v>15448</v>
      </c>
    </row>
    <row r="4679" spans="1:10" x14ac:dyDescent="0.25">
      <c r="A4679">
        <v>351003</v>
      </c>
      <c r="B4679" t="s">
        <v>4882</v>
      </c>
      <c r="C4679" t="str">
        <f>"9781405121408"</f>
        <v>9781405121408</v>
      </c>
      <c r="D4679" t="str">
        <f>"9780470777244"</f>
        <v>9780470777244</v>
      </c>
      <c r="E4679" t="s">
        <v>1088</v>
      </c>
      <c r="F4679" t="s">
        <v>1089</v>
      </c>
      <c r="G4679" s="1">
        <v>38667</v>
      </c>
      <c r="H4679" s="1">
        <v>40696</v>
      </c>
      <c r="I4679" t="s">
        <v>12</v>
      </c>
      <c r="J4679" t="s">
        <v>15449</v>
      </c>
    </row>
    <row r="4680" spans="1:10" x14ac:dyDescent="0.25">
      <c r="A4680">
        <v>351444</v>
      </c>
      <c r="B4680" t="s">
        <v>4883</v>
      </c>
      <c r="C4680" t="str">
        <f>"9781405124225"</f>
        <v>9781405124225</v>
      </c>
      <c r="D4680" t="str">
        <f>"9780470759486"</f>
        <v>9780470759486</v>
      </c>
      <c r="E4680" t="s">
        <v>1088</v>
      </c>
      <c r="F4680" t="s">
        <v>1089</v>
      </c>
      <c r="G4680" s="1">
        <v>38569</v>
      </c>
      <c r="H4680" s="1">
        <v>39661</v>
      </c>
      <c r="I4680" t="s">
        <v>12</v>
      </c>
      <c r="J4680" t="s">
        <v>15450</v>
      </c>
    </row>
    <row r="4681" spans="1:10" x14ac:dyDescent="0.25">
      <c r="A4681">
        <v>351519</v>
      </c>
      <c r="B4681" t="s">
        <v>4884</v>
      </c>
      <c r="C4681" t="str">
        <f>"9780470757031"</f>
        <v>9780470757031</v>
      </c>
      <c r="D4681" t="str">
        <f>"9780470756782"</f>
        <v>9780470756782</v>
      </c>
      <c r="E4681" t="s">
        <v>1088</v>
      </c>
      <c r="F4681" t="s">
        <v>1089</v>
      </c>
      <c r="G4681" s="1">
        <v>38835</v>
      </c>
      <c r="H4681" s="1">
        <v>41054</v>
      </c>
      <c r="I4681" t="s">
        <v>12</v>
      </c>
      <c r="J4681" t="s">
        <v>15451</v>
      </c>
    </row>
    <row r="4682" spans="1:10" x14ac:dyDescent="0.25">
      <c r="A4682">
        <v>352277</v>
      </c>
      <c r="B4682" t="s">
        <v>4885</v>
      </c>
      <c r="C4682" t="str">
        <f>"9781593857011"</f>
        <v>9781593857011</v>
      </c>
      <c r="D4682" t="str">
        <f>"9781606230497"</f>
        <v>9781606230497</v>
      </c>
      <c r="E4682" t="s">
        <v>3740</v>
      </c>
      <c r="F4682" t="s">
        <v>3741</v>
      </c>
      <c r="G4682" s="1">
        <v>41773</v>
      </c>
      <c r="H4682" s="1">
        <v>39664</v>
      </c>
      <c r="I4682" t="s">
        <v>12</v>
      </c>
      <c r="J4682" t="s">
        <v>15452</v>
      </c>
    </row>
    <row r="4683" spans="1:10" x14ac:dyDescent="0.25">
      <c r="A4683">
        <v>352286</v>
      </c>
      <c r="B4683" t="s">
        <v>4886</v>
      </c>
      <c r="C4683" t="str">
        <f>"9781593857561"</f>
        <v>9781593857561</v>
      </c>
      <c r="D4683" t="str">
        <f>"9781606230589"</f>
        <v>9781606230589</v>
      </c>
      <c r="E4683" t="s">
        <v>3740</v>
      </c>
      <c r="F4683" t="s">
        <v>3741</v>
      </c>
      <c r="G4683" s="1">
        <v>39573</v>
      </c>
      <c r="H4683" s="1">
        <v>39664</v>
      </c>
      <c r="I4683" t="s">
        <v>12</v>
      </c>
      <c r="J4683" t="s">
        <v>15453</v>
      </c>
    </row>
    <row r="4684" spans="1:10" x14ac:dyDescent="0.25">
      <c r="A4684">
        <v>353219</v>
      </c>
      <c r="B4684" t="s">
        <v>4887</v>
      </c>
      <c r="C4684" t="str">
        <f>"9781741755671"</f>
        <v>9781741755671</v>
      </c>
      <c r="D4684" t="str">
        <f>"9781741766905"</f>
        <v>9781741766905</v>
      </c>
      <c r="E4684" t="s">
        <v>979</v>
      </c>
      <c r="F4684" t="s">
        <v>979</v>
      </c>
      <c r="G4684" s="1">
        <v>39630</v>
      </c>
      <c r="H4684" s="1">
        <v>39674</v>
      </c>
      <c r="I4684" t="s">
        <v>12</v>
      </c>
      <c r="J4684" t="s">
        <v>15454</v>
      </c>
    </row>
    <row r="4685" spans="1:10" x14ac:dyDescent="0.25">
      <c r="A4685">
        <v>353533</v>
      </c>
      <c r="B4685" t="s">
        <v>4888</v>
      </c>
      <c r="C4685" t="str">
        <f>"9780470246009"</f>
        <v>9780470246009</v>
      </c>
      <c r="D4685" t="str">
        <f>"9780470392690"</f>
        <v>9780470392690</v>
      </c>
      <c r="E4685" t="s">
        <v>1088</v>
      </c>
      <c r="F4685" t="s">
        <v>4889</v>
      </c>
      <c r="G4685" s="1">
        <v>39602</v>
      </c>
      <c r="H4685" s="1">
        <v>39678</v>
      </c>
      <c r="I4685" t="s">
        <v>12</v>
      </c>
      <c r="J4685" t="s">
        <v>15455</v>
      </c>
    </row>
    <row r="4686" spans="1:10" x14ac:dyDescent="0.25">
      <c r="A4686">
        <v>354270</v>
      </c>
      <c r="B4686" t="s">
        <v>4890</v>
      </c>
      <c r="C4686" t="str">
        <f>"9780944227381"</f>
        <v>9780944227381</v>
      </c>
      <c r="D4686" t="str">
        <f>"9780944227404"</f>
        <v>9780944227404</v>
      </c>
      <c r="E4686" t="s">
        <v>4891</v>
      </c>
      <c r="F4686" t="s">
        <v>4891</v>
      </c>
      <c r="G4686" s="1">
        <v>39630</v>
      </c>
      <c r="H4686" s="1">
        <v>39722</v>
      </c>
      <c r="I4686" t="s">
        <v>12</v>
      </c>
      <c r="J4686" t="s">
        <v>15456</v>
      </c>
    </row>
    <row r="4687" spans="1:10" x14ac:dyDescent="0.25">
      <c r="A4687">
        <v>354868</v>
      </c>
      <c r="B4687" t="s">
        <v>4892</v>
      </c>
      <c r="C4687" t="str">
        <f>"9781412907170"</f>
        <v>9781412907170</v>
      </c>
      <c r="D4687" t="str">
        <f>"9781848604544"</f>
        <v>9781848604544</v>
      </c>
      <c r="E4687" t="s">
        <v>1569</v>
      </c>
      <c r="F4687" t="s">
        <v>1570</v>
      </c>
      <c r="G4687" s="1">
        <v>38671</v>
      </c>
      <c r="H4687" s="1">
        <v>39695</v>
      </c>
      <c r="I4687" t="s">
        <v>12</v>
      </c>
      <c r="J4687" t="s">
        <v>15457</v>
      </c>
    </row>
    <row r="4688" spans="1:10" x14ac:dyDescent="0.25">
      <c r="A4688">
        <v>354879</v>
      </c>
      <c r="B4688" t="s">
        <v>4893</v>
      </c>
      <c r="C4688" t="str">
        <f>"9781412929530"</f>
        <v>9781412929530</v>
      </c>
      <c r="D4688" t="str">
        <f>"9781848604667"</f>
        <v>9781848604667</v>
      </c>
      <c r="E4688" t="s">
        <v>1569</v>
      </c>
      <c r="F4688" t="s">
        <v>1570</v>
      </c>
      <c r="G4688" s="1">
        <v>38978</v>
      </c>
      <c r="H4688" s="1">
        <v>39695</v>
      </c>
      <c r="I4688" t="s">
        <v>12</v>
      </c>
      <c r="J4688" t="s">
        <v>15458</v>
      </c>
    </row>
    <row r="4689" spans="1:10" x14ac:dyDescent="0.25">
      <c r="A4689">
        <v>354884</v>
      </c>
      <c r="B4689" t="s">
        <v>4894</v>
      </c>
      <c r="C4689" t="str">
        <f>"9781412907156"</f>
        <v>9781412907156</v>
      </c>
      <c r="D4689" t="str">
        <f>"9781848604711"</f>
        <v>9781848604711</v>
      </c>
      <c r="E4689" t="s">
        <v>1569</v>
      </c>
      <c r="F4689" t="s">
        <v>1570</v>
      </c>
      <c r="G4689" s="1">
        <v>38664</v>
      </c>
      <c r="H4689" s="1">
        <v>39695</v>
      </c>
      <c r="I4689" t="s">
        <v>12</v>
      </c>
      <c r="J4689" t="s">
        <v>15459</v>
      </c>
    </row>
    <row r="4690" spans="1:10" x14ac:dyDescent="0.25">
      <c r="A4690">
        <v>354886</v>
      </c>
      <c r="B4690" t="s">
        <v>4895</v>
      </c>
      <c r="C4690" t="str">
        <f>"9781412929790"</f>
        <v>9781412929790</v>
      </c>
      <c r="D4690" t="str">
        <f>"9781848604735"</f>
        <v>9781848604735</v>
      </c>
      <c r="E4690" t="s">
        <v>1569</v>
      </c>
      <c r="F4690" t="s">
        <v>1570</v>
      </c>
      <c r="G4690" s="1">
        <v>39261</v>
      </c>
      <c r="H4690" s="1">
        <v>39695</v>
      </c>
      <c r="I4690" t="s">
        <v>12</v>
      </c>
      <c r="J4690" t="s">
        <v>15460</v>
      </c>
    </row>
    <row r="4691" spans="1:10" x14ac:dyDescent="0.25">
      <c r="A4691">
        <v>354899</v>
      </c>
      <c r="B4691" t="s">
        <v>4896</v>
      </c>
      <c r="C4691" t="str">
        <f>"9781412930956"</f>
        <v>9781412930956</v>
      </c>
      <c r="D4691" t="str">
        <f>"9781848604865"</f>
        <v>9781848604865</v>
      </c>
      <c r="E4691" t="s">
        <v>1569</v>
      </c>
      <c r="F4691" t="s">
        <v>1570</v>
      </c>
      <c r="G4691" s="1">
        <v>39284</v>
      </c>
      <c r="H4691" s="1">
        <v>39695</v>
      </c>
      <c r="I4691" t="s">
        <v>12</v>
      </c>
      <c r="J4691" t="s">
        <v>15461</v>
      </c>
    </row>
    <row r="4692" spans="1:10" x14ac:dyDescent="0.25">
      <c r="A4692">
        <v>354905</v>
      </c>
      <c r="B4692" t="s">
        <v>4897</v>
      </c>
      <c r="C4692" t="str">
        <f>"9781412902083"</f>
        <v>9781412902083</v>
      </c>
      <c r="D4692" t="str">
        <f>"9781848604926"</f>
        <v>9781848604926</v>
      </c>
      <c r="E4692" t="s">
        <v>1569</v>
      </c>
      <c r="F4692" t="s">
        <v>1570</v>
      </c>
      <c r="G4692" s="1">
        <v>39142</v>
      </c>
      <c r="H4692" s="1">
        <v>39695</v>
      </c>
      <c r="I4692" t="s">
        <v>12</v>
      </c>
      <c r="J4692" t="s">
        <v>15462</v>
      </c>
    </row>
    <row r="4693" spans="1:10" x14ac:dyDescent="0.25">
      <c r="A4693">
        <v>354933</v>
      </c>
      <c r="B4693" t="s">
        <v>4898</v>
      </c>
      <c r="C4693" t="str">
        <f>"9781412920254"</f>
        <v>9781412920254</v>
      </c>
      <c r="D4693" t="str">
        <f>"9781848605220"</f>
        <v>9781848605220</v>
      </c>
      <c r="E4693" t="s">
        <v>1569</v>
      </c>
      <c r="F4693" t="s">
        <v>1570</v>
      </c>
      <c r="G4693" s="1">
        <v>39168</v>
      </c>
      <c r="H4693" s="1">
        <v>39694</v>
      </c>
      <c r="I4693" t="s">
        <v>12</v>
      </c>
      <c r="J4693" t="s">
        <v>15463</v>
      </c>
    </row>
    <row r="4694" spans="1:10" x14ac:dyDescent="0.25">
      <c r="A4694">
        <v>354948</v>
      </c>
      <c r="B4694" t="s">
        <v>4899</v>
      </c>
      <c r="C4694" t="str">
        <f>"9780761967583"</f>
        <v>9780761967583</v>
      </c>
      <c r="D4694" t="str">
        <f>"9781848605374"</f>
        <v>9781848605374</v>
      </c>
      <c r="E4694" t="s">
        <v>1569</v>
      </c>
      <c r="F4694" t="s">
        <v>1570</v>
      </c>
      <c r="G4694" s="1">
        <v>37669</v>
      </c>
      <c r="H4694" s="1">
        <v>39695</v>
      </c>
      <c r="I4694" t="s">
        <v>12</v>
      </c>
      <c r="J4694" t="s">
        <v>15464</v>
      </c>
    </row>
    <row r="4695" spans="1:10" x14ac:dyDescent="0.25">
      <c r="A4695">
        <v>354960</v>
      </c>
      <c r="B4695" t="s">
        <v>4900</v>
      </c>
      <c r="C4695" t="str">
        <f>"9780761965657"</f>
        <v>9780761965657</v>
      </c>
      <c r="D4695" t="str">
        <f>"9781848605527"</f>
        <v>9781848605527</v>
      </c>
      <c r="E4695" t="s">
        <v>1569</v>
      </c>
      <c r="F4695" t="s">
        <v>1570</v>
      </c>
      <c r="G4695" s="1">
        <v>37237</v>
      </c>
      <c r="H4695" s="1">
        <v>39695</v>
      </c>
      <c r="I4695" t="s">
        <v>12</v>
      </c>
      <c r="J4695" t="s">
        <v>15465</v>
      </c>
    </row>
    <row r="4696" spans="1:10" x14ac:dyDescent="0.25">
      <c r="A4696">
        <v>355057</v>
      </c>
      <c r="B4696" t="s">
        <v>4901</v>
      </c>
      <c r="C4696" t="str">
        <f>"9781412907644"</f>
        <v>9781412907644</v>
      </c>
      <c r="D4696" t="str">
        <f>"9781848606098"</f>
        <v>9781848606098</v>
      </c>
      <c r="E4696" t="s">
        <v>1569</v>
      </c>
      <c r="F4696" t="s">
        <v>1570</v>
      </c>
      <c r="G4696" s="1">
        <v>38419</v>
      </c>
      <c r="H4696" s="1">
        <v>39693</v>
      </c>
      <c r="I4696" t="s">
        <v>12</v>
      </c>
      <c r="J4696" t="s">
        <v>15466</v>
      </c>
    </row>
    <row r="4697" spans="1:10" x14ac:dyDescent="0.25">
      <c r="A4697">
        <v>355274</v>
      </c>
      <c r="B4697" t="s">
        <v>4902</v>
      </c>
      <c r="C4697" t="str">
        <f>"9781843109440"</f>
        <v>9781843109440</v>
      </c>
      <c r="D4697" t="str">
        <f>"9781846428210"</f>
        <v>9781846428210</v>
      </c>
      <c r="E4697" t="s">
        <v>2950</v>
      </c>
      <c r="F4697" t="s">
        <v>2950</v>
      </c>
      <c r="G4697" s="1">
        <v>39614</v>
      </c>
      <c r="H4697" s="1">
        <v>39771</v>
      </c>
      <c r="I4697" t="s">
        <v>12</v>
      </c>
      <c r="J4697" t="s">
        <v>15467</v>
      </c>
    </row>
    <row r="4698" spans="1:10" x14ac:dyDescent="0.25">
      <c r="A4698">
        <v>355276</v>
      </c>
      <c r="B4698" t="s">
        <v>4903</v>
      </c>
      <c r="C4698" t="str">
        <f>"9781843104254"</f>
        <v>9781843104254</v>
      </c>
      <c r="D4698" t="str">
        <f>"9781846428104"</f>
        <v>9781846428104</v>
      </c>
      <c r="E4698" t="s">
        <v>2950</v>
      </c>
      <c r="F4698" t="s">
        <v>2950</v>
      </c>
      <c r="G4698" s="1">
        <v>39614</v>
      </c>
      <c r="H4698" s="1">
        <v>39771</v>
      </c>
      <c r="I4698" t="s">
        <v>12</v>
      </c>
      <c r="J4698" t="s">
        <v>15468</v>
      </c>
    </row>
    <row r="4699" spans="1:10" x14ac:dyDescent="0.25">
      <c r="A4699">
        <v>355278</v>
      </c>
      <c r="B4699" t="s">
        <v>4904</v>
      </c>
      <c r="C4699" t="str">
        <f>"9781843108863"</f>
        <v>9781843108863</v>
      </c>
      <c r="D4699" t="str">
        <f>"9781846428128"</f>
        <v>9781846428128</v>
      </c>
      <c r="E4699" t="s">
        <v>2950</v>
      </c>
      <c r="F4699" t="s">
        <v>2950</v>
      </c>
      <c r="G4699" s="1">
        <v>39614</v>
      </c>
      <c r="H4699" s="1">
        <v>39771</v>
      </c>
      <c r="I4699" t="s">
        <v>12</v>
      </c>
      <c r="J4699" t="s">
        <v>15469</v>
      </c>
    </row>
    <row r="4700" spans="1:10" x14ac:dyDescent="0.25">
      <c r="A4700">
        <v>355285</v>
      </c>
      <c r="B4700" t="s">
        <v>4905</v>
      </c>
      <c r="C4700" t="str">
        <f>"9781848190016"</f>
        <v>9781848190016</v>
      </c>
      <c r="D4700" t="str">
        <f>"9781846428067"</f>
        <v>9781846428067</v>
      </c>
      <c r="E4700" t="s">
        <v>2950</v>
      </c>
      <c r="F4700" t="s">
        <v>4906</v>
      </c>
      <c r="G4700" s="1">
        <v>39614</v>
      </c>
      <c r="H4700" s="1">
        <v>39771</v>
      </c>
      <c r="I4700" t="s">
        <v>12</v>
      </c>
      <c r="J4700" t="s">
        <v>15470</v>
      </c>
    </row>
    <row r="4701" spans="1:10" x14ac:dyDescent="0.25">
      <c r="A4701">
        <v>355587</v>
      </c>
      <c r="B4701" t="s">
        <v>4907</v>
      </c>
      <c r="C4701" t="str">
        <f>"9781845280581"</f>
        <v>9781845280581</v>
      </c>
      <c r="D4701" t="str">
        <f>"9781848030022"</f>
        <v>9781848030022</v>
      </c>
      <c r="E4701" t="s">
        <v>4908</v>
      </c>
      <c r="F4701" t="s">
        <v>4908</v>
      </c>
      <c r="G4701" s="1">
        <v>38562</v>
      </c>
      <c r="H4701" s="1">
        <v>39698</v>
      </c>
      <c r="I4701" t="s">
        <v>12</v>
      </c>
      <c r="J4701" t="s">
        <v>15471</v>
      </c>
    </row>
    <row r="4702" spans="1:10" x14ac:dyDescent="0.25">
      <c r="A4702">
        <v>355593</v>
      </c>
      <c r="B4702" t="s">
        <v>4909</v>
      </c>
      <c r="C4702" t="str">
        <f>"9781857036343"</f>
        <v>9781857036343</v>
      </c>
      <c r="D4702" t="str">
        <f>"9781848030183"</f>
        <v>9781848030183</v>
      </c>
      <c r="E4702" t="s">
        <v>4908</v>
      </c>
      <c r="F4702" t="s">
        <v>4908</v>
      </c>
      <c r="G4702" s="1">
        <v>36708</v>
      </c>
      <c r="H4702" s="1">
        <v>39699</v>
      </c>
      <c r="I4702" t="s">
        <v>12</v>
      </c>
      <c r="J4702" t="s">
        <v>15472</v>
      </c>
    </row>
    <row r="4703" spans="1:10" x14ac:dyDescent="0.25">
      <c r="A4703">
        <v>355594</v>
      </c>
      <c r="B4703" t="s">
        <v>4910</v>
      </c>
      <c r="C4703" t="str">
        <f>"9781845281625"</f>
        <v>9781845281625</v>
      </c>
      <c r="D4703" t="str">
        <f>"9781848030480"</f>
        <v>9781848030480</v>
      </c>
      <c r="E4703" t="s">
        <v>4908</v>
      </c>
      <c r="F4703" t="s">
        <v>4908</v>
      </c>
      <c r="G4703" s="1">
        <v>39066</v>
      </c>
      <c r="H4703" s="1">
        <v>39698</v>
      </c>
      <c r="I4703" t="s">
        <v>12</v>
      </c>
      <c r="J4703" t="s">
        <v>15473</v>
      </c>
    </row>
    <row r="4704" spans="1:10" x14ac:dyDescent="0.25">
      <c r="A4704">
        <v>355598</v>
      </c>
      <c r="B4704" t="s">
        <v>4911</v>
      </c>
      <c r="C4704" t="str">
        <f>"9781845281649"</f>
        <v>9781845281649</v>
      </c>
      <c r="D4704" t="str">
        <f>"9781848030565"</f>
        <v>9781848030565</v>
      </c>
      <c r="E4704" t="s">
        <v>4908</v>
      </c>
      <c r="F4704" t="s">
        <v>4908</v>
      </c>
      <c r="G4704" s="1">
        <v>39022</v>
      </c>
      <c r="H4704" s="1">
        <v>39698</v>
      </c>
      <c r="I4704" t="s">
        <v>12</v>
      </c>
      <c r="J4704" t="s">
        <v>15474</v>
      </c>
    </row>
    <row r="4705" spans="1:10" x14ac:dyDescent="0.25">
      <c r="A4705">
        <v>355599</v>
      </c>
      <c r="B4705" t="s">
        <v>4912</v>
      </c>
      <c r="C4705" t="str">
        <f>"9781845281663"</f>
        <v>9781845281663</v>
      </c>
      <c r="D4705" t="str">
        <f>"9781848031340"</f>
        <v>9781848031340</v>
      </c>
      <c r="E4705" t="s">
        <v>4908</v>
      </c>
      <c r="F4705" t="s">
        <v>4908</v>
      </c>
      <c r="G4705" s="1">
        <v>39125</v>
      </c>
      <c r="H4705" s="1">
        <v>39698</v>
      </c>
      <c r="I4705" t="s">
        <v>12</v>
      </c>
      <c r="J4705" t="s">
        <v>15475</v>
      </c>
    </row>
    <row r="4706" spans="1:10" x14ac:dyDescent="0.25">
      <c r="A4706">
        <v>355602</v>
      </c>
      <c r="B4706" t="s">
        <v>4913</v>
      </c>
      <c r="C4706" t="str">
        <f>"9781845281601"</f>
        <v>9781845281601</v>
      </c>
      <c r="D4706" t="str">
        <f>"9781848030893"</f>
        <v>9781848030893</v>
      </c>
      <c r="E4706" t="s">
        <v>4908</v>
      </c>
      <c r="F4706" t="s">
        <v>4908</v>
      </c>
      <c r="G4706" s="1">
        <v>39045</v>
      </c>
      <c r="H4706" s="1">
        <v>39698</v>
      </c>
      <c r="I4706" t="s">
        <v>12</v>
      </c>
      <c r="J4706" t="s">
        <v>15476</v>
      </c>
    </row>
    <row r="4707" spans="1:10" x14ac:dyDescent="0.25">
      <c r="A4707">
        <v>355603</v>
      </c>
      <c r="B4707" t="s">
        <v>4914</v>
      </c>
      <c r="C4707" t="str">
        <f>"9781857039450"</f>
        <v>9781857039450</v>
      </c>
      <c r="D4707" t="str">
        <f>"9781848031388"</f>
        <v>9781848031388</v>
      </c>
      <c r="E4707" t="s">
        <v>4908</v>
      </c>
      <c r="F4707" t="s">
        <v>4908</v>
      </c>
      <c r="G4707" s="1">
        <v>38072</v>
      </c>
      <c r="H4707" s="1">
        <v>39698</v>
      </c>
      <c r="I4707" t="s">
        <v>12</v>
      </c>
      <c r="J4707" t="s">
        <v>15477</v>
      </c>
    </row>
    <row r="4708" spans="1:10" x14ac:dyDescent="0.25">
      <c r="A4708">
        <v>355607</v>
      </c>
      <c r="B4708" t="s">
        <v>4915</v>
      </c>
      <c r="C4708" t="str">
        <f>"9781845280734"</f>
        <v>9781845280734</v>
      </c>
      <c r="D4708" t="str">
        <f>"9781848030831"</f>
        <v>9781848030831</v>
      </c>
      <c r="E4708" t="s">
        <v>4908</v>
      </c>
      <c r="F4708" t="s">
        <v>4908</v>
      </c>
      <c r="G4708" s="1">
        <v>38653</v>
      </c>
      <c r="H4708" s="1">
        <v>39698</v>
      </c>
      <c r="I4708" t="s">
        <v>12</v>
      </c>
      <c r="J4708" t="s">
        <v>15478</v>
      </c>
    </row>
    <row r="4709" spans="1:10" x14ac:dyDescent="0.25">
      <c r="A4709">
        <v>355940</v>
      </c>
      <c r="B4709" t="s">
        <v>4916</v>
      </c>
      <c r="C4709" t="str">
        <f>"9780415773065"</f>
        <v>9780415773065</v>
      </c>
      <c r="D4709" t="str">
        <f>"9780203947470"</f>
        <v>9780203947470</v>
      </c>
      <c r="E4709" t="s">
        <v>15</v>
      </c>
      <c r="F4709" t="s">
        <v>16</v>
      </c>
      <c r="G4709" s="1">
        <v>39224</v>
      </c>
      <c r="H4709" s="1">
        <v>41052</v>
      </c>
      <c r="I4709" t="s">
        <v>12</v>
      </c>
      <c r="J4709" t="s">
        <v>15479</v>
      </c>
    </row>
    <row r="4710" spans="1:10" x14ac:dyDescent="0.25">
      <c r="A4710">
        <v>355941</v>
      </c>
      <c r="B4710" t="s">
        <v>4917</v>
      </c>
      <c r="C4710" t="str">
        <f>"9780415363105"</f>
        <v>9780415363105</v>
      </c>
      <c r="D4710" t="str">
        <f>"9780203013441"</f>
        <v>9780203013441</v>
      </c>
      <c r="E4710" t="s">
        <v>15</v>
      </c>
      <c r="F4710" t="s">
        <v>16</v>
      </c>
      <c r="G4710" s="1">
        <v>39022</v>
      </c>
      <c r="H4710" s="1">
        <v>39703</v>
      </c>
      <c r="I4710" t="s">
        <v>12</v>
      </c>
      <c r="J4710" t="s">
        <v>15480</v>
      </c>
    </row>
    <row r="4711" spans="1:10" x14ac:dyDescent="0.25">
      <c r="A4711">
        <v>355942</v>
      </c>
      <c r="B4711" t="s">
        <v>4918</v>
      </c>
      <c r="C4711" t="str">
        <f>"9780415423694"</f>
        <v>9780415423694</v>
      </c>
      <c r="D4711" t="str">
        <f>"9780203961674"</f>
        <v>9780203961674</v>
      </c>
      <c r="E4711" t="s">
        <v>15</v>
      </c>
      <c r="F4711" t="s">
        <v>16</v>
      </c>
      <c r="G4711" s="1">
        <v>39254</v>
      </c>
      <c r="H4711" s="1">
        <v>39706</v>
      </c>
      <c r="I4711" t="s">
        <v>12</v>
      </c>
      <c r="J4711" t="s">
        <v>15481</v>
      </c>
    </row>
    <row r="4712" spans="1:10" x14ac:dyDescent="0.25">
      <c r="A4712">
        <v>355944</v>
      </c>
      <c r="B4712" t="s">
        <v>4919</v>
      </c>
      <c r="C4712" t="str">
        <f>"9781844721542"</f>
        <v>9781844721542</v>
      </c>
      <c r="D4712" t="str">
        <f>"9780203945308"</f>
        <v>9780203945308</v>
      </c>
      <c r="E4712" t="s">
        <v>15</v>
      </c>
      <c r="F4712" t="s">
        <v>1019</v>
      </c>
      <c r="G4712" s="1">
        <v>39036</v>
      </c>
      <c r="H4712" s="1">
        <v>39703</v>
      </c>
      <c r="I4712" t="s">
        <v>12</v>
      </c>
      <c r="J4712" t="s">
        <v>15482</v>
      </c>
    </row>
    <row r="4713" spans="1:10" x14ac:dyDescent="0.25">
      <c r="A4713">
        <v>355945</v>
      </c>
      <c r="B4713" t="s">
        <v>4920</v>
      </c>
      <c r="C4713" t="str">
        <f>"9780415415101"</f>
        <v>9780415415101</v>
      </c>
      <c r="D4713" t="str">
        <f>"9780203965825"</f>
        <v>9780203965825</v>
      </c>
      <c r="E4713" t="s">
        <v>144</v>
      </c>
      <c r="F4713" t="s">
        <v>153</v>
      </c>
      <c r="G4713" s="1">
        <v>39196</v>
      </c>
      <c r="H4713" s="1">
        <v>39706</v>
      </c>
      <c r="I4713" t="s">
        <v>12</v>
      </c>
      <c r="J4713" t="s">
        <v>15483</v>
      </c>
    </row>
    <row r="4714" spans="1:10" x14ac:dyDescent="0.25">
      <c r="A4714">
        <v>355946</v>
      </c>
      <c r="B4714" t="s">
        <v>4921</v>
      </c>
      <c r="C4714" t="str">
        <f>"9780415979153"</f>
        <v>9780415979153</v>
      </c>
      <c r="D4714" t="str">
        <f>"9780203968970"</f>
        <v>9780203968970</v>
      </c>
      <c r="E4714" t="s">
        <v>15</v>
      </c>
      <c r="F4714" t="s">
        <v>16</v>
      </c>
      <c r="G4714" s="1">
        <v>39430</v>
      </c>
      <c r="H4714" s="1">
        <v>39703</v>
      </c>
      <c r="I4714" t="s">
        <v>12</v>
      </c>
      <c r="J4714" t="s">
        <v>15484</v>
      </c>
    </row>
    <row r="4715" spans="1:10" x14ac:dyDescent="0.25">
      <c r="A4715">
        <v>355950</v>
      </c>
      <c r="B4715" t="s">
        <v>4922</v>
      </c>
      <c r="C4715" t="str">
        <f>"9780415375436"</f>
        <v>9780415375436</v>
      </c>
      <c r="D4715" t="str">
        <f>"9780203964651"</f>
        <v>9780203964651</v>
      </c>
      <c r="E4715" t="s">
        <v>15</v>
      </c>
      <c r="F4715" t="s">
        <v>16</v>
      </c>
      <c r="G4715" s="1">
        <v>39189</v>
      </c>
      <c r="H4715" s="1">
        <v>39706</v>
      </c>
      <c r="I4715" t="s">
        <v>12</v>
      </c>
      <c r="J4715" t="s">
        <v>15485</v>
      </c>
    </row>
    <row r="4716" spans="1:10" x14ac:dyDescent="0.25">
      <c r="A4716">
        <v>355959</v>
      </c>
      <c r="B4716" t="s">
        <v>4923</v>
      </c>
      <c r="C4716" t="str">
        <f>"9780415319768"</f>
        <v>9780415319768</v>
      </c>
      <c r="D4716" t="str">
        <f>"9780203627198"</f>
        <v>9780203627198</v>
      </c>
      <c r="E4716" t="s">
        <v>15</v>
      </c>
      <c r="F4716" t="s">
        <v>16</v>
      </c>
      <c r="G4716" s="1">
        <v>39021</v>
      </c>
      <c r="H4716" s="1">
        <v>39703</v>
      </c>
      <c r="I4716" t="s">
        <v>12</v>
      </c>
      <c r="J4716" t="s">
        <v>15486</v>
      </c>
    </row>
    <row r="4717" spans="1:10" x14ac:dyDescent="0.25">
      <c r="A4717">
        <v>355960</v>
      </c>
      <c r="B4717" t="s">
        <v>4924</v>
      </c>
      <c r="C4717" t="str">
        <f>"9780415417105"</f>
        <v>9780415417105</v>
      </c>
      <c r="D4717" t="str">
        <f>"9780203939000"</f>
        <v>9780203939000</v>
      </c>
      <c r="E4717" t="s">
        <v>15</v>
      </c>
      <c r="F4717" t="s">
        <v>16</v>
      </c>
      <c r="G4717" s="1">
        <v>39279</v>
      </c>
      <c r="H4717" s="1">
        <v>41877</v>
      </c>
      <c r="I4717" t="s">
        <v>12</v>
      </c>
      <c r="J4717" t="s">
        <v>15487</v>
      </c>
    </row>
    <row r="4718" spans="1:10" x14ac:dyDescent="0.25">
      <c r="A4718">
        <v>355962</v>
      </c>
      <c r="B4718" t="s">
        <v>4925</v>
      </c>
      <c r="C4718" t="str">
        <f>"9780415409803"</f>
        <v>9780415409803</v>
      </c>
      <c r="D4718" t="str">
        <f>"9780203968505"</f>
        <v>9780203968505</v>
      </c>
      <c r="E4718" t="s">
        <v>15</v>
      </c>
      <c r="F4718" t="s">
        <v>16</v>
      </c>
      <c r="G4718" s="1">
        <v>39051</v>
      </c>
      <c r="H4718" s="1">
        <v>39706</v>
      </c>
      <c r="I4718" t="s">
        <v>12</v>
      </c>
      <c r="J4718" t="s">
        <v>15488</v>
      </c>
    </row>
    <row r="4719" spans="1:10" x14ac:dyDescent="0.25">
      <c r="A4719">
        <v>355968</v>
      </c>
      <c r="B4719" t="s">
        <v>4926</v>
      </c>
      <c r="C4719" t="str">
        <f>"9781843124313"</f>
        <v>9781843124313</v>
      </c>
      <c r="D4719" t="str">
        <f>"9780203935194"</f>
        <v>9780203935194</v>
      </c>
      <c r="E4719" t="s">
        <v>15</v>
      </c>
      <c r="F4719" t="s">
        <v>16</v>
      </c>
      <c r="G4719" s="1">
        <v>39119</v>
      </c>
      <c r="H4719" s="1">
        <v>39706</v>
      </c>
      <c r="I4719" t="s">
        <v>12</v>
      </c>
      <c r="J4719" t="s">
        <v>15489</v>
      </c>
    </row>
    <row r="4720" spans="1:10" x14ac:dyDescent="0.25">
      <c r="A4720">
        <v>355969</v>
      </c>
      <c r="B4720" t="s">
        <v>4927</v>
      </c>
      <c r="C4720" t="str">
        <f>"9781843124306"</f>
        <v>9781843124306</v>
      </c>
      <c r="D4720" t="str">
        <f>"9780203935378"</f>
        <v>9780203935378</v>
      </c>
      <c r="E4720" t="s">
        <v>15</v>
      </c>
      <c r="F4720" t="s">
        <v>16</v>
      </c>
      <c r="G4720" s="1">
        <v>39226</v>
      </c>
      <c r="H4720" s="1">
        <v>39706</v>
      </c>
      <c r="I4720" t="s">
        <v>12</v>
      </c>
      <c r="J4720" t="s">
        <v>15490</v>
      </c>
    </row>
    <row r="4721" spans="1:10" x14ac:dyDescent="0.25">
      <c r="A4721">
        <v>355970</v>
      </c>
      <c r="B4721" t="s">
        <v>4928</v>
      </c>
      <c r="C4721" t="str">
        <f>"9781843124337"</f>
        <v>9781843124337</v>
      </c>
      <c r="D4721" t="str">
        <f>"9780203935231"</f>
        <v>9780203935231</v>
      </c>
      <c r="E4721" t="s">
        <v>15</v>
      </c>
      <c r="F4721" t="s">
        <v>4274</v>
      </c>
      <c r="G4721" s="1">
        <v>39147</v>
      </c>
      <c r="H4721" s="1">
        <v>39706</v>
      </c>
      <c r="I4721" t="s">
        <v>12</v>
      </c>
      <c r="J4721" t="s">
        <v>15491</v>
      </c>
    </row>
    <row r="4722" spans="1:10" x14ac:dyDescent="0.25">
      <c r="A4722">
        <v>355974</v>
      </c>
      <c r="B4722" t="s">
        <v>4929</v>
      </c>
      <c r="C4722" t="str">
        <f>"9780415413541"</f>
        <v>9780415413541</v>
      </c>
      <c r="D4722" t="str">
        <f>"9780203962992"</f>
        <v>9780203962992</v>
      </c>
      <c r="E4722" t="s">
        <v>15</v>
      </c>
      <c r="F4722" t="s">
        <v>153</v>
      </c>
      <c r="G4722" s="1">
        <v>39182</v>
      </c>
      <c r="H4722" s="1">
        <v>39191</v>
      </c>
      <c r="I4722" t="s">
        <v>12</v>
      </c>
      <c r="J4722" t="s">
        <v>15492</v>
      </c>
    </row>
    <row r="4723" spans="1:10" x14ac:dyDescent="0.25">
      <c r="A4723">
        <v>355976</v>
      </c>
      <c r="B4723" t="s">
        <v>4930</v>
      </c>
      <c r="C4723" t="str">
        <f>"9781583918401"</f>
        <v>9781583918401</v>
      </c>
      <c r="D4723" t="str">
        <f>"9780203965177"</f>
        <v>9780203965177</v>
      </c>
      <c r="E4723" t="s">
        <v>15</v>
      </c>
      <c r="F4723" t="s">
        <v>16</v>
      </c>
      <c r="G4723" s="1">
        <v>39006</v>
      </c>
      <c r="H4723" s="1">
        <v>39703</v>
      </c>
      <c r="I4723" t="s">
        <v>12</v>
      </c>
      <c r="J4723" t="s">
        <v>15493</v>
      </c>
    </row>
    <row r="4724" spans="1:10" x14ac:dyDescent="0.25">
      <c r="A4724">
        <v>355979</v>
      </c>
      <c r="B4724" t="s">
        <v>4931</v>
      </c>
      <c r="C4724" t="str">
        <f>"9780415381406"</f>
        <v>9780415381406</v>
      </c>
      <c r="D4724" t="str">
        <f>"9780203968673"</f>
        <v>9780203968673</v>
      </c>
      <c r="E4724" t="s">
        <v>15</v>
      </c>
      <c r="F4724" t="s">
        <v>16</v>
      </c>
      <c r="G4724" s="1">
        <v>39020</v>
      </c>
      <c r="H4724" s="1">
        <v>39703</v>
      </c>
      <c r="I4724" t="s">
        <v>12</v>
      </c>
      <c r="J4724" t="s">
        <v>15494</v>
      </c>
    </row>
    <row r="4725" spans="1:10" x14ac:dyDescent="0.25">
      <c r="A4725">
        <v>355980</v>
      </c>
      <c r="B4725" t="s">
        <v>4932</v>
      </c>
      <c r="C4725" t="str">
        <f>"9781843124382"</f>
        <v>9781843124382</v>
      </c>
      <c r="D4725" t="str">
        <f>"9780203935330"</f>
        <v>9780203935330</v>
      </c>
      <c r="E4725" t="s">
        <v>15</v>
      </c>
      <c r="F4725" t="s">
        <v>16</v>
      </c>
      <c r="G4725" s="1">
        <v>39279</v>
      </c>
      <c r="H4725" s="1">
        <v>39706</v>
      </c>
      <c r="I4725" t="s">
        <v>12</v>
      </c>
      <c r="J4725" t="s">
        <v>15495</v>
      </c>
    </row>
    <row r="4726" spans="1:10" x14ac:dyDescent="0.25">
      <c r="A4726">
        <v>355982</v>
      </c>
      <c r="B4726" t="s">
        <v>4933</v>
      </c>
      <c r="C4726" t="str">
        <f>"9780415411233"</f>
        <v>9780415411233</v>
      </c>
      <c r="D4726" t="str">
        <f>"9780203967058"</f>
        <v>9780203967058</v>
      </c>
      <c r="E4726" t="s">
        <v>15</v>
      </c>
      <c r="F4726" t="s">
        <v>16</v>
      </c>
      <c r="G4726" s="1">
        <v>39043</v>
      </c>
      <c r="H4726" s="1">
        <v>39703</v>
      </c>
      <c r="I4726" t="s">
        <v>12</v>
      </c>
      <c r="J4726" t="s">
        <v>15496</v>
      </c>
    </row>
    <row r="4727" spans="1:10" x14ac:dyDescent="0.25">
      <c r="A4727">
        <v>355983</v>
      </c>
      <c r="B4727" t="s">
        <v>4934</v>
      </c>
      <c r="C4727" t="str">
        <f>"9780415383707"</f>
        <v>9780415383707</v>
      </c>
      <c r="D4727" t="str">
        <f>"9780203099711"</f>
        <v>9780203099711</v>
      </c>
      <c r="E4727" t="s">
        <v>15</v>
      </c>
      <c r="F4727" t="s">
        <v>16</v>
      </c>
      <c r="G4727" s="1">
        <v>39195</v>
      </c>
      <c r="H4727" s="1">
        <v>39703</v>
      </c>
      <c r="I4727" t="s">
        <v>12</v>
      </c>
      <c r="J4727" t="s">
        <v>15497</v>
      </c>
    </row>
    <row r="4728" spans="1:10" x14ac:dyDescent="0.25">
      <c r="A4728">
        <v>355984</v>
      </c>
      <c r="B4728" t="s">
        <v>4935</v>
      </c>
      <c r="C4728" t="str">
        <f>"9780415375702"</f>
        <v>9780415375702</v>
      </c>
      <c r="D4728" t="str">
        <f>"9780203099674"</f>
        <v>9780203099674</v>
      </c>
      <c r="E4728" t="s">
        <v>15</v>
      </c>
      <c r="F4728" t="s">
        <v>16</v>
      </c>
      <c r="G4728" s="1">
        <v>39297</v>
      </c>
      <c r="H4728" s="1">
        <v>39703</v>
      </c>
      <c r="I4728" t="s">
        <v>12</v>
      </c>
      <c r="J4728" t="s">
        <v>15498</v>
      </c>
    </row>
    <row r="4729" spans="1:10" x14ac:dyDescent="0.25">
      <c r="A4729">
        <v>355985</v>
      </c>
      <c r="B4729" t="s">
        <v>4936</v>
      </c>
      <c r="C4729" t="str">
        <f>"9780415418157"</f>
        <v>9780415418157</v>
      </c>
      <c r="D4729" t="str">
        <f>"9780203088906"</f>
        <v>9780203088906</v>
      </c>
      <c r="E4729" t="s">
        <v>15</v>
      </c>
      <c r="F4729" t="s">
        <v>16</v>
      </c>
      <c r="G4729" s="1">
        <v>39211</v>
      </c>
      <c r="H4729" s="1">
        <v>41877</v>
      </c>
      <c r="I4729" t="s">
        <v>12</v>
      </c>
      <c r="J4729" t="s">
        <v>15499</v>
      </c>
    </row>
    <row r="4730" spans="1:10" x14ac:dyDescent="0.25">
      <c r="A4730">
        <v>355986</v>
      </c>
      <c r="B4730" t="s">
        <v>4937</v>
      </c>
      <c r="C4730" t="str">
        <f>"9780415395830"</f>
        <v>9780415395830</v>
      </c>
      <c r="D4730" t="str">
        <f>"9780203966631"</f>
        <v>9780203966631</v>
      </c>
      <c r="E4730" t="s">
        <v>15</v>
      </c>
      <c r="F4730" t="s">
        <v>16</v>
      </c>
      <c r="G4730" s="1">
        <v>39057</v>
      </c>
      <c r="H4730" s="1">
        <v>39706</v>
      </c>
      <c r="I4730" t="s">
        <v>12</v>
      </c>
      <c r="J4730" t="s">
        <v>15500</v>
      </c>
    </row>
    <row r="4731" spans="1:10" x14ac:dyDescent="0.25">
      <c r="A4731">
        <v>355990</v>
      </c>
      <c r="B4731" t="s">
        <v>4938</v>
      </c>
      <c r="C4731" t="str">
        <f>"9780415221009"</f>
        <v>9780415221009</v>
      </c>
      <c r="D4731" t="str">
        <f>"9780203968932"</f>
        <v>9780203968932</v>
      </c>
      <c r="E4731" t="s">
        <v>15</v>
      </c>
      <c r="F4731" t="s">
        <v>16</v>
      </c>
      <c r="G4731" s="1">
        <v>39055</v>
      </c>
      <c r="H4731" s="1">
        <v>39703</v>
      </c>
      <c r="I4731" t="s">
        <v>12</v>
      </c>
      <c r="J4731" t="s">
        <v>15501</v>
      </c>
    </row>
    <row r="4732" spans="1:10" x14ac:dyDescent="0.25">
      <c r="A4732">
        <v>355993</v>
      </c>
      <c r="B4732" t="s">
        <v>4939</v>
      </c>
      <c r="C4732" t="str">
        <f>"9780415399081"</f>
        <v>9780415399081</v>
      </c>
      <c r="D4732" t="str">
        <f>"9780203964262"</f>
        <v>9780203964262</v>
      </c>
      <c r="E4732" t="s">
        <v>15</v>
      </c>
      <c r="F4732" t="s">
        <v>16</v>
      </c>
      <c r="G4732" s="1">
        <v>39191</v>
      </c>
      <c r="H4732" s="1">
        <v>39703</v>
      </c>
      <c r="I4732" t="s">
        <v>12</v>
      </c>
      <c r="J4732" t="s">
        <v>15502</v>
      </c>
    </row>
    <row r="4733" spans="1:10" x14ac:dyDescent="0.25">
      <c r="A4733">
        <v>355997</v>
      </c>
      <c r="B4733" t="s">
        <v>4940</v>
      </c>
      <c r="C4733" t="str">
        <f>"9780415393935"</f>
        <v>9780415393935</v>
      </c>
      <c r="D4733" t="str">
        <f>"9780203966266"</f>
        <v>9780203966266</v>
      </c>
      <c r="E4733" t="s">
        <v>15</v>
      </c>
      <c r="F4733" t="s">
        <v>16</v>
      </c>
      <c r="G4733" s="1">
        <v>39064</v>
      </c>
      <c r="H4733" s="1">
        <v>39703</v>
      </c>
      <c r="I4733" t="s">
        <v>12</v>
      </c>
      <c r="J4733" t="s">
        <v>15503</v>
      </c>
    </row>
    <row r="4734" spans="1:10" x14ac:dyDescent="0.25">
      <c r="A4734">
        <v>355999</v>
      </c>
      <c r="B4734" t="s">
        <v>4941</v>
      </c>
      <c r="C4734" t="str">
        <f>"9780415334044"</f>
        <v>9780415334044</v>
      </c>
      <c r="D4734" t="str">
        <f>"9780203414606"</f>
        <v>9780203414606</v>
      </c>
      <c r="E4734" t="s">
        <v>15</v>
      </c>
      <c r="F4734" t="s">
        <v>139</v>
      </c>
      <c r="G4734" s="1">
        <v>39077</v>
      </c>
      <c r="H4734" s="1">
        <v>39703</v>
      </c>
      <c r="I4734" t="s">
        <v>12</v>
      </c>
      <c r="J4734" t="s">
        <v>15504</v>
      </c>
    </row>
    <row r="4735" spans="1:10" x14ac:dyDescent="0.25">
      <c r="A4735">
        <v>356003</v>
      </c>
      <c r="B4735" t="s">
        <v>4942</v>
      </c>
      <c r="C4735" t="str">
        <f>"9781843122609"</f>
        <v>9781843122609</v>
      </c>
      <c r="D4735" t="str">
        <f>"9780203935224"</f>
        <v>9780203935224</v>
      </c>
      <c r="E4735" t="s">
        <v>15</v>
      </c>
      <c r="F4735" t="s">
        <v>16</v>
      </c>
      <c r="G4735" s="1">
        <v>38045</v>
      </c>
      <c r="H4735" s="1">
        <v>39703</v>
      </c>
      <c r="I4735" t="s">
        <v>12</v>
      </c>
      <c r="J4735" t="s">
        <v>15505</v>
      </c>
    </row>
    <row r="4736" spans="1:10" x14ac:dyDescent="0.25">
      <c r="A4736">
        <v>356004</v>
      </c>
      <c r="B4736" t="s">
        <v>4943</v>
      </c>
      <c r="C4736" t="str">
        <f>"9780415324304"</f>
        <v>9780415324304</v>
      </c>
      <c r="D4736" t="str">
        <f>"9780203357019"</f>
        <v>9780203357019</v>
      </c>
      <c r="E4736" t="s">
        <v>15</v>
      </c>
      <c r="F4736" t="s">
        <v>16</v>
      </c>
      <c r="G4736" s="1">
        <v>39087</v>
      </c>
      <c r="H4736" s="1">
        <v>39703</v>
      </c>
      <c r="I4736" t="s">
        <v>12</v>
      </c>
      <c r="J4736" t="s">
        <v>15506</v>
      </c>
    </row>
    <row r="4737" spans="1:10" x14ac:dyDescent="0.25">
      <c r="A4737">
        <v>356006</v>
      </c>
      <c r="B4737" t="s">
        <v>4944</v>
      </c>
      <c r="C4737" t="str">
        <f>"9780415346375"</f>
        <v>9780415346375</v>
      </c>
      <c r="D4737" t="str">
        <f>"9780203597132"</f>
        <v>9780203597132</v>
      </c>
      <c r="E4737" t="s">
        <v>15</v>
      </c>
      <c r="F4737" t="s">
        <v>16</v>
      </c>
      <c r="G4737" s="1">
        <v>39064</v>
      </c>
      <c r="H4737" s="1">
        <v>39703</v>
      </c>
      <c r="I4737" t="s">
        <v>12</v>
      </c>
      <c r="J4737" t="s">
        <v>15507</v>
      </c>
    </row>
    <row r="4738" spans="1:10" x14ac:dyDescent="0.25">
      <c r="A4738">
        <v>356007</v>
      </c>
      <c r="B4738" t="s">
        <v>4945</v>
      </c>
      <c r="C4738" t="str">
        <f>"9780415425742"</f>
        <v>9780415425742</v>
      </c>
      <c r="D4738" t="str">
        <f>"9780203960745"</f>
        <v>9780203960745</v>
      </c>
      <c r="E4738" t="s">
        <v>15</v>
      </c>
      <c r="F4738" t="s">
        <v>16</v>
      </c>
      <c r="G4738" s="1">
        <v>39297</v>
      </c>
      <c r="H4738" s="1">
        <v>39703</v>
      </c>
      <c r="I4738" t="s">
        <v>12</v>
      </c>
      <c r="J4738" t="s">
        <v>15508</v>
      </c>
    </row>
    <row r="4739" spans="1:10" x14ac:dyDescent="0.25">
      <c r="A4739">
        <v>356010</v>
      </c>
      <c r="B4739" t="s">
        <v>4946</v>
      </c>
      <c r="C4739" t="str">
        <f>"9780415380317"</f>
        <v>9780415380317</v>
      </c>
      <c r="D4739" t="str">
        <f>"9780203968482"</f>
        <v>9780203968482</v>
      </c>
      <c r="E4739" t="s">
        <v>16</v>
      </c>
      <c r="F4739" t="s">
        <v>16</v>
      </c>
      <c r="G4739" s="1">
        <v>39041</v>
      </c>
      <c r="H4739" s="1">
        <v>39706</v>
      </c>
      <c r="I4739" t="s">
        <v>12</v>
      </c>
      <c r="J4739" t="s">
        <v>15509</v>
      </c>
    </row>
    <row r="4740" spans="1:10" x14ac:dyDescent="0.25">
      <c r="A4740">
        <v>356012</v>
      </c>
      <c r="B4740" t="s">
        <v>4947</v>
      </c>
      <c r="C4740" t="str">
        <f>"9780415404785"</f>
        <v>9780415404785</v>
      </c>
      <c r="D4740" t="str">
        <f>"9780203946657"</f>
        <v>9780203946657</v>
      </c>
      <c r="E4740" t="s">
        <v>15</v>
      </c>
      <c r="F4740" t="s">
        <v>16</v>
      </c>
      <c r="G4740" s="1">
        <v>39308</v>
      </c>
      <c r="H4740" s="1">
        <v>39721</v>
      </c>
      <c r="I4740" t="s">
        <v>12</v>
      </c>
      <c r="J4740" t="s">
        <v>15510</v>
      </c>
    </row>
    <row r="4741" spans="1:10" x14ac:dyDescent="0.25">
      <c r="A4741">
        <v>356015</v>
      </c>
      <c r="B4741" t="s">
        <v>4948</v>
      </c>
      <c r="C4741" t="str">
        <f>"9780415416535"</f>
        <v>9780415416535</v>
      </c>
      <c r="D4741" t="str">
        <f>"9780203968109"</f>
        <v>9780203968109</v>
      </c>
      <c r="E4741" t="s">
        <v>16</v>
      </c>
      <c r="F4741" t="s">
        <v>16</v>
      </c>
      <c r="G4741" s="1">
        <v>39072</v>
      </c>
      <c r="H4741" s="1">
        <v>39703</v>
      </c>
      <c r="I4741" t="s">
        <v>12</v>
      </c>
      <c r="J4741" t="s">
        <v>15511</v>
      </c>
    </row>
    <row r="4742" spans="1:10" x14ac:dyDescent="0.25">
      <c r="A4742">
        <v>356017</v>
      </c>
      <c r="B4742" t="s">
        <v>4949</v>
      </c>
      <c r="C4742" t="str">
        <f>"9780415358408"</f>
        <v>9780415358408</v>
      </c>
      <c r="D4742" t="str">
        <f>"9780203004586"</f>
        <v>9780203004586</v>
      </c>
      <c r="E4742" t="s">
        <v>15</v>
      </c>
      <c r="F4742" t="s">
        <v>16</v>
      </c>
      <c r="G4742" s="1">
        <v>39070</v>
      </c>
      <c r="H4742" s="1">
        <v>39706</v>
      </c>
      <c r="I4742" t="s">
        <v>12</v>
      </c>
      <c r="J4742" t="s">
        <v>15512</v>
      </c>
    </row>
    <row r="4743" spans="1:10" x14ac:dyDescent="0.25">
      <c r="A4743">
        <v>356018</v>
      </c>
      <c r="B4743" t="s">
        <v>4950</v>
      </c>
      <c r="C4743" t="str">
        <f>"9780415769914"</f>
        <v>9780415769914</v>
      </c>
      <c r="D4743" t="str">
        <f>"9780203969489"</f>
        <v>9780203969489</v>
      </c>
      <c r="E4743" t="s">
        <v>15</v>
      </c>
      <c r="F4743" t="s">
        <v>16</v>
      </c>
      <c r="G4743" s="1">
        <v>38792</v>
      </c>
      <c r="H4743" s="1">
        <v>39706</v>
      </c>
      <c r="I4743" t="s">
        <v>12</v>
      </c>
      <c r="J4743" t="s">
        <v>15513</v>
      </c>
    </row>
    <row r="4744" spans="1:10" x14ac:dyDescent="0.25">
      <c r="A4744">
        <v>356021</v>
      </c>
      <c r="B4744" t="s">
        <v>4951</v>
      </c>
      <c r="C4744" t="str">
        <f>"9780415395090"</f>
        <v>9780415395090</v>
      </c>
      <c r="D4744" t="str">
        <f>"9780203966396"</f>
        <v>9780203966396</v>
      </c>
      <c r="E4744" t="s">
        <v>15</v>
      </c>
      <c r="F4744" t="s">
        <v>16</v>
      </c>
      <c r="G4744" s="1">
        <v>39051</v>
      </c>
      <c r="H4744" s="1">
        <v>39703</v>
      </c>
      <c r="I4744" t="s">
        <v>12</v>
      </c>
      <c r="J4744" t="s">
        <v>15514</v>
      </c>
    </row>
    <row r="4745" spans="1:10" x14ac:dyDescent="0.25">
      <c r="A4745">
        <v>356022</v>
      </c>
      <c r="B4745" t="s">
        <v>4952</v>
      </c>
      <c r="C4745" t="str">
        <f>"9780415407700"</f>
        <v>9780415407700</v>
      </c>
      <c r="D4745" t="str">
        <f>"9780203966334"</f>
        <v>9780203966334</v>
      </c>
      <c r="E4745" t="s">
        <v>15</v>
      </c>
      <c r="F4745" t="s">
        <v>16</v>
      </c>
      <c r="G4745" s="1">
        <v>39057</v>
      </c>
      <c r="H4745" s="1">
        <v>39703</v>
      </c>
      <c r="I4745" t="s">
        <v>12</v>
      </c>
      <c r="J4745" t="s">
        <v>15515</v>
      </c>
    </row>
    <row r="4746" spans="1:10" x14ac:dyDescent="0.25">
      <c r="A4746">
        <v>356024</v>
      </c>
      <c r="B4746" t="s">
        <v>4953</v>
      </c>
      <c r="C4746" t="str">
        <f>"9780415348669"</f>
        <v>9780415348669</v>
      </c>
      <c r="D4746" t="str">
        <f>"9780203640975"</f>
        <v>9780203640975</v>
      </c>
      <c r="E4746" t="s">
        <v>144</v>
      </c>
      <c r="F4746" t="s">
        <v>153</v>
      </c>
      <c r="G4746" s="1">
        <v>39064</v>
      </c>
      <c r="H4746" s="1">
        <v>39706</v>
      </c>
      <c r="I4746" t="s">
        <v>12</v>
      </c>
      <c r="J4746" t="s">
        <v>15516</v>
      </c>
    </row>
    <row r="4747" spans="1:10" x14ac:dyDescent="0.25">
      <c r="A4747">
        <v>356027</v>
      </c>
      <c r="B4747" t="s">
        <v>4954</v>
      </c>
      <c r="C4747" t="str">
        <f>"9780415404143"</f>
        <v>9780415404143</v>
      </c>
      <c r="D4747" t="str">
        <f>"9780203967843"</f>
        <v>9780203967843</v>
      </c>
      <c r="E4747" t="s">
        <v>16</v>
      </c>
      <c r="F4747" t="s">
        <v>16</v>
      </c>
      <c r="G4747" s="1">
        <v>39056</v>
      </c>
      <c r="H4747" s="1">
        <v>39703</v>
      </c>
      <c r="I4747" t="s">
        <v>12</v>
      </c>
      <c r="J4747" t="s">
        <v>15517</v>
      </c>
    </row>
    <row r="4748" spans="1:10" x14ac:dyDescent="0.25">
      <c r="A4748">
        <v>356037</v>
      </c>
      <c r="B4748" t="s">
        <v>4955</v>
      </c>
      <c r="C4748" t="str">
        <f>"9780415385541"</f>
        <v>9780415385541</v>
      </c>
      <c r="D4748" t="str">
        <f>"9780203966891"</f>
        <v>9780203966891</v>
      </c>
      <c r="E4748" t="s">
        <v>15</v>
      </c>
      <c r="F4748" t="s">
        <v>16</v>
      </c>
      <c r="G4748" s="1">
        <v>39043</v>
      </c>
      <c r="H4748" s="1">
        <v>39703</v>
      </c>
      <c r="I4748" t="s">
        <v>12</v>
      </c>
      <c r="J4748" t="s">
        <v>15518</v>
      </c>
    </row>
    <row r="4749" spans="1:10" x14ac:dyDescent="0.25">
      <c r="A4749">
        <v>356039</v>
      </c>
      <c r="B4749" t="s">
        <v>4956</v>
      </c>
      <c r="C4749" t="str">
        <f>"9780415772020"</f>
        <v>9780415772020</v>
      </c>
      <c r="D4749" t="str">
        <f>"9780203933534"</f>
        <v>9780203933534</v>
      </c>
      <c r="E4749" t="s">
        <v>15</v>
      </c>
      <c r="F4749" t="s">
        <v>16</v>
      </c>
      <c r="G4749" s="1">
        <v>39226</v>
      </c>
      <c r="H4749" s="1">
        <v>39703</v>
      </c>
      <c r="I4749" t="s">
        <v>12</v>
      </c>
      <c r="J4749" t="s">
        <v>15519</v>
      </c>
    </row>
    <row r="4750" spans="1:10" x14ac:dyDescent="0.25">
      <c r="A4750">
        <v>356042</v>
      </c>
      <c r="B4750" t="s">
        <v>4957</v>
      </c>
      <c r="C4750" t="str">
        <f>"9780415361385"</f>
        <v>9780415361385</v>
      </c>
      <c r="D4750" t="str">
        <f>"9781134234127"</f>
        <v>9781134234127</v>
      </c>
      <c r="E4750" t="s">
        <v>15</v>
      </c>
      <c r="F4750" t="s">
        <v>16</v>
      </c>
      <c r="G4750" s="1">
        <v>38988</v>
      </c>
      <c r="H4750" s="1">
        <v>39706</v>
      </c>
      <c r="I4750" t="s">
        <v>12</v>
      </c>
      <c r="J4750" t="s">
        <v>15520</v>
      </c>
    </row>
    <row r="4751" spans="1:10" x14ac:dyDescent="0.25">
      <c r="A4751">
        <v>356043</v>
      </c>
      <c r="B4751" t="s">
        <v>4958</v>
      </c>
      <c r="C4751" t="str">
        <f>"9780415384575"</f>
        <v>9780415384575</v>
      </c>
      <c r="D4751" t="str">
        <f>"9780203085929"</f>
        <v>9780203085929</v>
      </c>
      <c r="E4751" t="s">
        <v>16</v>
      </c>
      <c r="F4751" t="s">
        <v>16</v>
      </c>
      <c r="G4751" s="1">
        <v>39072</v>
      </c>
      <c r="H4751" s="1">
        <v>39703</v>
      </c>
      <c r="I4751" t="s">
        <v>12</v>
      </c>
      <c r="J4751" t="s">
        <v>15521</v>
      </c>
    </row>
    <row r="4752" spans="1:10" x14ac:dyDescent="0.25">
      <c r="A4752">
        <v>356045</v>
      </c>
      <c r="B4752" t="s">
        <v>4959</v>
      </c>
      <c r="C4752" t="str">
        <f>"9780415392136"</f>
        <v>9780415392136</v>
      </c>
      <c r="D4752" t="str">
        <f>"9780203947128"</f>
        <v>9780203947128</v>
      </c>
      <c r="E4752" t="s">
        <v>15</v>
      </c>
      <c r="F4752" t="s">
        <v>16</v>
      </c>
      <c r="G4752" s="1">
        <v>39255</v>
      </c>
      <c r="H4752" s="1">
        <v>39706</v>
      </c>
      <c r="I4752" t="s">
        <v>12</v>
      </c>
      <c r="J4752" t="s">
        <v>15522</v>
      </c>
    </row>
    <row r="4753" spans="1:10" x14ac:dyDescent="0.25">
      <c r="A4753">
        <v>356047</v>
      </c>
      <c r="B4753" t="s">
        <v>4960</v>
      </c>
      <c r="C4753" t="str">
        <f>"9780415771887"</f>
        <v>9780415771887</v>
      </c>
      <c r="D4753" t="str">
        <f>"9780203967973"</f>
        <v>9780203967973</v>
      </c>
      <c r="E4753" t="s">
        <v>15</v>
      </c>
      <c r="F4753" t="s">
        <v>16</v>
      </c>
      <c r="G4753" s="1">
        <v>39070</v>
      </c>
      <c r="H4753" s="1">
        <v>39706</v>
      </c>
      <c r="I4753" t="s">
        <v>12</v>
      </c>
      <c r="J4753" t="s">
        <v>15523</v>
      </c>
    </row>
    <row r="4754" spans="1:10" x14ac:dyDescent="0.25">
      <c r="A4754">
        <v>356049</v>
      </c>
      <c r="B4754" t="s">
        <v>4961</v>
      </c>
      <c r="C4754" t="str">
        <f>"9780415701525"</f>
        <v>9780415701525</v>
      </c>
      <c r="D4754" t="str">
        <f>"9780203799321"</f>
        <v>9780203799321</v>
      </c>
      <c r="E4754" t="s">
        <v>15</v>
      </c>
      <c r="F4754" t="s">
        <v>16</v>
      </c>
      <c r="G4754" s="1">
        <v>39063</v>
      </c>
      <c r="H4754" s="1">
        <v>39706</v>
      </c>
      <c r="I4754" t="s">
        <v>12</v>
      </c>
      <c r="J4754" t="s">
        <v>15524</v>
      </c>
    </row>
    <row r="4755" spans="1:10" x14ac:dyDescent="0.25">
      <c r="A4755">
        <v>356050</v>
      </c>
      <c r="B4755" t="s">
        <v>4962</v>
      </c>
      <c r="C4755" t="str">
        <f>"9780415374842"</f>
        <v>9780415374842</v>
      </c>
      <c r="D4755" t="str">
        <f>"9780203969533"</f>
        <v>9780203969533</v>
      </c>
      <c r="E4755" t="s">
        <v>16</v>
      </c>
      <c r="F4755" t="s">
        <v>16</v>
      </c>
      <c r="G4755" s="1">
        <v>39020</v>
      </c>
      <c r="H4755" s="1">
        <v>39706</v>
      </c>
      <c r="I4755" t="s">
        <v>12</v>
      </c>
      <c r="J4755" t="s">
        <v>15525</v>
      </c>
    </row>
    <row r="4756" spans="1:10" x14ac:dyDescent="0.25">
      <c r="A4756">
        <v>356051</v>
      </c>
      <c r="B4756" t="s">
        <v>4963</v>
      </c>
      <c r="C4756" t="str">
        <f>"9780415357838"</f>
        <v>9780415357838</v>
      </c>
      <c r="D4756" t="str">
        <f>"9780203003893"</f>
        <v>9780203003893</v>
      </c>
      <c r="E4756" t="s">
        <v>15</v>
      </c>
      <c r="F4756" t="s">
        <v>16</v>
      </c>
      <c r="G4756" s="1">
        <v>39086</v>
      </c>
      <c r="H4756" s="1">
        <v>39706</v>
      </c>
      <c r="I4756" t="s">
        <v>12</v>
      </c>
      <c r="J4756" t="s">
        <v>15526</v>
      </c>
    </row>
    <row r="4757" spans="1:10" x14ac:dyDescent="0.25">
      <c r="A4757">
        <v>356060</v>
      </c>
      <c r="B4757" t="s">
        <v>4964</v>
      </c>
      <c r="C4757" t="str">
        <f>"9780415368339"</f>
        <v>9780415368339</v>
      </c>
      <c r="D4757" t="str">
        <f>"9780203028209"</f>
        <v>9780203028209</v>
      </c>
      <c r="E4757" t="s">
        <v>15</v>
      </c>
      <c r="F4757" t="s">
        <v>16</v>
      </c>
      <c r="G4757" s="1">
        <v>39219</v>
      </c>
      <c r="H4757" s="1">
        <v>39706</v>
      </c>
      <c r="I4757" t="s">
        <v>12</v>
      </c>
      <c r="J4757" t="s">
        <v>15527</v>
      </c>
    </row>
    <row r="4758" spans="1:10" x14ac:dyDescent="0.25">
      <c r="A4758">
        <v>356061</v>
      </c>
      <c r="B4758" t="s">
        <v>4965</v>
      </c>
      <c r="C4758" t="str">
        <f>"9780415401845"</f>
        <v>9780415401845</v>
      </c>
      <c r="D4758" t="str">
        <f>"9780203965719"</f>
        <v>9780203965719</v>
      </c>
      <c r="E4758" t="s">
        <v>16</v>
      </c>
      <c r="F4758" t="s">
        <v>16</v>
      </c>
      <c r="G4758" s="1">
        <v>39057</v>
      </c>
      <c r="H4758" s="1">
        <v>39703</v>
      </c>
      <c r="I4758" t="s">
        <v>12</v>
      </c>
      <c r="J4758" t="s">
        <v>15528</v>
      </c>
    </row>
    <row r="4759" spans="1:10" x14ac:dyDescent="0.25">
      <c r="A4759">
        <v>356065</v>
      </c>
      <c r="B4759" t="s">
        <v>4966</v>
      </c>
      <c r="C4759" t="str">
        <f>"9780415403511"</f>
        <v>9780415403511</v>
      </c>
      <c r="D4759" t="str">
        <f>"9780203964620"</f>
        <v>9780203964620</v>
      </c>
      <c r="E4759" t="s">
        <v>15</v>
      </c>
      <c r="F4759" t="s">
        <v>16</v>
      </c>
      <c r="G4759" s="1">
        <v>39212</v>
      </c>
      <c r="H4759" s="1">
        <v>39703</v>
      </c>
      <c r="I4759" t="s">
        <v>12</v>
      </c>
      <c r="J4759" t="s">
        <v>15529</v>
      </c>
    </row>
    <row r="4760" spans="1:10" x14ac:dyDescent="0.25">
      <c r="A4760">
        <v>356067</v>
      </c>
      <c r="B4760" t="s">
        <v>4967</v>
      </c>
      <c r="C4760" t="str">
        <f>"9780415424660"</f>
        <v>9780415424660</v>
      </c>
      <c r="D4760" t="str">
        <f>"9780203961070"</f>
        <v>9780203961070</v>
      </c>
      <c r="E4760" t="s">
        <v>15</v>
      </c>
      <c r="F4760" t="s">
        <v>16</v>
      </c>
      <c r="G4760" s="1">
        <v>39252</v>
      </c>
      <c r="H4760" s="1">
        <v>39703</v>
      </c>
      <c r="I4760" t="s">
        <v>12</v>
      </c>
      <c r="J4760" t="s">
        <v>15530</v>
      </c>
    </row>
    <row r="4761" spans="1:10" x14ac:dyDescent="0.25">
      <c r="A4761">
        <v>356068</v>
      </c>
      <c r="B4761" t="s">
        <v>4968</v>
      </c>
      <c r="C4761" t="str">
        <f>"9780415359108"</f>
        <v>9780415359108</v>
      </c>
      <c r="D4761" t="str">
        <f>"9780203007037"</f>
        <v>9780203007037</v>
      </c>
      <c r="E4761" t="s">
        <v>16</v>
      </c>
      <c r="F4761" t="s">
        <v>16</v>
      </c>
      <c r="G4761" s="1">
        <v>39006</v>
      </c>
      <c r="H4761" s="1">
        <v>39703</v>
      </c>
      <c r="I4761" t="s">
        <v>12</v>
      </c>
      <c r="J4761" t="s">
        <v>15531</v>
      </c>
    </row>
    <row r="4762" spans="1:10" x14ac:dyDescent="0.25">
      <c r="A4762">
        <v>356073</v>
      </c>
      <c r="B4762" t="s">
        <v>4969</v>
      </c>
      <c r="C4762" t="str">
        <f>"9780415346559"</f>
        <v>9780415346559</v>
      </c>
      <c r="D4762" t="str">
        <f>"9780203799673"</f>
        <v>9780203799673</v>
      </c>
      <c r="E4762" t="s">
        <v>15</v>
      </c>
      <c r="F4762" t="s">
        <v>16</v>
      </c>
      <c r="G4762" s="1">
        <v>39064</v>
      </c>
      <c r="H4762" s="1">
        <v>39703</v>
      </c>
      <c r="I4762" t="s">
        <v>12</v>
      </c>
      <c r="J4762" t="s">
        <v>15532</v>
      </c>
    </row>
    <row r="4763" spans="1:10" x14ac:dyDescent="0.25">
      <c r="A4763">
        <v>356074</v>
      </c>
      <c r="B4763" t="s">
        <v>4970</v>
      </c>
      <c r="C4763" t="str">
        <f>"9780415328661"</f>
        <v>9780415328661</v>
      </c>
      <c r="D4763" t="str">
        <f>"9780203390962"</f>
        <v>9780203390962</v>
      </c>
      <c r="E4763" t="s">
        <v>16</v>
      </c>
      <c r="F4763" t="s">
        <v>16</v>
      </c>
      <c r="G4763" s="1">
        <v>39063</v>
      </c>
      <c r="H4763" s="1">
        <v>39703</v>
      </c>
      <c r="I4763" t="s">
        <v>12</v>
      </c>
      <c r="J4763" t="s">
        <v>15533</v>
      </c>
    </row>
    <row r="4764" spans="1:10" x14ac:dyDescent="0.25">
      <c r="A4764">
        <v>356075</v>
      </c>
      <c r="B4764" t="s">
        <v>4971</v>
      </c>
      <c r="C4764" t="str">
        <f>"9780415289740"</f>
        <v>9780415289740</v>
      </c>
      <c r="D4764" t="str">
        <f>"9780203968437"</f>
        <v>9780203968437</v>
      </c>
      <c r="E4764" t="s">
        <v>16</v>
      </c>
      <c r="F4764" t="s">
        <v>16</v>
      </c>
      <c r="G4764" s="1">
        <v>41773</v>
      </c>
      <c r="H4764" s="1">
        <v>39069</v>
      </c>
      <c r="I4764" t="s">
        <v>12</v>
      </c>
      <c r="J4764" t="s">
        <v>15534</v>
      </c>
    </row>
    <row r="4765" spans="1:10" x14ac:dyDescent="0.25">
      <c r="A4765">
        <v>356076</v>
      </c>
      <c r="B4765" t="s">
        <v>4972</v>
      </c>
      <c r="C4765" t="str">
        <f>"9780415770552"</f>
        <v>9780415770552</v>
      </c>
      <c r="D4765" t="str">
        <f>"9780203964026"</f>
        <v>9780203964026</v>
      </c>
      <c r="E4765" t="s">
        <v>15</v>
      </c>
      <c r="F4765" t="s">
        <v>16</v>
      </c>
      <c r="G4765" s="1">
        <v>39239</v>
      </c>
      <c r="H4765" s="1">
        <v>41877</v>
      </c>
      <c r="I4765" t="s">
        <v>12</v>
      </c>
      <c r="J4765" t="s">
        <v>15535</v>
      </c>
    </row>
    <row r="4766" spans="1:10" x14ac:dyDescent="0.25">
      <c r="A4766">
        <v>356078</v>
      </c>
      <c r="B4766" t="s">
        <v>4973</v>
      </c>
      <c r="C4766" t="str">
        <f>"9780415363945"</f>
        <v>9780415363945</v>
      </c>
      <c r="D4766" t="str">
        <f>"9780203015148"</f>
        <v>9780203015148</v>
      </c>
      <c r="E4766" t="s">
        <v>15</v>
      </c>
      <c r="F4766" t="s">
        <v>16</v>
      </c>
      <c r="G4766" s="1">
        <v>39218</v>
      </c>
      <c r="H4766" s="1">
        <v>39706</v>
      </c>
      <c r="I4766" t="s">
        <v>12</v>
      </c>
      <c r="J4766" t="s">
        <v>15536</v>
      </c>
    </row>
    <row r="4767" spans="1:10" x14ac:dyDescent="0.25">
      <c r="A4767">
        <v>356081</v>
      </c>
      <c r="B4767" t="s">
        <v>4974</v>
      </c>
      <c r="C4767" t="str">
        <f>"9780415402873"</f>
        <v>9780415402873</v>
      </c>
      <c r="D4767" t="str">
        <f>"9780203968208"</f>
        <v>9780203968208</v>
      </c>
      <c r="E4767" t="s">
        <v>15</v>
      </c>
      <c r="F4767" t="s">
        <v>16</v>
      </c>
      <c r="G4767" s="1">
        <v>39057</v>
      </c>
      <c r="H4767" s="1">
        <v>39706</v>
      </c>
      <c r="I4767" t="s">
        <v>12</v>
      </c>
      <c r="J4767" t="s">
        <v>15537</v>
      </c>
    </row>
    <row r="4768" spans="1:10" x14ac:dyDescent="0.25">
      <c r="A4768">
        <v>356082</v>
      </c>
      <c r="B4768" t="s">
        <v>4975</v>
      </c>
      <c r="C4768" t="str">
        <f>"9780415356411"</f>
        <v>9780415356411</v>
      </c>
      <c r="D4768" t="str">
        <f>"9780203969670"</f>
        <v>9780203969670</v>
      </c>
      <c r="E4768" t="s">
        <v>15</v>
      </c>
      <c r="F4768" t="s">
        <v>16</v>
      </c>
      <c r="G4768" s="1">
        <v>38819</v>
      </c>
      <c r="H4768" s="1">
        <v>39703</v>
      </c>
      <c r="I4768" t="s">
        <v>12</v>
      </c>
      <c r="J4768" t="s">
        <v>15538</v>
      </c>
    </row>
    <row r="4769" spans="1:10" x14ac:dyDescent="0.25">
      <c r="A4769">
        <v>356083</v>
      </c>
      <c r="B4769" t="s">
        <v>4976</v>
      </c>
      <c r="C4769" t="str">
        <f>"9781844720279"</f>
        <v>9781844720279</v>
      </c>
      <c r="D4769" t="str">
        <f>"9780203940518"</f>
        <v>9780203940518</v>
      </c>
      <c r="E4769" t="s">
        <v>15</v>
      </c>
      <c r="F4769" t="s">
        <v>1019</v>
      </c>
      <c r="G4769" s="1">
        <v>39022</v>
      </c>
      <c r="H4769" s="1">
        <v>39703</v>
      </c>
      <c r="I4769" t="s">
        <v>12</v>
      </c>
      <c r="J4769" t="s">
        <v>15539</v>
      </c>
    </row>
    <row r="4770" spans="1:10" x14ac:dyDescent="0.25">
      <c r="A4770">
        <v>356085</v>
      </c>
      <c r="B4770" t="s">
        <v>4977</v>
      </c>
      <c r="C4770" t="str">
        <f>"9780415400763"</f>
        <v>9780415400763</v>
      </c>
      <c r="D4770" t="str">
        <f>"9780203966761"</f>
        <v>9780203966761</v>
      </c>
      <c r="E4770" t="s">
        <v>15</v>
      </c>
      <c r="F4770" t="s">
        <v>16</v>
      </c>
      <c r="G4770" s="1">
        <v>39021</v>
      </c>
      <c r="H4770" s="1">
        <v>39703</v>
      </c>
      <c r="I4770" t="s">
        <v>12</v>
      </c>
      <c r="J4770" t="s">
        <v>15540</v>
      </c>
    </row>
    <row r="4771" spans="1:10" x14ac:dyDescent="0.25">
      <c r="A4771">
        <v>356086</v>
      </c>
      <c r="B4771" t="s">
        <v>4978</v>
      </c>
      <c r="C4771" t="str">
        <f>"9780415770989"</f>
        <v>9780415770989</v>
      </c>
      <c r="D4771" t="str">
        <f>"9780203088913"</f>
        <v>9780203088913</v>
      </c>
      <c r="E4771" t="s">
        <v>15</v>
      </c>
      <c r="F4771" t="s">
        <v>16</v>
      </c>
      <c r="G4771" s="1">
        <v>39234</v>
      </c>
      <c r="H4771" s="1">
        <v>41877</v>
      </c>
      <c r="I4771" t="s">
        <v>12</v>
      </c>
      <c r="J4771" t="s">
        <v>15541</v>
      </c>
    </row>
    <row r="4772" spans="1:10" x14ac:dyDescent="0.25">
      <c r="A4772">
        <v>356087</v>
      </c>
      <c r="B4772" t="s">
        <v>4979</v>
      </c>
      <c r="C4772" t="str">
        <f>"9780415419895"</f>
        <v>9780415419895</v>
      </c>
      <c r="D4772" t="str">
        <f>"9780203945964"</f>
        <v>9780203945964</v>
      </c>
      <c r="E4772" t="s">
        <v>15</v>
      </c>
      <c r="F4772" t="s">
        <v>16</v>
      </c>
      <c r="G4772" s="1">
        <v>39251</v>
      </c>
      <c r="H4772" s="1">
        <v>39703</v>
      </c>
      <c r="I4772" t="s">
        <v>12</v>
      </c>
      <c r="J4772" t="s">
        <v>15542</v>
      </c>
    </row>
    <row r="4773" spans="1:10" x14ac:dyDescent="0.25">
      <c r="A4773">
        <v>356088</v>
      </c>
      <c r="B4773" t="s">
        <v>4980</v>
      </c>
      <c r="C4773" t="str">
        <f>"9780415447775"</f>
        <v>9780415447775</v>
      </c>
      <c r="D4773" t="str">
        <f>"9780203945209"</f>
        <v>9780203945209</v>
      </c>
      <c r="E4773" t="s">
        <v>15</v>
      </c>
      <c r="F4773" t="s">
        <v>1019</v>
      </c>
      <c r="G4773" s="1">
        <v>39244</v>
      </c>
      <c r="H4773" s="1">
        <v>39706</v>
      </c>
      <c r="I4773" t="s">
        <v>12</v>
      </c>
      <c r="J4773" t="s">
        <v>15543</v>
      </c>
    </row>
    <row r="4774" spans="1:10" x14ac:dyDescent="0.25">
      <c r="A4774">
        <v>356097</v>
      </c>
      <c r="B4774" t="s">
        <v>4981</v>
      </c>
      <c r="C4774" t="str">
        <f>"9780415413589"</f>
        <v>9780415413589</v>
      </c>
      <c r="D4774" t="str">
        <f>"9780203961131"</f>
        <v>9780203961131</v>
      </c>
      <c r="E4774" t="s">
        <v>15</v>
      </c>
      <c r="F4774" t="s">
        <v>16</v>
      </c>
      <c r="G4774" s="1">
        <v>39279</v>
      </c>
      <c r="H4774" s="1">
        <v>39703</v>
      </c>
      <c r="I4774" t="s">
        <v>12</v>
      </c>
      <c r="J4774" t="s">
        <v>15544</v>
      </c>
    </row>
    <row r="4775" spans="1:10" x14ac:dyDescent="0.25">
      <c r="A4775">
        <v>356099</v>
      </c>
      <c r="B4775" t="s">
        <v>4982</v>
      </c>
      <c r="C4775" t="str">
        <f>"9780415339469"</f>
        <v>9780415339469</v>
      </c>
      <c r="D4775" t="str">
        <f>"9780203449066"</f>
        <v>9780203449066</v>
      </c>
      <c r="E4775" t="s">
        <v>15</v>
      </c>
      <c r="F4775" t="s">
        <v>153</v>
      </c>
      <c r="G4775" s="1">
        <v>39065</v>
      </c>
      <c r="H4775" s="1">
        <v>39703</v>
      </c>
      <c r="I4775" t="s">
        <v>12</v>
      </c>
      <c r="J4775" t="s">
        <v>15545</v>
      </c>
    </row>
    <row r="4776" spans="1:10" x14ac:dyDescent="0.25">
      <c r="A4776">
        <v>356103</v>
      </c>
      <c r="B4776" t="s">
        <v>4983</v>
      </c>
      <c r="C4776" t="str">
        <f>"9780415769938"</f>
        <v>9780415769938</v>
      </c>
      <c r="D4776" t="str">
        <f>"9780203967966"</f>
        <v>9780203967966</v>
      </c>
      <c r="E4776" t="s">
        <v>15</v>
      </c>
      <c r="F4776" t="s">
        <v>16</v>
      </c>
      <c r="G4776" s="1">
        <v>39056</v>
      </c>
      <c r="H4776" s="1">
        <v>39703</v>
      </c>
      <c r="I4776" t="s">
        <v>12</v>
      </c>
      <c r="J4776" t="s">
        <v>15546</v>
      </c>
    </row>
    <row r="4777" spans="1:10" x14ac:dyDescent="0.25">
      <c r="A4777">
        <v>356111</v>
      </c>
      <c r="B4777" t="s">
        <v>4984</v>
      </c>
      <c r="C4777" t="str">
        <f>"9780415286527"</f>
        <v>9780415286527</v>
      </c>
      <c r="D4777" t="str">
        <f>"9780203946954"</f>
        <v>9780203946954</v>
      </c>
      <c r="E4777" t="s">
        <v>15</v>
      </c>
      <c r="F4777" t="s">
        <v>16</v>
      </c>
      <c r="G4777" s="1">
        <v>39255</v>
      </c>
      <c r="H4777" s="1">
        <v>39703</v>
      </c>
      <c r="I4777" t="s">
        <v>12</v>
      </c>
      <c r="J4777" t="s">
        <v>15547</v>
      </c>
    </row>
    <row r="4778" spans="1:10" x14ac:dyDescent="0.25">
      <c r="A4778">
        <v>356112</v>
      </c>
      <c r="B4778" t="s">
        <v>4985</v>
      </c>
      <c r="C4778" t="str">
        <f>"9780415385961"</f>
        <v>9780415385961</v>
      </c>
      <c r="D4778" t="str">
        <f>"9780203966204"</f>
        <v>9780203966204</v>
      </c>
      <c r="E4778" t="s">
        <v>15</v>
      </c>
      <c r="F4778" t="s">
        <v>16</v>
      </c>
      <c r="G4778" s="1">
        <v>39007</v>
      </c>
      <c r="H4778" s="1">
        <v>39703</v>
      </c>
      <c r="I4778" t="s">
        <v>12</v>
      </c>
      <c r="J4778" t="s">
        <v>15548</v>
      </c>
    </row>
    <row r="4779" spans="1:10" x14ac:dyDescent="0.25">
      <c r="A4779">
        <v>356113</v>
      </c>
      <c r="B4779" t="s">
        <v>4986</v>
      </c>
      <c r="C4779" t="str">
        <f>"9780415394673"</f>
        <v>9780415394673</v>
      </c>
      <c r="D4779" t="str">
        <f>"9780203967119"</f>
        <v>9780203967119</v>
      </c>
      <c r="E4779" t="s">
        <v>15</v>
      </c>
      <c r="F4779" t="s">
        <v>16</v>
      </c>
      <c r="G4779" s="1">
        <v>39048</v>
      </c>
      <c r="H4779" s="1">
        <v>39706</v>
      </c>
      <c r="I4779" t="s">
        <v>12</v>
      </c>
      <c r="J4779" t="s">
        <v>15549</v>
      </c>
    </row>
    <row r="4780" spans="1:10" x14ac:dyDescent="0.25">
      <c r="A4780">
        <v>356114</v>
      </c>
      <c r="B4780" t="s">
        <v>4987</v>
      </c>
      <c r="C4780" t="str">
        <f>"9780415357883"</f>
        <v>9780415357883</v>
      </c>
      <c r="D4780" t="str">
        <f>"9780203003954"</f>
        <v>9780203003954</v>
      </c>
      <c r="E4780" t="s">
        <v>15</v>
      </c>
      <c r="F4780" t="s">
        <v>16</v>
      </c>
      <c r="G4780" s="1">
        <v>39136</v>
      </c>
      <c r="H4780" s="1">
        <v>39703</v>
      </c>
      <c r="I4780" t="s">
        <v>12</v>
      </c>
      <c r="J4780" t="s">
        <v>15550</v>
      </c>
    </row>
    <row r="4781" spans="1:10" x14ac:dyDescent="0.25">
      <c r="A4781">
        <v>356117</v>
      </c>
      <c r="B4781" t="s">
        <v>4988</v>
      </c>
      <c r="C4781" t="str">
        <f>"9780415363259"</f>
        <v>9780415363259</v>
      </c>
      <c r="D4781" t="str">
        <f>"9780203013625"</f>
        <v>9780203013625</v>
      </c>
      <c r="E4781" t="s">
        <v>15</v>
      </c>
      <c r="F4781" t="s">
        <v>16</v>
      </c>
      <c r="G4781" s="1">
        <v>39139</v>
      </c>
      <c r="H4781" s="1">
        <v>39703</v>
      </c>
      <c r="I4781" t="s">
        <v>12</v>
      </c>
      <c r="J4781" t="s">
        <v>15551</v>
      </c>
    </row>
    <row r="4782" spans="1:10" x14ac:dyDescent="0.25">
      <c r="A4782">
        <v>356118</v>
      </c>
      <c r="B4782" t="s">
        <v>4989</v>
      </c>
      <c r="C4782" t="str">
        <f>"9780415333412"</f>
        <v>9780415333412</v>
      </c>
      <c r="D4782" t="str">
        <f>"9780203413050"</f>
        <v>9780203413050</v>
      </c>
      <c r="E4782" t="s">
        <v>15</v>
      </c>
      <c r="F4782" t="s">
        <v>16</v>
      </c>
      <c r="G4782" s="1">
        <v>39020</v>
      </c>
      <c r="H4782" s="1">
        <v>39703</v>
      </c>
      <c r="I4782" t="s">
        <v>12</v>
      </c>
      <c r="J4782" t="s">
        <v>15552</v>
      </c>
    </row>
    <row r="4783" spans="1:10" x14ac:dyDescent="0.25">
      <c r="A4783">
        <v>356120</v>
      </c>
      <c r="B4783" t="s">
        <v>4990</v>
      </c>
      <c r="C4783" t="str">
        <f>"9780415424202"</f>
        <v>9780415424202</v>
      </c>
      <c r="D4783" t="str">
        <f>"9780203962800"</f>
        <v>9780203962800</v>
      </c>
      <c r="E4783" t="s">
        <v>15</v>
      </c>
      <c r="F4783" t="s">
        <v>16</v>
      </c>
      <c r="G4783" s="1">
        <v>39219</v>
      </c>
      <c r="H4783" s="1">
        <v>39703</v>
      </c>
      <c r="I4783" t="s">
        <v>12</v>
      </c>
      <c r="J4783" t="s">
        <v>15553</v>
      </c>
    </row>
    <row r="4784" spans="1:10" x14ac:dyDescent="0.25">
      <c r="A4784">
        <v>356124</v>
      </c>
      <c r="B4784" t="s">
        <v>4991</v>
      </c>
      <c r="C4784" t="str">
        <f>"9780415396288"</f>
        <v>9780415396288</v>
      </c>
      <c r="D4784" t="str">
        <f>"9780203964194"</f>
        <v>9780203964194</v>
      </c>
      <c r="E4784" t="s">
        <v>15</v>
      </c>
      <c r="F4784" t="s">
        <v>16</v>
      </c>
      <c r="G4784" s="1">
        <v>39190</v>
      </c>
      <c r="H4784" s="1">
        <v>39703</v>
      </c>
      <c r="I4784" t="s">
        <v>12</v>
      </c>
      <c r="J4784" t="s">
        <v>15554</v>
      </c>
    </row>
    <row r="4785" spans="1:10" x14ac:dyDescent="0.25">
      <c r="A4785">
        <v>356133</v>
      </c>
      <c r="B4785" t="s">
        <v>4992</v>
      </c>
      <c r="C4785" t="str">
        <f>"9780415420471"</f>
        <v>9780415420471</v>
      </c>
      <c r="D4785" t="str">
        <f>"9780203089033"</f>
        <v>9780203089033</v>
      </c>
      <c r="E4785" t="s">
        <v>15</v>
      </c>
      <c r="F4785" t="s">
        <v>16</v>
      </c>
      <c r="G4785" s="1">
        <v>39237</v>
      </c>
      <c r="H4785" s="1">
        <v>41877</v>
      </c>
      <c r="I4785" t="s">
        <v>12</v>
      </c>
      <c r="J4785" t="s">
        <v>15555</v>
      </c>
    </row>
    <row r="4786" spans="1:10" x14ac:dyDescent="0.25">
      <c r="A4786">
        <v>356137</v>
      </c>
      <c r="B4786" t="s">
        <v>4993</v>
      </c>
      <c r="C4786" t="str">
        <f>"9780415417754"</f>
        <v>9780415417754</v>
      </c>
      <c r="D4786" t="str">
        <f>"9780203934029"</f>
        <v>9780203934029</v>
      </c>
      <c r="E4786" t="s">
        <v>15</v>
      </c>
      <c r="F4786" t="s">
        <v>16</v>
      </c>
      <c r="G4786" s="1">
        <v>39274</v>
      </c>
      <c r="H4786" s="1">
        <v>41877</v>
      </c>
      <c r="I4786" t="s">
        <v>12</v>
      </c>
      <c r="J4786" t="s">
        <v>15556</v>
      </c>
    </row>
    <row r="4787" spans="1:10" x14ac:dyDescent="0.25">
      <c r="A4787">
        <v>356140</v>
      </c>
      <c r="B4787" t="s">
        <v>4994</v>
      </c>
      <c r="C4787" t="str">
        <f>"9780415368322"</f>
        <v>9780415368322</v>
      </c>
      <c r="D4787" t="str">
        <f>"9780203028179"</f>
        <v>9780203028179</v>
      </c>
      <c r="E4787" t="s">
        <v>15</v>
      </c>
      <c r="F4787" t="s">
        <v>16</v>
      </c>
      <c r="G4787" s="1">
        <v>39041</v>
      </c>
      <c r="H4787" s="1">
        <v>39703</v>
      </c>
      <c r="I4787" t="s">
        <v>12</v>
      </c>
      <c r="J4787" t="s">
        <v>15557</v>
      </c>
    </row>
    <row r="4788" spans="1:10" x14ac:dyDescent="0.25">
      <c r="A4788">
        <v>356145</v>
      </c>
      <c r="B4788" t="s">
        <v>4995</v>
      </c>
      <c r="C4788" t="str">
        <f>"9780415409834"</f>
        <v>9780415409834</v>
      </c>
      <c r="D4788" t="str">
        <f>"9780203947005"</f>
        <v>9780203947005</v>
      </c>
      <c r="E4788" t="s">
        <v>15</v>
      </c>
      <c r="F4788" t="s">
        <v>16</v>
      </c>
      <c r="G4788" s="1">
        <v>39281</v>
      </c>
      <c r="H4788" s="1">
        <v>39706</v>
      </c>
      <c r="I4788" t="s">
        <v>12</v>
      </c>
      <c r="J4788" t="s">
        <v>15558</v>
      </c>
    </row>
    <row r="4789" spans="1:10" x14ac:dyDescent="0.25">
      <c r="A4789">
        <v>356147</v>
      </c>
      <c r="B4789" t="s">
        <v>4996</v>
      </c>
      <c r="C4789" t="str">
        <f>"9780415329255"</f>
        <v>9780415329255</v>
      </c>
      <c r="D4789" t="str">
        <f>"9780203391280"</f>
        <v>9780203391280</v>
      </c>
      <c r="E4789" t="s">
        <v>15</v>
      </c>
      <c r="F4789" t="s">
        <v>16</v>
      </c>
      <c r="G4789" s="1">
        <v>39055</v>
      </c>
      <c r="H4789" s="1">
        <v>39706</v>
      </c>
      <c r="I4789" t="s">
        <v>12</v>
      </c>
      <c r="J4789" t="s">
        <v>15559</v>
      </c>
    </row>
    <row r="4790" spans="1:10" x14ac:dyDescent="0.25">
      <c r="A4790">
        <v>356148</v>
      </c>
      <c r="B4790" t="s">
        <v>4997</v>
      </c>
      <c r="C4790" t="str">
        <f>"9780415351843"</f>
        <v>9780415351843</v>
      </c>
      <c r="D4790" t="str">
        <f>"9780203698570"</f>
        <v>9780203698570</v>
      </c>
      <c r="E4790" t="s">
        <v>15</v>
      </c>
      <c r="F4790" t="s">
        <v>16</v>
      </c>
      <c r="G4790" s="1">
        <v>39279</v>
      </c>
      <c r="H4790" s="1">
        <v>39706</v>
      </c>
      <c r="I4790" t="s">
        <v>12</v>
      </c>
      <c r="J4790" t="s">
        <v>15560</v>
      </c>
    </row>
    <row r="4791" spans="1:10" x14ac:dyDescent="0.25">
      <c r="A4791">
        <v>356152</v>
      </c>
      <c r="B4791" t="s">
        <v>4998</v>
      </c>
      <c r="C4791" t="str">
        <f>"9780415414845"</f>
        <v>9780415414845</v>
      </c>
      <c r="D4791" t="str">
        <f>"9780203967720"</f>
        <v>9780203967720</v>
      </c>
      <c r="E4791" t="s">
        <v>15</v>
      </c>
      <c r="F4791" t="s">
        <v>16</v>
      </c>
      <c r="G4791" s="1">
        <v>39020</v>
      </c>
      <c r="H4791" s="1">
        <v>39703</v>
      </c>
      <c r="I4791" t="s">
        <v>12</v>
      </c>
      <c r="J4791" t="s">
        <v>15561</v>
      </c>
    </row>
    <row r="4792" spans="1:10" x14ac:dyDescent="0.25">
      <c r="A4792">
        <v>356157</v>
      </c>
      <c r="B4792" t="s">
        <v>4999</v>
      </c>
      <c r="C4792" t="str">
        <f>"9780415401258"</f>
        <v>9780415401258</v>
      </c>
      <c r="D4792" t="str">
        <f>"9780203962022"</f>
        <v>9780203962022</v>
      </c>
      <c r="E4792" t="s">
        <v>15</v>
      </c>
      <c r="F4792" t="s">
        <v>16</v>
      </c>
      <c r="G4792" s="1">
        <v>39252</v>
      </c>
      <c r="H4792" s="1">
        <v>39706</v>
      </c>
      <c r="I4792" t="s">
        <v>12</v>
      </c>
      <c r="J4792" t="s">
        <v>15562</v>
      </c>
    </row>
    <row r="4793" spans="1:10" x14ac:dyDescent="0.25">
      <c r="A4793">
        <v>356164</v>
      </c>
      <c r="B4793" t="s">
        <v>5000</v>
      </c>
      <c r="C4793" t="str">
        <f>"9780415771474"</f>
        <v>9780415771474</v>
      </c>
      <c r="D4793" t="str">
        <f>"9780203960912"</f>
        <v>9780203960912</v>
      </c>
      <c r="E4793" t="s">
        <v>15</v>
      </c>
      <c r="F4793" t="s">
        <v>16</v>
      </c>
      <c r="G4793" s="1">
        <v>39279</v>
      </c>
      <c r="H4793" s="1">
        <v>39703</v>
      </c>
      <c r="I4793" t="s">
        <v>12</v>
      </c>
      <c r="J4793" t="s">
        <v>15563</v>
      </c>
    </row>
    <row r="4794" spans="1:10" x14ac:dyDescent="0.25">
      <c r="A4794">
        <v>356168</v>
      </c>
      <c r="B4794" t="s">
        <v>5001</v>
      </c>
      <c r="C4794" t="str">
        <f>"9780415287296"</f>
        <v>9780415287296</v>
      </c>
      <c r="D4794" t="str">
        <f>"9780203964774"</f>
        <v>9780203964774</v>
      </c>
      <c r="E4794" t="s">
        <v>15</v>
      </c>
      <c r="F4794" t="s">
        <v>16</v>
      </c>
      <c r="G4794" s="1">
        <v>38930</v>
      </c>
      <c r="H4794" s="1">
        <v>39703</v>
      </c>
      <c r="I4794" t="s">
        <v>12</v>
      </c>
      <c r="J4794" t="s">
        <v>15564</v>
      </c>
    </row>
    <row r="4795" spans="1:10" x14ac:dyDescent="0.25">
      <c r="A4795">
        <v>356176</v>
      </c>
      <c r="B4795" t="s">
        <v>5002</v>
      </c>
      <c r="C4795" t="str">
        <f>"9780415298810"</f>
        <v>9780415298810</v>
      </c>
      <c r="D4795" t="str">
        <f>"9780203966853"</f>
        <v>9780203966853</v>
      </c>
      <c r="E4795" t="s">
        <v>15</v>
      </c>
      <c r="F4795" t="s">
        <v>16</v>
      </c>
      <c r="G4795" s="1">
        <v>39057</v>
      </c>
      <c r="H4795" s="1">
        <v>39703</v>
      </c>
      <c r="I4795" t="s">
        <v>12</v>
      </c>
      <c r="J4795" t="s">
        <v>15565</v>
      </c>
    </row>
    <row r="4796" spans="1:10" x14ac:dyDescent="0.25">
      <c r="A4796">
        <v>356181</v>
      </c>
      <c r="B4796" t="s">
        <v>5003</v>
      </c>
      <c r="C4796" t="str">
        <f>"9780415701815"</f>
        <v>9780415701815</v>
      </c>
      <c r="D4796" t="str">
        <f>"9780203968192"</f>
        <v>9780203968192</v>
      </c>
      <c r="E4796" t="s">
        <v>15</v>
      </c>
      <c r="F4796" t="s">
        <v>16</v>
      </c>
      <c r="G4796" s="1">
        <v>39057</v>
      </c>
      <c r="H4796" s="1">
        <v>39703</v>
      </c>
      <c r="I4796" t="s">
        <v>12</v>
      </c>
      <c r="J4796" t="s">
        <v>15566</v>
      </c>
    </row>
    <row r="4797" spans="1:10" x14ac:dyDescent="0.25">
      <c r="A4797">
        <v>356184</v>
      </c>
      <c r="B4797" t="s">
        <v>5004</v>
      </c>
      <c r="C4797" t="str">
        <f>"9780415399593"</f>
        <v>9780415399593</v>
      </c>
      <c r="D4797" t="str">
        <f>"9780203968178"</f>
        <v>9780203968178</v>
      </c>
      <c r="E4797" t="s">
        <v>15</v>
      </c>
      <c r="F4797" t="s">
        <v>16</v>
      </c>
      <c r="G4797" s="1">
        <v>39064</v>
      </c>
      <c r="H4797" s="1">
        <v>39703</v>
      </c>
      <c r="I4797" t="s">
        <v>12</v>
      </c>
      <c r="J4797" t="s">
        <v>15567</v>
      </c>
    </row>
    <row r="4798" spans="1:10" x14ac:dyDescent="0.25">
      <c r="A4798">
        <v>356196</v>
      </c>
      <c r="B4798" t="s">
        <v>5005</v>
      </c>
      <c r="C4798" t="str">
        <f>"9780415411721"</f>
        <v>9780415411721</v>
      </c>
      <c r="D4798" t="str">
        <f>"9780203962855"</f>
        <v>9780203962855</v>
      </c>
      <c r="E4798" t="s">
        <v>16</v>
      </c>
      <c r="F4798" t="s">
        <v>16</v>
      </c>
      <c r="G4798" s="1">
        <v>39183</v>
      </c>
      <c r="H4798" s="1">
        <v>39703</v>
      </c>
      <c r="I4798" t="s">
        <v>12</v>
      </c>
      <c r="J4798" t="s">
        <v>15568</v>
      </c>
    </row>
    <row r="4799" spans="1:10" x14ac:dyDescent="0.25">
      <c r="A4799">
        <v>356200</v>
      </c>
      <c r="B4799" t="s">
        <v>5006</v>
      </c>
      <c r="C4799" t="str">
        <f>"9780415412568"</f>
        <v>9780415412568</v>
      </c>
      <c r="D4799" t="str">
        <f>"9780203482803"</f>
        <v>9780203482803</v>
      </c>
      <c r="E4799" t="s">
        <v>15</v>
      </c>
      <c r="F4799" t="s">
        <v>16</v>
      </c>
      <c r="G4799" s="1">
        <v>39147</v>
      </c>
      <c r="H4799" s="1">
        <v>39703</v>
      </c>
      <c r="I4799" t="s">
        <v>12</v>
      </c>
      <c r="J4799" t="s">
        <v>15569</v>
      </c>
    </row>
    <row r="4800" spans="1:10" x14ac:dyDescent="0.25">
      <c r="A4800">
        <v>356201</v>
      </c>
      <c r="B4800" t="s">
        <v>5007</v>
      </c>
      <c r="C4800" t="str">
        <f>"9780415370240"</f>
        <v>9780415370240</v>
      </c>
      <c r="D4800" t="str">
        <f>"9780203029831"</f>
        <v>9780203029831</v>
      </c>
      <c r="E4800" t="s">
        <v>15</v>
      </c>
      <c r="F4800" t="s">
        <v>16</v>
      </c>
      <c r="G4800" s="1">
        <v>39064</v>
      </c>
      <c r="H4800" s="1">
        <v>39703</v>
      </c>
      <c r="I4800" t="s">
        <v>12</v>
      </c>
      <c r="J4800" t="s">
        <v>15570</v>
      </c>
    </row>
    <row r="4801" spans="1:10" x14ac:dyDescent="0.25">
      <c r="A4801">
        <v>356202</v>
      </c>
      <c r="B4801" t="s">
        <v>5008</v>
      </c>
      <c r="C4801" t="str">
        <f>"9780415393287"</f>
        <v>9780415393287</v>
      </c>
      <c r="D4801" t="str">
        <f>"9780203968017"</f>
        <v>9780203968017</v>
      </c>
      <c r="E4801" t="s">
        <v>15</v>
      </c>
      <c r="F4801" t="s">
        <v>16</v>
      </c>
      <c r="G4801" s="1">
        <v>41773</v>
      </c>
      <c r="H4801" s="1">
        <v>39703</v>
      </c>
      <c r="I4801" t="s">
        <v>12</v>
      </c>
      <c r="J4801" t="s">
        <v>15571</v>
      </c>
    </row>
    <row r="4802" spans="1:10" x14ac:dyDescent="0.25">
      <c r="A4802">
        <v>356203</v>
      </c>
      <c r="B4802" t="s">
        <v>5009</v>
      </c>
      <c r="C4802" t="str">
        <f>"9780415404488"</f>
        <v>9780415404488</v>
      </c>
      <c r="D4802" t="str">
        <f>"9780203962770"</f>
        <v>9780203962770</v>
      </c>
      <c r="E4802" t="s">
        <v>15</v>
      </c>
      <c r="F4802" t="s">
        <v>16</v>
      </c>
      <c r="G4802" s="1">
        <v>39234</v>
      </c>
      <c r="H4802" s="1">
        <v>39703</v>
      </c>
      <c r="I4802" t="s">
        <v>12</v>
      </c>
      <c r="J4802" t="s">
        <v>15572</v>
      </c>
    </row>
    <row r="4803" spans="1:10" x14ac:dyDescent="0.25">
      <c r="A4803">
        <v>356210</v>
      </c>
      <c r="B4803" t="s">
        <v>5010</v>
      </c>
      <c r="C4803" t="str">
        <f>"9780415394130"</f>
        <v>9780415394130</v>
      </c>
      <c r="D4803" t="str">
        <f>"9780203940105"</f>
        <v>9780203940105</v>
      </c>
      <c r="E4803" t="s">
        <v>15</v>
      </c>
      <c r="F4803" t="s">
        <v>16</v>
      </c>
      <c r="G4803" s="1">
        <v>39190</v>
      </c>
      <c r="H4803" s="1">
        <v>39703</v>
      </c>
      <c r="I4803" t="s">
        <v>12</v>
      </c>
      <c r="J4803" t="s">
        <v>15573</v>
      </c>
    </row>
    <row r="4804" spans="1:10" x14ac:dyDescent="0.25">
      <c r="A4804">
        <v>356211</v>
      </c>
      <c r="B4804" t="s">
        <v>5011</v>
      </c>
      <c r="C4804" t="str">
        <f>"9780415378291"</f>
        <v>9780415378291</v>
      </c>
      <c r="D4804" t="str">
        <f>"9780203968291"</f>
        <v>9780203968291</v>
      </c>
      <c r="E4804" t="s">
        <v>15</v>
      </c>
      <c r="F4804" t="s">
        <v>16</v>
      </c>
      <c r="G4804" s="1">
        <v>39057</v>
      </c>
      <c r="H4804" s="1">
        <v>39703</v>
      </c>
      <c r="I4804" t="s">
        <v>12</v>
      </c>
      <c r="J4804" t="s">
        <v>15574</v>
      </c>
    </row>
    <row r="4805" spans="1:10" x14ac:dyDescent="0.25">
      <c r="A4805">
        <v>356214</v>
      </c>
      <c r="B4805" t="s">
        <v>5012</v>
      </c>
      <c r="C4805" t="str">
        <f>"9780415357791"</f>
        <v>9780415357791</v>
      </c>
      <c r="D4805" t="str">
        <f>"9780203003855"</f>
        <v>9780203003855</v>
      </c>
      <c r="E4805" t="s">
        <v>15</v>
      </c>
      <c r="F4805" t="s">
        <v>16</v>
      </c>
      <c r="G4805" s="1">
        <v>39279</v>
      </c>
      <c r="H4805" s="1">
        <v>39703</v>
      </c>
      <c r="I4805" t="s">
        <v>12</v>
      </c>
      <c r="J4805" t="s">
        <v>15575</v>
      </c>
    </row>
    <row r="4806" spans="1:10" x14ac:dyDescent="0.25">
      <c r="A4806">
        <v>356227</v>
      </c>
      <c r="B4806" t="s">
        <v>5013</v>
      </c>
      <c r="C4806" t="str">
        <f>"9781843124238"</f>
        <v>9781843124238</v>
      </c>
      <c r="D4806" t="str">
        <f>"9780203935187"</f>
        <v>9780203935187</v>
      </c>
      <c r="E4806" t="s">
        <v>15</v>
      </c>
      <c r="F4806" t="s">
        <v>16</v>
      </c>
      <c r="G4806" s="1">
        <v>39192</v>
      </c>
      <c r="H4806" s="1">
        <v>39703</v>
      </c>
      <c r="I4806" t="s">
        <v>12</v>
      </c>
      <c r="J4806" t="s">
        <v>15576</v>
      </c>
    </row>
    <row r="4807" spans="1:10" x14ac:dyDescent="0.25">
      <c r="A4807">
        <v>356237</v>
      </c>
      <c r="B4807" t="s">
        <v>5014</v>
      </c>
      <c r="C4807" t="str">
        <f>"9781843124702"</f>
        <v>9781843124702</v>
      </c>
      <c r="D4807" t="str">
        <f>"9780203935217"</f>
        <v>9780203935217</v>
      </c>
      <c r="E4807" t="s">
        <v>15</v>
      </c>
      <c r="F4807" t="s">
        <v>4274</v>
      </c>
      <c r="G4807" s="1">
        <v>39244</v>
      </c>
      <c r="H4807" s="1">
        <v>39703</v>
      </c>
      <c r="I4807" t="s">
        <v>12</v>
      </c>
      <c r="J4807" t="s">
        <v>15577</v>
      </c>
    </row>
    <row r="4808" spans="1:10" x14ac:dyDescent="0.25">
      <c r="A4808">
        <v>356241</v>
      </c>
      <c r="B4808" t="s">
        <v>5015</v>
      </c>
      <c r="C4808" t="str">
        <f>"9780415345736"</f>
        <v>9780415345736</v>
      </c>
      <c r="D4808" t="str">
        <f>"9780203567203"</f>
        <v>9780203567203</v>
      </c>
      <c r="E4808" t="s">
        <v>15</v>
      </c>
      <c r="F4808" t="s">
        <v>16</v>
      </c>
      <c r="G4808" s="1">
        <v>39064</v>
      </c>
      <c r="H4808" s="1">
        <v>39703</v>
      </c>
      <c r="I4808" t="s">
        <v>12</v>
      </c>
      <c r="J4808" t="s">
        <v>15578</v>
      </c>
    </row>
    <row r="4809" spans="1:10" x14ac:dyDescent="0.25">
      <c r="A4809">
        <v>356244</v>
      </c>
      <c r="B4809" t="s">
        <v>5016</v>
      </c>
      <c r="C4809" t="str">
        <f>"9780415360517"</f>
        <v>9780415360517</v>
      </c>
      <c r="D4809" t="str">
        <f>"9780203008256"</f>
        <v>9780203008256</v>
      </c>
      <c r="E4809" t="s">
        <v>15</v>
      </c>
      <c r="F4809" t="s">
        <v>16</v>
      </c>
      <c r="G4809" s="1">
        <v>39057</v>
      </c>
      <c r="H4809" s="1">
        <v>39703</v>
      </c>
      <c r="I4809" t="s">
        <v>12</v>
      </c>
      <c r="J4809" t="s">
        <v>15579</v>
      </c>
    </row>
    <row r="4810" spans="1:10" x14ac:dyDescent="0.25">
      <c r="A4810">
        <v>356246</v>
      </c>
      <c r="B4810" t="s">
        <v>5017</v>
      </c>
      <c r="C4810" t="str">
        <f>"9780415384377"</f>
        <v>9780415384377</v>
      </c>
      <c r="D4810" t="str">
        <f>"9780203099995"</f>
        <v>9780203099995</v>
      </c>
      <c r="E4810" t="s">
        <v>15</v>
      </c>
      <c r="F4810" t="s">
        <v>16</v>
      </c>
      <c r="G4810" s="1">
        <v>39147</v>
      </c>
      <c r="H4810" s="1">
        <v>39703</v>
      </c>
      <c r="I4810" t="s">
        <v>12</v>
      </c>
      <c r="J4810" t="s">
        <v>15580</v>
      </c>
    </row>
    <row r="4811" spans="1:10" x14ac:dyDescent="0.25">
      <c r="A4811">
        <v>356247</v>
      </c>
      <c r="B4811" t="s">
        <v>5018</v>
      </c>
      <c r="C4811" t="str">
        <f>"9780415977951"</f>
        <v>9780415977951</v>
      </c>
      <c r="D4811" t="str">
        <f>"9780203963166"</f>
        <v>9780203963166</v>
      </c>
      <c r="E4811" t="s">
        <v>15</v>
      </c>
      <c r="F4811" t="s">
        <v>16</v>
      </c>
      <c r="G4811" s="1">
        <v>39196</v>
      </c>
      <c r="H4811" s="1">
        <v>39703</v>
      </c>
      <c r="I4811" t="s">
        <v>12</v>
      </c>
      <c r="J4811" t="s">
        <v>15581</v>
      </c>
    </row>
    <row r="4812" spans="1:10" x14ac:dyDescent="0.25">
      <c r="A4812">
        <v>356250</v>
      </c>
      <c r="B4812" t="s">
        <v>5019</v>
      </c>
      <c r="C4812" t="str">
        <f>"9780415359436"</f>
        <v>9780415359436</v>
      </c>
      <c r="D4812" t="str">
        <f>"9780203007464"</f>
        <v>9780203007464</v>
      </c>
      <c r="E4812" t="s">
        <v>15</v>
      </c>
      <c r="F4812" t="s">
        <v>16</v>
      </c>
      <c r="G4812" s="1">
        <v>39006</v>
      </c>
      <c r="H4812" s="1">
        <v>39706</v>
      </c>
      <c r="I4812" t="s">
        <v>12</v>
      </c>
      <c r="J4812" t="s">
        <v>15582</v>
      </c>
    </row>
    <row r="4813" spans="1:10" x14ac:dyDescent="0.25">
      <c r="A4813">
        <v>356253</v>
      </c>
      <c r="B4813" t="s">
        <v>5020</v>
      </c>
      <c r="C4813" t="str">
        <f>"9780415297653"</f>
        <v>9780415297653</v>
      </c>
      <c r="D4813" t="str">
        <f>"9780203963623"</f>
        <v>9780203963623</v>
      </c>
      <c r="E4813" t="s">
        <v>15</v>
      </c>
      <c r="F4813" t="s">
        <v>16</v>
      </c>
      <c r="G4813" s="1">
        <v>38001</v>
      </c>
      <c r="H4813" s="1">
        <v>39703</v>
      </c>
      <c r="I4813" t="s">
        <v>12</v>
      </c>
      <c r="J4813" t="s">
        <v>15583</v>
      </c>
    </row>
    <row r="4814" spans="1:10" x14ac:dyDescent="0.25">
      <c r="A4814">
        <v>356254</v>
      </c>
      <c r="B4814" t="s">
        <v>5021</v>
      </c>
      <c r="C4814" t="str">
        <f>"9780415358095"</f>
        <v>9780415358095</v>
      </c>
      <c r="D4814" t="str">
        <f>"9780203004258"</f>
        <v>9780203004258</v>
      </c>
      <c r="E4814" t="s">
        <v>15</v>
      </c>
      <c r="F4814" t="s">
        <v>16</v>
      </c>
      <c r="G4814" s="1">
        <v>38863</v>
      </c>
      <c r="H4814" s="1">
        <v>39703</v>
      </c>
      <c r="I4814" t="s">
        <v>12</v>
      </c>
      <c r="J4814" t="s">
        <v>15584</v>
      </c>
    </row>
    <row r="4815" spans="1:10" x14ac:dyDescent="0.25">
      <c r="A4815">
        <v>356257</v>
      </c>
      <c r="B4815" t="s">
        <v>5022</v>
      </c>
      <c r="C4815" t="str">
        <f>"9780415370820"</f>
        <v>9780415370820</v>
      </c>
      <c r="D4815" t="str">
        <f>"9780203030141"</f>
        <v>9780203030141</v>
      </c>
      <c r="E4815" t="s">
        <v>16</v>
      </c>
      <c r="F4815" t="s">
        <v>16</v>
      </c>
      <c r="G4815" s="1">
        <v>39219</v>
      </c>
      <c r="H4815" s="1">
        <v>39300</v>
      </c>
      <c r="I4815" t="s">
        <v>12</v>
      </c>
      <c r="J4815" t="s">
        <v>15585</v>
      </c>
    </row>
    <row r="4816" spans="1:10" x14ac:dyDescent="0.25">
      <c r="A4816">
        <v>356258</v>
      </c>
      <c r="B4816" t="s">
        <v>5023</v>
      </c>
      <c r="C4816" t="str">
        <f>"9780415419888"</f>
        <v>9780415419888</v>
      </c>
      <c r="D4816" t="str">
        <f>"9780203961612"</f>
        <v>9780203961612</v>
      </c>
      <c r="E4816" t="s">
        <v>15</v>
      </c>
      <c r="F4816" t="s">
        <v>16</v>
      </c>
      <c r="G4816" s="1">
        <v>39251</v>
      </c>
      <c r="H4816" s="1">
        <v>39703</v>
      </c>
      <c r="I4816" t="s">
        <v>12</v>
      </c>
      <c r="J4816" t="s">
        <v>15586</v>
      </c>
    </row>
    <row r="4817" spans="1:10" x14ac:dyDescent="0.25">
      <c r="A4817">
        <v>356262</v>
      </c>
      <c r="B4817" t="s">
        <v>5024</v>
      </c>
      <c r="C4817" t="str">
        <f>"9780415380348"</f>
        <v>9780415380348</v>
      </c>
      <c r="D4817" t="str">
        <f>"9780203099414"</f>
        <v>9780203099414</v>
      </c>
      <c r="E4817" t="s">
        <v>15</v>
      </c>
      <c r="F4817" t="s">
        <v>16</v>
      </c>
      <c r="G4817" s="1">
        <v>39087</v>
      </c>
      <c r="H4817" s="1">
        <v>39703</v>
      </c>
      <c r="I4817" t="s">
        <v>12</v>
      </c>
      <c r="J4817" t="s">
        <v>15587</v>
      </c>
    </row>
    <row r="4818" spans="1:10" x14ac:dyDescent="0.25">
      <c r="A4818">
        <v>356269</v>
      </c>
      <c r="B4818" t="s">
        <v>5025</v>
      </c>
      <c r="C4818" t="str">
        <f>"9780415387972"</f>
        <v>9780415387972</v>
      </c>
      <c r="D4818" t="str">
        <f>"9780203968468"</f>
        <v>9780203968468</v>
      </c>
      <c r="E4818" t="s">
        <v>15</v>
      </c>
      <c r="F4818" t="s">
        <v>16</v>
      </c>
      <c r="G4818" s="1">
        <v>38993</v>
      </c>
      <c r="H4818" s="1">
        <v>39703</v>
      </c>
      <c r="I4818" t="s">
        <v>12</v>
      </c>
      <c r="J4818" t="s">
        <v>15588</v>
      </c>
    </row>
    <row r="4819" spans="1:10" x14ac:dyDescent="0.25">
      <c r="A4819">
        <v>357981</v>
      </c>
      <c r="B4819" t="s">
        <v>5026</v>
      </c>
      <c r="C4819" t="str">
        <f>"9780833044631"</f>
        <v>9780833044631</v>
      </c>
      <c r="D4819" t="str">
        <f>"9780833044914"</f>
        <v>9780833044914</v>
      </c>
      <c r="E4819" t="s">
        <v>1063</v>
      </c>
      <c r="F4819" t="s">
        <v>1064</v>
      </c>
      <c r="G4819" s="1">
        <v>39545</v>
      </c>
      <c r="H4819" s="1">
        <v>39713</v>
      </c>
      <c r="I4819" t="s">
        <v>12</v>
      </c>
      <c r="J4819" t="s">
        <v>15589</v>
      </c>
    </row>
    <row r="4820" spans="1:10" x14ac:dyDescent="0.25">
      <c r="A4820">
        <v>358038</v>
      </c>
      <c r="B4820" t="s">
        <v>5027</v>
      </c>
      <c r="C4820" t="str">
        <f>"9788122418866"</f>
        <v>9788122418866</v>
      </c>
      <c r="D4820" t="str">
        <f>"9788122424188"</f>
        <v>9788122424188</v>
      </c>
      <c r="E4820" t="s">
        <v>4636</v>
      </c>
      <c r="F4820" t="s">
        <v>4637</v>
      </c>
      <c r="G4820" s="1">
        <v>38803</v>
      </c>
      <c r="H4820" s="1">
        <v>39708</v>
      </c>
      <c r="I4820" t="s">
        <v>12</v>
      </c>
      <c r="J4820" t="s">
        <v>15590</v>
      </c>
    </row>
    <row r="4821" spans="1:10" x14ac:dyDescent="0.25">
      <c r="A4821">
        <v>358595</v>
      </c>
      <c r="B4821" t="s">
        <v>5028</v>
      </c>
      <c r="C4821" t="str">
        <f>"9780230007123"</f>
        <v>9780230007123</v>
      </c>
      <c r="D4821" t="str">
        <f>"9780230800540"</f>
        <v>9780230800540</v>
      </c>
      <c r="E4821" t="s">
        <v>875</v>
      </c>
      <c r="F4821" t="s">
        <v>875</v>
      </c>
      <c r="G4821" s="1">
        <v>39003</v>
      </c>
      <c r="H4821" s="1">
        <v>39712</v>
      </c>
      <c r="I4821" t="s">
        <v>12</v>
      </c>
      <c r="J4821" t="s">
        <v>15591</v>
      </c>
    </row>
    <row r="4822" spans="1:10" x14ac:dyDescent="0.25">
      <c r="A4822">
        <v>358622</v>
      </c>
      <c r="B4822" t="s">
        <v>5029</v>
      </c>
      <c r="C4822" t="str">
        <f>"9781403994882"</f>
        <v>9781403994882</v>
      </c>
      <c r="D4822" t="str">
        <f>"9780230800908"</f>
        <v>9780230800908</v>
      </c>
      <c r="E4822" t="s">
        <v>875</v>
      </c>
      <c r="F4822" t="s">
        <v>875</v>
      </c>
      <c r="G4822" s="1">
        <v>39035</v>
      </c>
      <c r="H4822" s="1">
        <v>39712</v>
      </c>
      <c r="I4822" t="s">
        <v>12</v>
      </c>
      <c r="J4822" t="s">
        <v>15592</v>
      </c>
    </row>
    <row r="4823" spans="1:10" x14ac:dyDescent="0.25">
      <c r="A4823">
        <v>358626</v>
      </c>
      <c r="B4823" t="s">
        <v>5030</v>
      </c>
      <c r="C4823" t="str">
        <f>"9781403996152"</f>
        <v>9781403996152</v>
      </c>
      <c r="D4823" t="str">
        <f>"9780230501713"</f>
        <v>9780230501713</v>
      </c>
      <c r="E4823" t="s">
        <v>875</v>
      </c>
      <c r="F4823" t="s">
        <v>875</v>
      </c>
      <c r="G4823" s="1">
        <v>38933</v>
      </c>
      <c r="H4823" s="1">
        <v>39712</v>
      </c>
      <c r="I4823" t="s">
        <v>12</v>
      </c>
      <c r="J4823" t="s">
        <v>15593</v>
      </c>
    </row>
    <row r="4824" spans="1:10" x14ac:dyDescent="0.25">
      <c r="A4824">
        <v>358627</v>
      </c>
      <c r="B4824" t="s">
        <v>5031</v>
      </c>
      <c r="C4824" t="str">
        <f>"9781403948885"</f>
        <v>9781403948885</v>
      </c>
      <c r="D4824" t="str">
        <f>"9780230501171"</f>
        <v>9780230501171</v>
      </c>
      <c r="E4824" t="s">
        <v>875</v>
      </c>
      <c r="F4824" t="s">
        <v>875</v>
      </c>
      <c r="G4824" s="1">
        <v>38960</v>
      </c>
      <c r="H4824" s="1">
        <v>39712</v>
      </c>
      <c r="I4824" t="s">
        <v>12</v>
      </c>
      <c r="J4824" t="s">
        <v>15594</v>
      </c>
    </row>
    <row r="4825" spans="1:10" x14ac:dyDescent="0.25">
      <c r="A4825">
        <v>359844</v>
      </c>
      <c r="B4825" t="s">
        <v>5032</v>
      </c>
      <c r="C4825" t="str">
        <f>"9789264026391"</f>
        <v>9789264026391</v>
      </c>
      <c r="D4825" t="str">
        <f>"9789264026407"</f>
        <v>9789264026407</v>
      </c>
      <c r="E4825" t="s">
        <v>1185</v>
      </c>
      <c r="F4825" t="s">
        <v>1186</v>
      </c>
      <c r="G4825" s="1">
        <v>38971</v>
      </c>
      <c r="H4825" s="1">
        <v>39721</v>
      </c>
      <c r="I4825" t="s">
        <v>12</v>
      </c>
      <c r="J4825" t="s">
        <v>15595</v>
      </c>
    </row>
    <row r="4826" spans="1:10" x14ac:dyDescent="0.25">
      <c r="A4826">
        <v>360048</v>
      </c>
      <c r="B4826" t="s">
        <v>5033</v>
      </c>
      <c r="C4826" t="str">
        <f>"9780805859591"</f>
        <v>9780805859591</v>
      </c>
      <c r="D4826" t="str">
        <f>"9781841697789"</f>
        <v>9781841697789</v>
      </c>
      <c r="E4826" t="s">
        <v>15</v>
      </c>
      <c r="F4826" t="s">
        <v>55</v>
      </c>
      <c r="G4826" s="1">
        <v>41893</v>
      </c>
      <c r="H4826" s="1">
        <v>39779</v>
      </c>
      <c r="I4826" t="s">
        <v>12</v>
      </c>
      <c r="J4826" t="s">
        <v>15596</v>
      </c>
    </row>
    <row r="4827" spans="1:10" x14ac:dyDescent="0.25">
      <c r="A4827">
        <v>360117</v>
      </c>
      <c r="B4827" t="s">
        <v>5034</v>
      </c>
      <c r="C4827" t="str">
        <f>"9789264046382"</f>
        <v>9789264046382</v>
      </c>
      <c r="D4827" t="str">
        <f>"9789264046399"</f>
        <v>9789264046399</v>
      </c>
      <c r="E4827" t="s">
        <v>1185</v>
      </c>
      <c r="F4827" t="s">
        <v>1186</v>
      </c>
      <c r="G4827" s="1">
        <v>39657</v>
      </c>
      <c r="H4827" s="1">
        <v>39719</v>
      </c>
      <c r="I4827" t="s">
        <v>12</v>
      </c>
      <c r="J4827" t="s">
        <v>15597</v>
      </c>
    </row>
    <row r="4828" spans="1:10" x14ac:dyDescent="0.25">
      <c r="A4828">
        <v>360936</v>
      </c>
      <c r="B4828" t="s">
        <v>5035</v>
      </c>
      <c r="C4828" t="str">
        <f>"9781593858384"</f>
        <v>9781593858384</v>
      </c>
      <c r="D4828" t="str">
        <f>"9781606230824"</f>
        <v>9781606230824</v>
      </c>
      <c r="E4828" t="s">
        <v>3740</v>
      </c>
      <c r="F4828" t="s">
        <v>3741</v>
      </c>
      <c r="G4828" s="1">
        <v>39680</v>
      </c>
      <c r="H4828" s="1">
        <v>39728</v>
      </c>
      <c r="I4828" t="s">
        <v>12</v>
      </c>
      <c r="J4828" t="s">
        <v>15598</v>
      </c>
    </row>
    <row r="4829" spans="1:10" x14ac:dyDescent="0.25">
      <c r="A4829">
        <v>361660</v>
      </c>
      <c r="B4829" t="s">
        <v>5036</v>
      </c>
      <c r="C4829" t="str">
        <f>"9780813543130"</f>
        <v>9780813543130</v>
      </c>
      <c r="D4829" t="str">
        <f>"9780813545134"</f>
        <v>9780813545134</v>
      </c>
      <c r="E4829" t="s">
        <v>4859</v>
      </c>
      <c r="F4829" t="s">
        <v>4859</v>
      </c>
      <c r="G4829" s="1">
        <v>39644</v>
      </c>
      <c r="H4829" s="1">
        <v>39730</v>
      </c>
      <c r="I4829" t="s">
        <v>12</v>
      </c>
      <c r="J4829" t="s">
        <v>15599</v>
      </c>
    </row>
    <row r="4830" spans="1:10" x14ac:dyDescent="0.25">
      <c r="A4830">
        <v>361748</v>
      </c>
      <c r="B4830" t="s">
        <v>5037</v>
      </c>
      <c r="C4830" t="str">
        <f>"9781841502021"</f>
        <v>9781841502021</v>
      </c>
      <c r="D4830" t="str">
        <f>"9781841502526"</f>
        <v>9781841502526</v>
      </c>
      <c r="E4830" t="s">
        <v>2646</v>
      </c>
      <c r="F4830" t="s">
        <v>2647</v>
      </c>
      <c r="G4830" s="1">
        <v>39630</v>
      </c>
      <c r="H4830" s="1">
        <v>39757</v>
      </c>
      <c r="I4830" t="s">
        <v>12</v>
      </c>
      <c r="J4830" t="s">
        <v>15600</v>
      </c>
    </row>
    <row r="4831" spans="1:10" x14ac:dyDescent="0.25">
      <c r="A4831">
        <v>361751</v>
      </c>
      <c r="B4831" t="s">
        <v>5038</v>
      </c>
      <c r="C4831" t="str">
        <f>"9781841501994"</f>
        <v>9781841501994</v>
      </c>
      <c r="D4831" t="str">
        <f>"9781841502533"</f>
        <v>9781841502533</v>
      </c>
      <c r="E4831" t="s">
        <v>2646</v>
      </c>
      <c r="F4831" t="s">
        <v>2647</v>
      </c>
      <c r="G4831" s="1">
        <v>39448</v>
      </c>
      <c r="H4831" s="1">
        <v>39757</v>
      </c>
      <c r="I4831" t="s">
        <v>12</v>
      </c>
      <c r="J4831" t="s">
        <v>15601</v>
      </c>
    </row>
    <row r="4832" spans="1:10" x14ac:dyDescent="0.25">
      <c r="A4832">
        <v>361886</v>
      </c>
      <c r="B4832" t="s">
        <v>5039</v>
      </c>
      <c r="C4832" t="str">
        <f>"9780975950128"</f>
        <v>9780975950128</v>
      </c>
      <c r="D4832" t="str">
        <f>"9781605572437"</f>
        <v>9781605572437</v>
      </c>
      <c r="E4832" t="s">
        <v>4021</v>
      </c>
      <c r="F4832" t="s">
        <v>4021</v>
      </c>
      <c r="G4832" s="1">
        <v>39448</v>
      </c>
      <c r="H4832" s="1">
        <v>38169</v>
      </c>
      <c r="I4832" t="s">
        <v>12</v>
      </c>
      <c r="J4832" t="s">
        <v>15602</v>
      </c>
    </row>
    <row r="4833" spans="1:10" x14ac:dyDescent="0.25">
      <c r="A4833">
        <v>361902</v>
      </c>
      <c r="B4833" t="s">
        <v>5040</v>
      </c>
      <c r="C4833" t="str">
        <f>"9781861978431"</f>
        <v>9781861978431</v>
      </c>
      <c r="D4833" t="str">
        <f>"9781847650351"</f>
        <v>9781847650351</v>
      </c>
      <c r="E4833" t="s">
        <v>3706</v>
      </c>
      <c r="F4833" t="s">
        <v>3704</v>
      </c>
      <c r="G4833" s="1">
        <v>36647</v>
      </c>
      <c r="H4833" s="1">
        <v>39737</v>
      </c>
      <c r="I4833" t="s">
        <v>12</v>
      </c>
      <c r="J4833" t="s">
        <v>15603</v>
      </c>
    </row>
    <row r="4834" spans="1:10" x14ac:dyDescent="0.25">
      <c r="A4834">
        <v>361909</v>
      </c>
      <c r="B4834" t="s">
        <v>5041</v>
      </c>
      <c r="C4834" t="str">
        <f>"9781593394141"</f>
        <v>9781593394141</v>
      </c>
      <c r="D4834" t="str">
        <f>"9781593394752"</f>
        <v>9781593394752</v>
      </c>
      <c r="E4834" t="s">
        <v>5042</v>
      </c>
      <c r="F4834" t="s">
        <v>5043</v>
      </c>
      <c r="G4834" s="1">
        <v>39448</v>
      </c>
      <c r="H4834" s="1">
        <v>39826</v>
      </c>
      <c r="I4834" t="s">
        <v>12</v>
      </c>
      <c r="J4834" t="s">
        <v>15604</v>
      </c>
    </row>
    <row r="4835" spans="1:10" x14ac:dyDescent="0.25">
      <c r="A4835">
        <v>361911</v>
      </c>
      <c r="B4835" t="s">
        <v>5044</v>
      </c>
      <c r="C4835" t="str">
        <f>"9781593394295"</f>
        <v>9781593394295</v>
      </c>
      <c r="D4835" t="str">
        <f>"9781593395001"</f>
        <v>9781593395001</v>
      </c>
      <c r="E4835" t="s">
        <v>5042</v>
      </c>
      <c r="F4835" t="s">
        <v>5043</v>
      </c>
      <c r="G4835" s="1">
        <v>39449</v>
      </c>
      <c r="H4835" s="1">
        <v>39736</v>
      </c>
      <c r="I4835" t="s">
        <v>12</v>
      </c>
      <c r="J4835" t="s">
        <v>15605</v>
      </c>
    </row>
    <row r="4836" spans="1:10" x14ac:dyDescent="0.25">
      <c r="A4836">
        <v>361913</v>
      </c>
      <c r="B4836" t="s">
        <v>5045</v>
      </c>
      <c r="C4836" t="str">
        <f>"9781593394653"</f>
        <v>9781593394653</v>
      </c>
      <c r="D4836" t="str">
        <f>"9781593395193"</f>
        <v>9781593395193</v>
      </c>
      <c r="E4836" t="s">
        <v>5042</v>
      </c>
      <c r="F4836" t="s">
        <v>5043</v>
      </c>
      <c r="G4836" s="1">
        <v>39449</v>
      </c>
      <c r="H4836" s="1">
        <v>40244</v>
      </c>
      <c r="I4836" t="s">
        <v>12</v>
      </c>
      <c r="J4836" t="s">
        <v>15606</v>
      </c>
    </row>
    <row r="4837" spans="1:10" x14ac:dyDescent="0.25">
      <c r="A4837">
        <v>361915</v>
      </c>
      <c r="B4837" t="s">
        <v>5046</v>
      </c>
      <c r="C4837" t="str">
        <f>"9781593394257"</f>
        <v>9781593394257</v>
      </c>
      <c r="D4837" t="str">
        <f>"9781593394943"</f>
        <v>9781593394943</v>
      </c>
      <c r="E4837" t="s">
        <v>5042</v>
      </c>
      <c r="F4837" t="s">
        <v>5043</v>
      </c>
      <c r="G4837" s="1">
        <v>39450</v>
      </c>
      <c r="H4837" s="1">
        <v>39780</v>
      </c>
      <c r="I4837" t="s">
        <v>12</v>
      </c>
      <c r="J4837" t="s">
        <v>15607</v>
      </c>
    </row>
    <row r="4838" spans="1:10" x14ac:dyDescent="0.25">
      <c r="A4838">
        <v>361916</v>
      </c>
      <c r="B4838" t="s">
        <v>5047</v>
      </c>
      <c r="C4838" t="str">
        <f>"9781593392666"</f>
        <v>9781593392666</v>
      </c>
      <c r="D4838" t="str">
        <f>"9781593394912"</f>
        <v>9781593394912</v>
      </c>
      <c r="E4838" t="s">
        <v>5042</v>
      </c>
      <c r="F4838" t="s">
        <v>5043</v>
      </c>
      <c r="G4838" s="1">
        <v>38723</v>
      </c>
      <c r="H4838" s="1">
        <v>39736</v>
      </c>
      <c r="I4838" t="s">
        <v>12</v>
      </c>
      <c r="J4838" t="s">
        <v>15608</v>
      </c>
    </row>
    <row r="4839" spans="1:10" x14ac:dyDescent="0.25">
      <c r="A4839">
        <v>361936</v>
      </c>
      <c r="B4839" t="s">
        <v>5048</v>
      </c>
      <c r="C4839" t="str">
        <f>"9781593393946"</f>
        <v>9781593393946</v>
      </c>
      <c r="D4839" t="str">
        <f>"9781593398033"</f>
        <v>9781593398033</v>
      </c>
      <c r="E4839" t="s">
        <v>5042</v>
      </c>
      <c r="F4839" t="s">
        <v>5043</v>
      </c>
      <c r="G4839" s="1">
        <v>39450</v>
      </c>
      <c r="H4839" s="1">
        <v>40245</v>
      </c>
      <c r="I4839" t="s">
        <v>12</v>
      </c>
      <c r="J4839" t="s">
        <v>15609</v>
      </c>
    </row>
    <row r="4840" spans="1:10" x14ac:dyDescent="0.25">
      <c r="A4840">
        <v>361937</v>
      </c>
      <c r="B4840" t="s">
        <v>5049</v>
      </c>
      <c r="C4840" t="str">
        <f>"9781593393922"</f>
        <v>9781593393922</v>
      </c>
      <c r="D4840" t="str">
        <f>"9781593398040"</f>
        <v>9781593398040</v>
      </c>
      <c r="E4840" t="s">
        <v>5042</v>
      </c>
      <c r="F4840" t="s">
        <v>5043</v>
      </c>
      <c r="G4840" s="1">
        <v>39450</v>
      </c>
      <c r="H4840" s="1">
        <v>40245</v>
      </c>
      <c r="I4840" t="s">
        <v>12</v>
      </c>
      <c r="J4840" t="s">
        <v>15610</v>
      </c>
    </row>
    <row r="4841" spans="1:10" x14ac:dyDescent="0.25">
      <c r="A4841">
        <v>361939</v>
      </c>
      <c r="B4841" t="s">
        <v>5050</v>
      </c>
      <c r="C4841" t="str">
        <f>"9781593393953"</f>
        <v>9781593393953</v>
      </c>
      <c r="D4841" t="str">
        <f>"9781593398064"</f>
        <v>9781593398064</v>
      </c>
      <c r="E4841" t="s">
        <v>5042</v>
      </c>
      <c r="F4841" t="s">
        <v>5043</v>
      </c>
      <c r="G4841" s="1">
        <v>39450</v>
      </c>
      <c r="H4841" s="1">
        <v>40245</v>
      </c>
      <c r="I4841" t="s">
        <v>12</v>
      </c>
      <c r="J4841" t="s">
        <v>15611</v>
      </c>
    </row>
    <row r="4842" spans="1:10" x14ac:dyDescent="0.25">
      <c r="A4842">
        <v>361951</v>
      </c>
      <c r="B4842" t="s">
        <v>5051</v>
      </c>
      <c r="C4842" t="str">
        <f>"9781593390044"</f>
        <v>9781593390044</v>
      </c>
      <c r="D4842" t="str">
        <f>"9781593395063"</f>
        <v>9781593395063</v>
      </c>
      <c r="E4842" t="s">
        <v>5042</v>
      </c>
      <c r="F4842" t="s">
        <v>5043</v>
      </c>
      <c r="G4842" s="1">
        <v>39450</v>
      </c>
      <c r="H4842" s="1">
        <v>39826</v>
      </c>
      <c r="I4842" t="s">
        <v>12</v>
      </c>
      <c r="J4842" t="s">
        <v>15612</v>
      </c>
    </row>
    <row r="4843" spans="1:10" x14ac:dyDescent="0.25">
      <c r="A4843">
        <v>361954</v>
      </c>
      <c r="B4843" t="s">
        <v>5052</v>
      </c>
      <c r="C4843" t="str">
        <f>"9781593390075"</f>
        <v>9781593390075</v>
      </c>
      <c r="D4843" t="str">
        <f>"9781593395094"</f>
        <v>9781593395094</v>
      </c>
      <c r="E4843" t="s">
        <v>5042</v>
      </c>
      <c r="F4843" t="s">
        <v>5043</v>
      </c>
      <c r="G4843" s="1">
        <v>37622</v>
      </c>
      <c r="H4843" s="1">
        <v>39826</v>
      </c>
      <c r="I4843" t="s">
        <v>12</v>
      </c>
      <c r="J4843" t="s">
        <v>15613</v>
      </c>
    </row>
    <row r="4844" spans="1:10" x14ac:dyDescent="0.25">
      <c r="A4844">
        <v>361959</v>
      </c>
      <c r="B4844" t="s">
        <v>5053</v>
      </c>
      <c r="C4844" t="str">
        <f>"9781593390129"</f>
        <v>9781593390129</v>
      </c>
      <c r="D4844" t="str">
        <f>"9781593395148"</f>
        <v>9781593395148</v>
      </c>
      <c r="E4844" t="s">
        <v>5042</v>
      </c>
      <c r="F4844" t="s">
        <v>5043</v>
      </c>
      <c r="G4844" s="1">
        <v>39450</v>
      </c>
      <c r="H4844" s="1">
        <v>39826</v>
      </c>
      <c r="I4844" t="s">
        <v>12</v>
      </c>
      <c r="J4844" t="s">
        <v>15614</v>
      </c>
    </row>
    <row r="4845" spans="1:10" x14ac:dyDescent="0.25">
      <c r="A4845">
        <v>361960</v>
      </c>
      <c r="B4845" t="s">
        <v>5054</v>
      </c>
      <c r="C4845" t="str">
        <f>"9781593390136"</f>
        <v>9781593390136</v>
      </c>
      <c r="D4845" t="str">
        <f>"9781593395155"</f>
        <v>9781593395155</v>
      </c>
      <c r="E4845" t="s">
        <v>5042</v>
      </c>
      <c r="F4845" t="s">
        <v>5043</v>
      </c>
      <c r="G4845" s="1">
        <v>39450</v>
      </c>
      <c r="H4845" s="1">
        <v>39826</v>
      </c>
      <c r="I4845" t="s">
        <v>12</v>
      </c>
      <c r="J4845" t="s">
        <v>15615</v>
      </c>
    </row>
    <row r="4846" spans="1:10" x14ac:dyDescent="0.25">
      <c r="A4846">
        <v>361962</v>
      </c>
      <c r="B4846" t="s">
        <v>5055</v>
      </c>
      <c r="C4846" t="str">
        <f>"9781593390051"</f>
        <v>9781593390051</v>
      </c>
      <c r="D4846" t="str">
        <f>"9781593395179"</f>
        <v>9781593395179</v>
      </c>
      <c r="E4846" t="s">
        <v>5042</v>
      </c>
      <c r="F4846" t="s">
        <v>5043</v>
      </c>
      <c r="G4846" s="1">
        <v>39450</v>
      </c>
      <c r="H4846" s="1">
        <v>39826</v>
      </c>
      <c r="I4846" t="s">
        <v>12</v>
      </c>
      <c r="J4846" t="s">
        <v>15616</v>
      </c>
    </row>
    <row r="4847" spans="1:10" x14ac:dyDescent="0.25">
      <c r="A4847">
        <v>362054</v>
      </c>
      <c r="B4847" t="s">
        <v>5056</v>
      </c>
      <c r="C4847" t="str">
        <f>"9780470239605"</f>
        <v>9780470239605</v>
      </c>
      <c r="D4847" t="str">
        <f>"9780470390467"</f>
        <v>9780470390467</v>
      </c>
      <c r="E4847" t="s">
        <v>1088</v>
      </c>
      <c r="F4847" t="s">
        <v>5057</v>
      </c>
      <c r="G4847" s="1">
        <v>39566</v>
      </c>
      <c r="H4847" s="1">
        <v>39732</v>
      </c>
      <c r="I4847" t="s">
        <v>12</v>
      </c>
      <c r="J4847" t="s">
        <v>15617</v>
      </c>
    </row>
    <row r="4848" spans="1:10" x14ac:dyDescent="0.25">
      <c r="A4848">
        <v>362089</v>
      </c>
      <c r="B4848" t="s">
        <v>5058</v>
      </c>
      <c r="C4848" t="str">
        <f>"9780470343753"</f>
        <v>9780470343753</v>
      </c>
      <c r="D4848" t="str">
        <f>"9780470391167"</f>
        <v>9780470391167</v>
      </c>
      <c r="E4848" t="s">
        <v>1088</v>
      </c>
      <c r="F4848" t="s">
        <v>5059</v>
      </c>
      <c r="G4848" s="1">
        <v>39785</v>
      </c>
      <c r="H4848" s="1">
        <v>39733</v>
      </c>
      <c r="I4848" t="s">
        <v>12</v>
      </c>
      <c r="J4848" t="s">
        <v>15618</v>
      </c>
    </row>
    <row r="4849" spans="1:10" x14ac:dyDescent="0.25">
      <c r="A4849">
        <v>362538</v>
      </c>
      <c r="B4849" t="s">
        <v>5060</v>
      </c>
      <c r="C4849" t="str">
        <f>"9781593851453"</f>
        <v>9781593851453</v>
      </c>
      <c r="D4849" t="str">
        <f>"9781606231272"</f>
        <v>9781606231272</v>
      </c>
      <c r="E4849" t="s">
        <v>3740</v>
      </c>
      <c r="F4849" t="s">
        <v>3741</v>
      </c>
      <c r="G4849" s="1">
        <v>38432</v>
      </c>
      <c r="H4849" s="1">
        <v>39803</v>
      </c>
      <c r="I4849" t="s">
        <v>12</v>
      </c>
      <c r="J4849" t="s">
        <v>15619</v>
      </c>
    </row>
    <row r="4850" spans="1:10" x14ac:dyDescent="0.25">
      <c r="A4850">
        <v>362558</v>
      </c>
      <c r="B4850" t="s">
        <v>5061</v>
      </c>
      <c r="C4850" t="str">
        <f>"9781593850050"</f>
        <v>9781593850050</v>
      </c>
      <c r="D4850" t="str">
        <f>"9781606231388"</f>
        <v>9781606231388</v>
      </c>
      <c r="E4850" t="s">
        <v>3740</v>
      </c>
      <c r="F4850" t="s">
        <v>3754</v>
      </c>
      <c r="G4850" s="1">
        <v>41773</v>
      </c>
      <c r="H4850" s="1">
        <v>39803</v>
      </c>
      <c r="I4850" t="s">
        <v>12</v>
      </c>
      <c r="J4850" t="s">
        <v>15620</v>
      </c>
    </row>
    <row r="4851" spans="1:10" x14ac:dyDescent="0.25">
      <c r="A4851">
        <v>363237</v>
      </c>
      <c r="B4851" t="s">
        <v>5062</v>
      </c>
      <c r="C4851" t="str">
        <f>"9780749453022"</f>
        <v>9780749453022</v>
      </c>
      <c r="D4851" t="str">
        <f>"9780749454944"</f>
        <v>9780749454944</v>
      </c>
      <c r="E4851" t="s">
        <v>1059</v>
      </c>
      <c r="F4851" t="s">
        <v>1059</v>
      </c>
      <c r="G4851" s="1">
        <v>39630</v>
      </c>
      <c r="H4851" s="1">
        <v>39744</v>
      </c>
      <c r="I4851" t="s">
        <v>12</v>
      </c>
      <c r="J4851" t="s">
        <v>15621</v>
      </c>
    </row>
    <row r="4852" spans="1:10" x14ac:dyDescent="0.25">
      <c r="A4852">
        <v>364649</v>
      </c>
      <c r="B4852" t="s">
        <v>5063</v>
      </c>
      <c r="C4852" t="str">
        <f>"9783110191196"</f>
        <v>9783110191196</v>
      </c>
      <c r="D4852" t="str">
        <f>"9783110204131"</f>
        <v>9783110204131</v>
      </c>
      <c r="E4852" t="s">
        <v>2482</v>
      </c>
      <c r="F4852" t="s">
        <v>2482</v>
      </c>
      <c r="G4852" s="1">
        <v>39435</v>
      </c>
      <c r="H4852" s="1">
        <v>39755</v>
      </c>
      <c r="I4852" t="s">
        <v>12</v>
      </c>
      <c r="J4852" t="s">
        <v>15622</v>
      </c>
    </row>
    <row r="4853" spans="1:10" x14ac:dyDescent="0.25">
      <c r="A4853">
        <v>364657</v>
      </c>
      <c r="B4853" t="s">
        <v>5064</v>
      </c>
      <c r="C4853" t="str">
        <f>"9783110196412"</f>
        <v>9783110196412</v>
      </c>
      <c r="D4853" t="str">
        <f>"9783110207101"</f>
        <v>9783110207101</v>
      </c>
      <c r="E4853" t="s">
        <v>2482</v>
      </c>
      <c r="F4853" t="s">
        <v>2483</v>
      </c>
      <c r="G4853" s="1">
        <v>39687</v>
      </c>
      <c r="H4853" s="1">
        <v>39755</v>
      </c>
      <c r="I4853" t="s">
        <v>12</v>
      </c>
      <c r="J4853" t="s">
        <v>15623</v>
      </c>
    </row>
    <row r="4854" spans="1:10" x14ac:dyDescent="0.25">
      <c r="A4854">
        <v>364658</v>
      </c>
      <c r="B4854" t="s">
        <v>5065</v>
      </c>
      <c r="C4854" t="str">
        <f>"9783110195835"</f>
        <v>9783110195835</v>
      </c>
      <c r="D4854" t="str">
        <f>"9783110198638"</f>
        <v>9783110198638</v>
      </c>
      <c r="E4854" t="s">
        <v>2482</v>
      </c>
      <c r="F4854" t="s">
        <v>2483</v>
      </c>
      <c r="G4854" s="1">
        <v>39435</v>
      </c>
      <c r="H4854" s="1">
        <v>39755</v>
      </c>
      <c r="I4854" t="s">
        <v>12</v>
      </c>
      <c r="J4854" t="s">
        <v>15624</v>
      </c>
    </row>
    <row r="4855" spans="1:10" x14ac:dyDescent="0.25">
      <c r="A4855">
        <v>364659</v>
      </c>
      <c r="B4855" t="s">
        <v>5066</v>
      </c>
      <c r="C4855" t="str">
        <f>"9783110195842"</f>
        <v>9783110195842</v>
      </c>
      <c r="D4855" t="str">
        <f>"9783110206043"</f>
        <v>9783110206043</v>
      </c>
      <c r="E4855" t="s">
        <v>2482</v>
      </c>
      <c r="F4855" t="s">
        <v>2483</v>
      </c>
      <c r="G4855" s="1">
        <v>39687</v>
      </c>
      <c r="H4855" s="1">
        <v>39755</v>
      </c>
      <c r="I4855" t="s">
        <v>12</v>
      </c>
      <c r="J4855" t="s">
        <v>15625</v>
      </c>
    </row>
    <row r="4856" spans="1:10" x14ac:dyDescent="0.25">
      <c r="A4856">
        <v>364663</v>
      </c>
      <c r="B4856" t="s">
        <v>5067</v>
      </c>
      <c r="C4856" t="str">
        <f>"9783110196306"</f>
        <v>9783110196306</v>
      </c>
      <c r="D4856" t="str">
        <f>"9783110199161"</f>
        <v>9783110199161</v>
      </c>
      <c r="E4856" t="s">
        <v>2482</v>
      </c>
      <c r="F4856" t="s">
        <v>2483</v>
      </c>
      <c r="G4856" s="1">
        <v>39525</v>
      </c>
      <c r="H4856" s="1">
        <v>39755</v>
      </c>
      <c r="I4856" t="s">
        <v>12</v>
      </c>
      <c r="J4856" t="s">
        <v>15626</v>
      </c>
    </row>
    <row r="4857" spans="1:10" x14ac:dyDescent="0.25">
      <c r="A4857">
        <v>364665</v>
      </c>
      <c r="B4857" t="s">
        <v>5068</v>
      </c>
      <c r="C4857" t="str">
        <f>"9783110196269"</f>
        <v>9783110196269</v>
      </c>
      <c r="D4857" t="str">
        <f>"9783110199178"</f>
        <v>9783110199178</v>
      </c>
      <c r="E4857" t="s">
        <v>2482</v>
      </c>
      <c r="F4857" t="s">
        <v>2483</v>
      </c>
      <c r="G4857" s="1">
        <v>39687</v>
      </c>
      <c r="H4857" s="1">
        <v>39755</v>
      </c>
      <c r="I4857" t="s">
        <v>12</v>
      </c>
      <c r="J4857" t="s">
        <v>15627</v>
      </c>
    </row>
    <row r="4858" spans="1:10" x14ac:dyDescent="0.25">
      <c r="A4858">
        <v>364667</v>
      </c>
      <c r="B4858" t="s">
        <v>5069</v>
      </c>
      <c r="C4858" t="str">
        <f>"9783110186093"</f>
        <v>9783110186093</v>
      </c>
      <c r="D4858" t="str">
        <f>"9783110198560"</f>
        <v>9783110198560</v>
      </c>
      <c r="E4858" t="s">
        <v>5070</v>
      </c>
      <c r="F4858" t="s">
        <v>2483</v>
      </c>
      <c r="G4858" s="1">
        <v>39083</v>
      </c>
      <c r="H4858" s="1">
        <v>39755</v>
      </c>
      <c r="I4858" t="s">
        <v>12</v>
      </c>
      <c r="J4858" t="s">
        <v>15628</v>
      </c>
    </row>
    <row r="4859" spans="1:10" x14ac:dyDescent="0.25">
      <c r="A4859">
        <v>364672</v>
      </c>
      <c r="B4859" t="s">
        <v>5071</v>
      </c>
      <c r="C4859" t="str">
        <f>"9783110186826"</f>
        <v>9783110186826</v>
      </c>
      <c r="D4859" t="str">
        <f>"9783110207521"</f>
        <v>9783110207521</v>
      </c>
      <c r="E4859" t="s">
        <v>2482</v>
      </c>
      <c r="F4859" t="s">
        <v>2483</v>
      </c>
      <c r="G4859" s="1">
        <v>39188</v>
      </c>
      <c r="H4859" s="1">
        <v>39755</v>
      </c>
      <c r="I4859" t="s">
        <v>12</v>
      </c>
      <c r="J4859" t="s">
        <v>15629</v>
      </c>
    </row>
    <row r="4860" spans="1:10" x14ac:dyDescent="0.25">
      <c r="A4860">
        <v>364674</v>
      </c>
      <c r="B4860" t="s">
        <v>5072</v>
      </c>
      <c r="C4860" t="str">
        <f>"9783110200720"</f>
        <v>9783110200720</v>
      </c>
      <c r="D4860" t="str">
        <f>"9783110206555"</f>
        <v>9783110206555</v>
      </c>
      <c r="E4860" t="s">
        <v>2482</v>
      </c>
      <c r="F4860" t="s">
        <v>2482</v>
      </c>
      <c r="G4860" s="1">
        <v>39687</v>
      </c>
      <c r="H4860" s="1">
        <v>39755</v>
      </c>
      <c r="I4860" t="s">
        <v>12</v>
      </c>
      <c r="J4860" t="s">
        <v>15630</v>
      </c>
    </row>
    <row r="4861" spans="1:10" x14ac:dyDescent="0.25">
      <c r="A4861">
        <v>364685</v>
      </c>
      <c r="B4861" t="s">
        <v>5073</v>
      </c>
      <c r="C4861" t="str">
        <f>"9783110214239"</f>
        <v>9783110214239</v>
      </c>
      <c r="D4861" t="str">
        <f>"9783110198539"</f>
        <v>9783110198539</v>
      </c>
      <c r="E4861" t="s">
        <v>2482</v>
      </c>
      <c r="F4861" t="s">
        <v>2483</v>
      </c>
      <c r="G4861" s="1">
        <v>39279</v>
      </c>
      <c r="H4861" s="1">
        <v>39755</v>
      </c>
      <c r="I4861" t="s">
        <v>12</v>
      </c>
      <c r="J4861" t="s">
        <v>15631</v>
      </c>
    </row>
    <row r="4862" spans="1:10" x14ac:dyDescent="0.25">
      <c r="A4862">
        <v>364686</v>
      </c>
      <c r="B4862" t="s">
        <v>5074</v>
      </c>
      <c r="C4862" t="str">
        <f>"9783110212518"</f>
        <v>9783110212518</v>
      </c>
      <c r="D4862" t="str">
        <f>"9783110198553"</f>
        <v>9783110198553</v>
      </c>
      <c r="E4862" t="s">
        <v>2482</v>
      </c>
      <c r="F4862" t="s">
        <v>2483</v>
      </c>
      <c r="G4862" s="1">
        <v>39716</v>
      </c>
      <c r="H4862" s="1">
        <v>39755</v>
      </c>
      <c r="I4862" t="s">
        <v>12</v>
      </c>
      <c r="J4862" t="s">
        <v>15632</v>
      </c>
    </row>
    <row r="4863" spans="1:10" x14ac:dyDescent="0.25">
      <c r="A4863">
        <v>364692</v>
      </c>
      <c r="B4863" t="s">
        <v>5075</v>
      </c>
      <c r="C4863" t="str">
        <f>"9783110188721"</f>
        <v>9783110188721</v>
      </c>
      <c r="D4863" t="str">
        <f>"9783110207552"</f>
        <v>9783110207552</v>
      </c>
      <c r="E4863" t="s">
        <v>2482</v>
      </c>
      <c r="F4863" t="s">
        <v>2483</v>
      </c>
      <c r="G4863" s="1">
        <v>39220</v>
      </c>
      <c r="H4863" s="1">
        <v>39755</v>
      </c>
      <c r="I4863" t="s">
        <v>12</v>
      </c>
      <c r="J4863" t="s">
        <v>15633</v>
      </c>
    </row>
    <row r="4864" spans="1:10" x14ac:dyDescent="0.25">
      <c r="A4864">
        <v>364693</v>
      </c>
      <c r="B4864" t="s">
        <v>5076</v>
      </c>
      <c r="C4864" t="str">
        <f>"9783598220364"</f>
        <v>9783598220364</v>
      </c>
      <c r="D4864" t="str">
        <f>"9783598440908"</f>
        <v>9783598440908</v>
      </c>
      <c r="E4864" t="s">
        <v>2482</v>
      </c>
      <c r="F4864" t="s">
        <v>2482</v>
      </c>
      <c r="G4864" s="1">
        <v>39525</v>
      </c>
      <c r="H4864" s="1">
        <v>40245</v>
      </c>
      <c r="I4864" t="s">
        <v>12</v>
      </c>
      <c r="J4864" t="s">
        <v>15634</v>
      </c>
    </row>
    <row r="4865" spans="1:10" x14ac:dyDescent="0.25">
      <c r="A4865">
        <v>364700</v>
      </c>
      <c r="B4865" t="s">
        <v>5077</v>
      </c>
      <c r="C4865" t="str">
        <f>"9783598220388"</f>
        <v>9783598220388</v>
      </c>
      <c r="D4865" t="str">
        <f>"9783598440953"</f>
        <v>9783598440953</v>
      </c>
      <c r="E4865" t="s">
        <v>2482</v>
      </c>
      <c r="F4865" t="s">
        <v>2482</v>
      </c>
      <c r="G4865" s="1">
        <v>39588</v>
      </c>
      <c r="H4865" s="1">
        <v>41921</v>
      </c>
      <c r="I4865" t="s">
        <v>12</v>
      </c>
      <c r="J4865" t="s">
        <v>15635</v>
      </c>
    </row>
    <row r="4866" spans="1:10" x14ac:dyDescent="0.25">
      <c r="A4866">
        <v>364701</v>
      </c>
      <c r="B4866" t="s">
        <v>5078</v>
      </c>
      <c r="C4866" t="str">
        <f>"9783110195910"</f>
        <v>9783110195910</v>
      </c>
      <c r="D4866" t="str">
        <f>"9783110207347"</f>
        <v>9783110207347</v>
      </c>
      <c r="E4866" t="s">
        <v>2482</v>
      </c>
      <c r="F4866" t="s">
        <v>2483</v>
      </c>
      <c r="G4866" s="1">
        <v>39687</v>
      </c>
      <c r="H4866" s="1">
        <v>39755</v>
      </c>
      <c r="I4866" t="s">
        <v>12</v>
      </c>
      <c r="J4866" t="s">
        <v>15636</v>
      </c>
    </row>
    <row r="4867" spans="1:10" x14ac:dyDescent="0.25">
      <c r="A4867">
        <v>364715</v>
      </c>
      <c r="B4867" t="s">
        <v>5079</v>
      </c>
      <c r="C4867" t="str">
        <f>"9783110195255"</f>
        <v>9783110195255</v>
      </c>
      <c r="D4867" t="str">
        <f>"9783110198768"</f>
        <v>9783110198768</v>
      </c>
      <c r="E4867" t="s">
        <v>2482</v>
      </c>
      <c r="F4867" t="s">
        <v>2483</v>
      </c>
      <c r="G4867" s="1">
        <v>39378</v>
      </c>
      <c r="H4867" s="1">
        <v>39755</v>
      </c>
      <c r="I4867" t="s">
        <v>12</v>
      </c>
      <c r="J4867" t="s">
        <v>15637</v>
      </c>
    </row>
    <row r="4868" spans="1:10" x14ac:dyDescent="0.25">
      <c r="A4868">
        <v>364733</v>
      </c>
      <c r="B4868" t="s">
        <v>5080</v>
      </c>
      <c r="C4868" t="str">
        <f>"9783110195736"</f>
        <v>9783110195736</v>
      </c>
      <c r="D4868" t="str">
        <f>"9783110198775"</f>
        <v>9783110198775</v>
      </c>
      <c r="E4868" t="s">
        <v>2482</v>
      </c>
      <c r="F4868" t="s">
        <v>2483</v>
      </c>
      <c r="G4868" s="1">
        <v>39378</v>
      </c>
      <c r="H4868" s="1">
        <v>39755</v>
      </c>
      <c r="I4868" t="s">
        <v>12</v>
      </c>
      <c r="J4868" t="s">
        <v>15638</v>
      </c>
    </row>
    <row r="4869" spans="1:10" x14ac:dyDescent="0.25">
      <c r="A4869">
        <v>364735</v>
      </c>
      <c r="B4869" t="s">
        <v>5081</v>
      </c>
      <c r="C4869" t="str">
        <f>"9783110195781"</f>
        <v>9783110195781</v>
      </c>
      <c r="D4869" t="str">
        <f>"9783110198850"</f>
        <v>9783110198850</v>
      </c>
      <c r="E4869" t="s">
        <v>2482</v>
      </c>
      <c r="F4869" t="s">
        <v>2483</v>
      </c>
      <c r="G4869" s="1">
        <v>39314</v>
      </c>
      <c r="H4869" s="1">
        <v>39755</v>
      </c>
      <c r="I4869" t="s">
        <v>12</v>
      </c>
      <c r="J4869" t="s">
        <v>15639</v>
      </c>
    </row>
    <row r="4870" spans="1:10" x14ac:dyDescent="0.25">
      <c r="A4870">
        <v>364821</v>
      </c>
      <c r="B4870" t="s">
        <v>5082</v>
      </c>
      <c r="C4870" t="str">
        <f>"9780748633807"</f>
        <v>9780748633807</v>
      </c>
      <c r="D4870" t="str">
        <f>"9780748632411"</f>
        <v>9780748632411</v>
      </c>
      <c r="E4870" t="s">
        <v>1942</v>
      </c>
      <c r="F4870" t="s">
        <v>1942</v>
      </c>
      <c r="G4870" s="1">
        <v>39587</v>
      </c>
      <c r="H4870" s="1">
        <v>39746</v>
      </c>
      <c r="I4870" t="s">
        <v>12</v>
      </c>
      <c r="J4870" t="s">
        <v>15640</v>
      </c>
    </row>
    <row r="4871" spans="1:10" x14ac:dyDescent="0.25">
      <c r="A4871">
        <v>364822</v>
      </c>
      <c r="B4871" t="s">
        <v>5083</v>
      </c>
      <c r="C4871" t="str">
        <f>"9780748628087"</f>
        <v>9780748628087</v>
      </c>
      <c r="D4871" t="str">
        <f>"9780748631872"</f>
        <v>9780748631872</v>
      </c>
      <c r="E4871" t="s">
        <v>1942</v>
      </c>
      <c r="F4871" t="s">
        <v>1942</v>
      </c>
      <c r="G4871" s="1">
        <v>39564</v>
      </c>
      <c r="H4871" s="1">
        <v>39746</v>
      </c>
      <c r="I4871" t="s">
        <v>12</v>
      </c>
      <c r="J4871" t="s">
        <v>15641</v>
      </c>
    </row>
    <row r="4872" spans="1:10" x14ac:dyDescent="0.25">
      <c r="A4872">
        <v>365058</v>
      </c>
      <c r="B4872" t="s">
        <v>5084</v>
      </c>
      <c r="C4872" t="str">
        <f>"9781595800336"</f>
        <v>9781595800336</v>
      </c>
      <c r="D4872" t="str">
        <f>"9781595809988"</f>
        <v>9781595809988</v>
      </c>
      <c r="E4872" t="s">
        <v>5085</v>
      </c>
      <c r="F4872" t="s">
        <v>5085</v>
      </c>
      <c r="G4872" s="1">
        <v>39569</v>
      </c>
      <c r="H4872" s="1">
        <v>39779</v>
      </c>
      <c r="I4872" t="s">
        <v>12</v>
      </c>
      <c r="J4872" t="s">
        <v>15642</v>
      </c>
    </row>
    <row r="4873" spans="1:10" x14ac:dyDescent="0.25">
      <c r="A4873">
        <v>366045</v>
      </c>
      <c r="B4873" t="s">
        <v>5086</v>
      </c>
      <c r="C4873" t="str">
        <f>"9781604131475"</f>
        <v>9781604131475</v>
      </c>
      <c r="D4873" t="str">
        <f>"9781438114118"</f>
        <v>9781438114118</v>
      </c>
      <c r="E4873" t="s">
        <v>2998</v>
      </c>
      <c r="F4873" t="s">
        <v>2999</v>
      </c>
      <c r="G4873" s="1">
        <v>39630</v>
      </c>
      <c r="H4873" s="1">
        <v>39787</v>
      </c>
      <c r="I4873" t="s">
        <v>12</v>
      </c>
      <c r="J4873" t="s">
        <v>15643</v>
      </c>
    </row>
    <row r="4874" spans="1:10" x14ac:dyDescent="0.25">
      <c r="A4874">
        <v>366064</v>
      </c>
      <c r="B4874" t="s">
        <v>5087</v>
      </c>
      <c r="C4874" t="str">
        <f>"9780791072370"</f>
        <v>9780791072370</v>
      </c>
      <c r="D4874" t="str">
        <f>"9781438105109"</f>
        <v>9781438105109</v>
      </c>
      <c r="E4874" t="s">
        <v>2998</v>
      </c>
      <c r="F4874" t="s">
        <v>3008</v>
      </c>
      <c r="G4874" s="1">
        <v>37622</v>
      </c>
      <c r="H4874" s="1">
        <v>39826</v>
      </c>
      <c r="I4874" t="s">
        <v>12</v>
      </c>
      <c r="J4874" t="s">
        <v>15644</v>
      </c>
    </row>
    <row r="4875" spans="1:10" x14ac:dyDescent="0.25">
      <c r="A4875">
        <v>366080</v>
      </c>
      <c r="B4875" t="s">
        <v>5088</v>
      </c>
      <c r="C4875" t="str">
        <f>"9780791087862"</f>
        <v>9780791087862</v>
      </c>
      <c r="D4875" t="str">
        <f>"9781438107127"</f>
        <v>9781438107127</v>
      </c>
      <c r="E4875" t="s">
        <v>2998</v>
      </c>
      <c r="F4875" t="s">
        <v>3008</v>
      </c>
      <c r="G4875" s="1">
        <v>39022</v>
      </c>
      <c r="H4875" s="1">
        <v>39826</v>
      </c>
      <c r="I4875" t="s">
        <v>12</v>
      </c>
      <c r="J4875" t="s">
        <v>15645</v>
      </c>
    </row>
    <row r="4876" spans="1:10" x14ac:dyDescent="0.25">
      <c r="A4876">
        <v>366083</v>
      </c>
      <c r="B4876" t="s">
        <v>5089</v>
      </c>
      <c r="C4876" t="str">
        <f>"9780791087916"</f>
        <v>9780791087916</v>
      </c>
      <c r="D4876" t="str">
        <f>"9781438107110"</f>
        <v>9781438107110</v>
      </c>
      <c r="E4876" t="s">
        <v>2998</v>
      </c>
      <c r="F4876" t="s">
        <v>3008</v>
      </c>
      <c r="G4876" s="1">
        <v>39083</v>
      </c>
      <c r="H4876" s="1">
        <v>39826</v>
      </c>
      <c r="I4876" t="s">
        <v>12</v>
      </c>
      <c r="J4876" t="s">
        <v>15646</v>
      </c>
    </row>
    <row r="4877" spans="1:10" x14ac:dyDescent="0.25">
      <c r="A4877">
        <v>366084</v>
      </c>
      <c r="B4877" t="s">
        <v>5090</v>
      </c>
      <c r="C4877" t="str">
        <f>"9780791096925"</f>
        <v>9780791096925</v>
      </c>
      <c r="D4877" t="str">
        <f>"9781438106861"</f>
        <v>9781438106861</v>
      </c>
      <c r="E4877" t="s">
        <v>2998</v>
      </c>
      <c r="F4877" t="s">
        <v>3008</v>
      </c>
      <c r="G4877" s="1">
        <v>39449</v>
      </c>
      <c r="H4877" s="1">
        <v>39826</v>
      </c>
      <c r="I4877" t="s">
        <v>12</v>
      </c>
      <c r="J4877" t="s">
        <v>15647</v>
      </c>
    </row>
    <row r="4878" spans="1:10" x14ac:dyDescent="0.25">
      <c r="A4878">
        <v>366085</v>
      </c>
      <c r="B4878" t="s">
        <v>5091</v>
      </c>
      <c r="C4878" t="str">
        <f>"9780791096918"</f>
        <v>9780791096918</v>
      </c>
      <c r="D4878" t="str">
        <f>"9781438106908"</f>
        <v>9781438106908</v>
      </c>
      <c r="E4878" t="s">
        <v>2998</v>
      </c>
      <c r="F4878" t="s">
        <v>3008</v>
      </c>
      <c r="G4878" s="1">
        <v>39448</v>
      </c>
      <c r="H4878" s="1">
        <v>39826</v>
      </c>
      <c r="I4878" t="s">
        <v>12</v>
      </c>
      <c r="J4878" t="s">
        <v>15648</v>
      </c>
    </row>
    <row r="4879" spans="1:10" x14ac:dyDescent="0.25">
      <c r="A4879">
        <v>366119</v>
      </c>
      <c r="B4879" t="s">
        <v>5092</v>
      </c>
      <c r="C4879" t="str">
        <f>"9780791095140"</f>
        <v>9780791095140</v>
      </c>
      <c r="D4879" t="str">
        <f>"9781438105000"</f>
        <v>9781438105000</v>
      </c>
      <c r="E4879" t="s">
        <v>2998</v>
      </c>
      <c r="F4879" t="s">
        <v>3008</v>
      </c>
      <c r="G4879" s="1">
        <v>39356</v>
      </c>
      <c r="H4879" s="1">
        <v>39826</v>
      </c>
      <c r="I4879" t="s">
        <v>12</v>
      </c>
      <c r="J4879" t="s">
        <v>15649</v>
      </c>
    </row>
    <row r="4880" spans="1:10" x14ac:dyDescent="0.25">
      <c r="A4880">
        <v>366122</v>
      </c>
      <c r="B4880" t="s">
        <v>5093</v>
      </c>
      <c r="C4880" t="str">
        <f>"9780791094433"</f>
        <v>9780791094433</v>
      </c>
      <c r="D4880" t="str">
        <f>"9781438104751"</f>
        <v>9781438104751</v>
      </c>
      <c r="E4880" t="s">
        <v>2998</v>
      </c>
      <c r="F4880" t="s">
        <v>3008</v>
      </c>
      <c r="G4880" s="1">
        <v>39356</v>
      </c>
      <c r="H4880" s="1">
        <v>39826</v>
      </c>
      <c r="I4880" t="s">
        <v>12</v>
      </c>
      <c r="J4880" t="s">
        <v>15650</v>
      </c>
    </row>
    <row r="4881" spans="1:10" x14ac:dyDescent="0.25">
      <c r="A4881">
        <v>366146</v>
      </c>
      <c r="B4881" t="s">
        <v>5094</v>
      </c>
      <c r="C4881" t="str">
        <f>"9780791096185"</f>
        <v>9780791096185</v>
      </c>
      <c r="D4881" t="str">
        <f>"9781438113715"</f>
        <v>9781438113715</v>
      </c>
      <c r="E4881" t="s">
        <v>2998</v>
      </c>
      <c r="F4881" t="s">
        <v>3008</v>
      </c>
      <c r="G4881" s="1">
        <v>39539</v>
      </c>
      <c r="H4881" s="1">
        <v>39754</v>
      </c>
      <c r="I4881" t="s">
        <v>12</v>
      </c>
      <c r="J4881" t="s">
        <v>15651</v>
      </c>
    </row>
    <row r="4882" spans="1:10" x14ac:dyDescent="0.25">
      <c r="A4882">
        <v>366150</v>
      </c>
      <c r="B4882" t="s">
        <v>5095</v>
      </c>
      <c r="C4882" t="str">
        <f>"9780791096215"</f>
        <v>9780791096215</v>
      </c>
      <c r="D4882" t="str">
        <f>"9781438113050"</f>
        <v>9781438113050</v>
      </c>
      <c r="E4882" t="s">
        <v>2998</v>
      </c>
      <c r="F4882" t="s">
        <v>3008</v>
      </c>
      <c r="G4882" s="1">
        <v>39600</v>
      </c>
      <c r="H4882" s="1">
        <v>39754</v>
      </c>
      <c r="I4882" t="s">
        <v>12</v>
      </c>
      <c r="J4882" t="s">
        <v>15652</v>
      </c>
    </row>
    <row r="4883" spans="1:10" x14ac:dyDescent="0.25">
      <c r="A4883">
        <v>366166</v>
      </c>
      <c r="B4883" t="s">
        <v>5096</v>
      </c>
      <c r="C4883" t="str">
        <f>"9780816063529"</f>
        <v>9780816063529</v>
      </c>
      <c r="D4883" t="str">
        <f>"9781438105543"</f>
        <v>9781438105543</v>
      </c>
      <c r="E4883" t="s">
        <v>2998</v>
      </c>
      <c r="F4883" t="s">
        <v>3008</v>
      </c>
      <c r="G4883" s="1">
        <v>39173</v>
      </c>
      <c r="H4883" s="1">
        <v>39754</v>
      </c>
      <c r="I4883" t="s">
        <v>12</v>
      </c>
      <c r="J4883" t="s">
        <v>15653</v>
      </c>
    </row>
    <row r="4884" spans="1:10" x14ac:dyDescent="0.25">
      <c r="A4884">
        <v>366201</v>
      </c>
      <c r="B4884" t="s">
        <v>5097</v>
      </c>
      <c r="C4884" t="str">
        <f>"9780791095188"</f>
        <v>9780791095188</v>
      </c>
      <c r="D4884" t="str">
        <f>"9781438104683"</f>
        <v>9781438104683</v>
      </c>
      <c r="E4884" t="s">
        <v>2998</v>
      </c>
      <c r="F4884" t="s">
        <v>3008</v>
      </c>
      <c r="G4884" s="1">
        <v>39356</v>
      </c>
      <c r="H4884" s="1">
        <v>39826</v>
      </c>
      <c r="I4884" t="s">
        <v>12</v>
      </c>
      <c r="J4884" t="s">
        <v>15654</v>
      </c>
    </row>
    <row r="4885" spans="1:10" x14ac:dyDescent="0.25">
      <c r="A4885">
        <v>366209</v>
      </c>
      <c r="B4885" t="s">
        <v>5098</v>
      </c>
      <c r="C4885" t="str">
        <f>"9780791095102"</f>
        <v>9780791095102</v>
      </c>
      <c r="D4885" t="str">
        <f>"9781438105086"</f>
        <v>9781438105086</v>
      </c>
      <c r="E4885" t="s">
        <v>2998</v>
      </c>
      <c r="F4885" t="s">
        <v>3008</v>
      </c>
      <c r="G4885" s="1">
        <v>39417</v>
      </c>
      <c r="H4885" s="1">
        <v>39826</v>
      </c>
      <c r="I4885" t="s">
        <v>12</v>
      </c>
      <c r="J4885" t="s">
        <v>15655</v>
      </c>
    </row>
    <row r="4886" spans="1:10" x14ac:dyDescent="0.25">
      <c r="A4886">
        <v>366218</v>
      </c>
      <c r="B4886" t="s">
        <v>5099</v>
      </c>
      <c r="C4886" t="str">
        <f>"9780816062164"</f>
        <v>9780816062164</v>
      </c>
      <c r="D4886" t="str">
        <f>"9781438105680"</f>
        <v>9781438105680</v>
      </c>
      <c r="E4886" t="s">
        <v>2998</v>
      </c>
      <c r="F4886" t="s">
        <v>3008</v>
      </c>
      <c r="G4886" s="1">
        <v>39387</v>
      </c>
      <c r="H4886" s="1">
        <v>39756</v>
      </c>
      <c r="I4886" t="s">
        <v>12</v>
      </c>
      <c r="J4886" t="s">
        <v>15656</v>
      </c>
    </row>
    <row r="4887" spans="1:10" x14ac:dyDescent="0.25">
      <c r="A4887">
        <v>366244</v>
      </c>
      <c r="B4887" t="s">
        <v>5100</v>
      </c>
      <c r="C4887" t="str">
        <f>"9780816064731"</f>
        <v>9780816064731</v>
      </c>
      <c r="D4887" t="str">
        <f>"9781438110653"</f>
        <v>9781438110653</v>
      </c>
      <c r="E4887" t="s">
        <v>2998</v>
      </c>
      <c r="F4887" t="s">
        <v>2999</v>
      </c>
      <c r="G4887" s="1">
        <v>39114</v>
      </c>
      <c r="H4887" s="1">
        <v>39756</v>
      </c>
      <c r="I4887" t="s">
        <v>12</v>
      </c>
      <c r="J4887" t="s">
        <v>15657</v>
      </c>
    </row>
    <row r="4888" spans="1:10" x14ac:dyDescent="0.25">
      <c r="A4888">
        <v>366245</v>
      </c>
      <c r="B4888" t="s">
        <v>5101</v>
      </c>
      <c r="C4888" t="str">
        <f>"9780791072561"</f>
        <v>9780791072561</v>
      </c>
      <c r="D4888" t="str">
        <f>"9781438106748"</f>
        <v>9781438106748</v>
      </c>
      <c r="E4888" t="s">
        <v>2998</v>
      </c>
      <c r="F4888" t="s">
        <v>3008</v>
      </c>
      <c r="G4888" s="1">
        <v>37681</v>
      </c>
      <c r="H4888" s="1">
        <v>39826</v>
      </c>
      <c r="I4888" t="s">
        <v>12</v>
      </c>
      <c r="J4888" t="s">
        <v>15658</v>
      </c>
    </row>
    <row r="4889" spans="1:10" x14ac:dyDescent="0.25">
      <c r="A4889">
        <v>366256</v>
      </c>
      <c r="B4889" t="s">
        <v>5102</v>
      </c>
      <c r="C4889" t="str">
        <f>"9780791095096"</f>
        <v>9780791095096</v>
      </c>
      <c r="D4889" t="str">
        <f>"9781438104942"</f>
        <v>9781438104942</v>
      </c>
      <c r="E4889" t="s">
        <v>2998</v>
      </c>
      <c r="F4889" t="s">
        <v>3008</v>
      </c>
      <c r="G4889" s="1">
        <v>39417</v>
      </c>
      <c r="H4889" s="1">
        <v>39825</v>
      </c>
      <c r="I4889" t="s">
        <v>12</v>
      </c>
      <c r="J4889" t="s">
        <v>15659</v>
      </c>
    </row>
    <row r="4890" spans="1:10" x14ac:dyDescent="0.25">
      <c r="A4890">
        <v>366257</v>
      </c>
      <c r="B4890" t="s">
        <v>5103</v>
      </c>
      <c r="C4890" t="str">
        <f>"9780791095119"</f>
        <v>9780791095119</v>
      </c>
      <c r="D4890" t="str">
        <f>"9781438105482"</f>
        <v>9781438105482</v>
      </c>
      <c r="E4890" t="s">
        <v>2998</v>
      </c>
      <c r="F4890" t="s">
        <v>3008</v>
      </c>
      <c r="G4890" s="1">
        <v>39387</v>
      </c>
      <c r="H4890" s="1">
        <v>39826</v>
      </c>
      <c r="I4890" t="s">
        <v>12</v>
      </c>
      <c r="J4890" t="s">
        <v>15660</v>
      </c>
    </row>
    <row r="4891" spans="1:10" x14ac:dyDescent="0.25">
      <c r="A4891">
        <v>366302</v>
      </c>
      <c r="B4891" t="s">
        <v>5104</v>
      </c>
      <c r="C4891" t="str">
        <f>"9780791086261"</f>
        <v>9780791086261</v>
      </c>
      <c r="D4891" t="str">
        <f>"9781438104188"</f>
        <v>9781438104188</v>
      </c>
      <c r="E4891" t="s">
        <v>2998</v>
      </c>
      <c r="F4891" t="s">
        <v>3008</v>
      </c>
      <c r="G4891" s="1">
        <v>38596</v>
      </c>
      <c r="H4891" s="1">
        <v>39754</v>
      </c>
      <c r="I4891" t="s">
        <v>12</v>
      </c>
      <c r="J4891" t="s">
        <v>15661</v>
      </c>
    </row>
    <row r="4892" spans="1:10" x14ac:dyDescent="0.25">
      <c r="A4892">
        <v>366379</v>
      </c>
      <c r="B4892" t="s">
        <v>5105</v>
      </c>
      <c r="C4892" t="str">
        <f>"9780816064670"</f>
        <v>9780816064670</v>
      </c>
      <c r="D4892" t="str">
        <f>"9781438117621"</f>
        <v>9781438117621</v>
      </c>
      <c r="E4892" t="s">
        <v>2998</v>
      </c>
      <c r="F4892" t="s">
        <v>2999</v>
      </c>
      <c r="G4892" s="1">
        <v>39454</v>
      </c>
      <c r="H4892" s="1">
        <v>39756</v>
      </c>
      <c r="I4892" t="s">
        <v>12</v>
      </c>
      <c r="J4892" t="s">
        <v>15662</v>
      </c>
    </row>
    <row r="4893" spans="1:10" x14ac:dyDescent="0.25">
      <c r="A4893">
        <v>366393</v>
      </c>
      <c r="B4893" t="s">
        <v>5106</v>
      </c>
      <c r="C4893" t="str">
        <f>"9780816048090"</f>
        <v>9780816048090</v>
      </c>
      <c r="D4893" t="str">
        <f>"9781438108773"</f>
        <v>9781438108773</v>
      </c>
      <c r="E4893" t="s">
        <v>2998</v>
      </c>
      <c r="F4893" t="s">
        <v>2999</v>
      </c>
      <c r="G4893" s="1">
        <v>37803</v>
      </c>
      <c r="H4893" s="1">
        <v>39756</v>
      </c>
      <c r="I4893" t="s">
        <v>12</v>
      </c>
      <c r="J4893" t="s">
        <v>15663</v>
      </c>
    </row>
    <row r="4894" spans="1:10" x14ac:dyDescent="0.25">
      <c r="A4894">
        <v>366394</v>
      </c>
      <c r="B4894" t="s">
        <v>5107</v>
      </c>
      <c r="C4894" t="str">
        <f>"9780791095713"</f>
        <v>9780791095713</v>
      </c>
      <c r="D4894" t="str">
        <f>"9781438106335"</f>
        <v>9781438106335</v>
      </c>
      <c r="E4894" t="s">
        <v>2998</v>
      </c>
      <c r="F4894" t="s">
        <v>3008</v>
      </c>
      <c r="G4894" s="1">
        <v>39417</v>
      </c>
      <c r="H4894" s="1">
        <v>39826</v>
      </c>
      <c r="I4894" t="s">
        <v>12</v>
      </c>
      <c r="J4894" t="s">
        <v>15664</v>
      </c>
    </row>
    <row r="4895" spans="1:10" x14ac:dyDescent="0.25">
      <c r="A4895">
        <v>366412</v>
      </c>
      <c r="B4895" t="s">
        <v>5108</v>
      </c>
      <c r="C4895" t="str">
        <f>"9780791088432"</f>
        <v>9780791088432</v>
      </c>
      <c r="D4895" t="str">
        <f>"9781438106878"</f>
        <v>9781438106878</v>
      </c>
      <c r="E4895" t="s">
        <v>2998</v>
      </c>
      <c r="F4895" t="s">
        <v>3008</v>
      </c>
      <c r="G4895" s="1">
        <v>38719</v>
      </c>
      <c r="H4895" s="1">
        <v>39826</v>
      </c>
      <c r="I4895" t="s">
        <v>12</v>
      </c>
      <c r="J4895" t="s">
        <v>15665</v>
      </c>
    </row>
    <row r="4896" spans="1:10" x14ac:dyDescent="0.25">
      <c r="A4896">
        <v>366414</v>
      </c>
      <c r="B4896" t="s">
        <v>5109</v>
      </c>
      <c r="C4896" t="str">
        <f>"9780791096666"</f>
        <v>9780791096666</v>
      </c>
      <c r="D4896" t="str">
        <f>"9781438106939"</f>
        <v>9781438106939</v>
      </c>
      <c r="E4896" t="s">
        <v>2998</v>
      </c>
      <c r="F4896" t="s">
        <v>3008</v>
      </c>
      <c r="G4896" s="1">
        <v>39449</v>
      </c>
      <c r="H4896" s="1">
        <v>39826</v>
      </c>
      <c r="I4896" t="s">
        <v>12</v>
      </c>
      <c r="J4896" t="s">
        <v>15666</v>
      </c>
    </row>
    <row r="4897" spans="1:10" x14ac:dyDescent="0.25">
      <c r="A4897">
        <v>366415</v>
      </c>
      <c r="B4897" t="s">
        <v>5110</v>
      </c>
      <c r="C4897" t="str">
        <f>"9780791096642"</f>
        <v>9780791096642</v>
      </c>
      <c r="D4897" t="str">
        <f>"9781438106779"</f>
        <v>9781438106779</v>
      </c>
      <c r="E4897" t="s">
        <v>2998</v>
      </c>
      <c r="F4897" t="s">
        <v>3008</v>
      </c>
      <c r="G4897" s="1">
        <v>39448</v>
      </c>
      <c r="H4897" s="1">
        <v>39826</v>
      </c>
      <c r="I4897" t="s">
        <v>12</v>
      </c>
      <c r="J4897" t="s">
        <v>15667</v>
      </c>
    </row>
    <row r="4898" spans="1:10" x14ac:dyDescent="0.25">
      <c r="A4898">
        <v>366419</v>
      </c>
      <c r="B4898" t="s">
        <v>5111</v>
      </c>
      <c r="C4898" t="str">
        <f>"9780791086278"</f>
        <v>9780791086278</v>
      </c>
      <c r="D4898" t="str">
        <f>"9781438104201"</f>
        <v>9781438104201</v>
      </c>
      <c r="E4898" t="s">
        <v>2998</v>
      </c>
      <c r="F4898" t="s">
        <v>3008</v>
      </c>
      <c r="G4898" s="1">
        <v>38596</v>
      </c>
      <c r="H4898" s="1">
        <v>39754</v>
      </c>
      <c r="I4898" t="s">
        <v>12</v>
      </c>
      <c r="J4898" t="s">
        <v>15668</v>
      </c>
    </row>
    <row r="4899" spans="1:10" x14ac:dyDescent="0.25">
      <c r="A4899">
        <v>366420</v>
      </c>
      <c r="B4899" t="s">
        <v>5112</v>
      </c>
      <c r="C4899" t="str">
        <f>"9780791095027"</f>
        <v>9780791095027</v>
      </c>
      <c r="D4899" t="str">
        <f>"9781438106304"</f>
        <v>9781438106304</v>
      </c>
      <c r="E4899" t="s">
        <v>2998</v>
      </c>
      <c r="F4899" t="s">
        <v>3008</v>
      </c>
      <c r="G4899" s="1">
        <v>39356</v>
      </c>
      <c r="H4899" s="1">
        <v>39826</v>
      </c>
      <c r="I4899" t="s">
        <v>12</v>
      </c>
      <c r="J4899" t="s">
        <v>15669</v>
      </c>
    </row>
    <row r="4900" spans="1:10" x14ac:dyDescent="0.25">
      <c r="A4900">
        <v>366421</v>
      </c>
      <c r="B4900" t="s">
        <v>5113</v>
      </c>
      <c r="C4900" t="str">
        <f>"9780791095041"</f>
        <v>9780791095041</v>
      </c>
      <c r="D4900" t="str">
        <f>"9781438106311"</f>
        <v>9781438106311</v>
      </c>
      <c r="E4900" t="s">
        <v>2998</v>
      </c>
      <c r="F4900" t="s">
        <v>3008</v>
      </c>
      <c r="G4900" s="1">
        <v>39387</v>
      </c>
      <c r="H4900" s="1">
        <v>39826</v>
      </c>
      <c r="I4900" t="s">
        <v>12</v>
      </c>
      <c r="J4900" t="s">
        <v>15670</v>
      </c>
    </row>
    <row r="4901" spans="1:10" x14ac:dyDescent="0.25">
      <c r="A4901">
        <v>366423</v>
      </c>
      <c r="B4901" t="s">
        <v>5114</v>
      </c>
      <c r="C4901" t="str">
        <f>"9780791095010"</f>
        <v>9780791095010</v>
      </c>
      <c r="D4901" t="str">
        <f>"9781438106366"</f>
        <v>9781438106366</v>
      </c>
      <c r="E4901" t="s">
        <v>2998</v>
      </c>
      <c r="F4901" t="s">
        <v>3008</v>
      </c>
      <c r="G4901" s="1">
        <v>39356</v>
      </c>
      <c r="H4901" s="1">
        <v>39826</v>
      </c>
      <c r="I4901" t="s">
        <v>12</v>
      </c>
      <c r="J4901" t="s">
        <v>15671</v>
      </c>
    </row>
    <row r="4902" spans="1:10" x14ac:dyDescent="0.25">
      <c r="A4902">
        <v>366430</v>
      </c>
      <c r="B4902" t="s">
        <v>5115</v>
      </c>
      <c r="C4902" t="str">
        <f>"9780791072547"</f>
        <v>9780791072547</v>
      </c>
      <c r="D4902" t="str">
        <f>"9781438106786"</f>
        <v>9781438106786</v>
      </c>
      <c r="E4902" t="s">
        <v>2998</v>
      </c>
      <c r="F4902" t="s">
        <v>3008</v>
      </c>
      <c r="G4902" s="1">
        <v>37681</v>
      </c>
      <c r="H4902" s="1">
        <v>39826</v>
      </c>
      <c r="I4902" t="s">
        <v>12</v>
      </c>
      <c r="J4902" t="s">
        <v>15672</v>
      </c>
    </row>
    <row r="4903" spans="1:10" x14ac:dyDescent="0.25">
      <c r="A4903">
        <v>366455</v>
      </c>
      <c r="B4903" t="s">
        <v>5116</v>
      </c>
      <c r="C4903" t="str">
        <f>"9780791096710"</f>
        <v>9780791096710</v>
      </c>
      <c r="D4903" t="str">
        <f>"9781438105024"</f>
        <v>9781438105024</v>
      </c>
      <c r="E4903" t="s">
        <v>2998</v>
      </c>
      <c r="F4903" t="s">
        <v>3008</v>
      </c>
      <c r="G4903" s="1">
        <v>39479</v>
      </c>
      <c r="H4903" s="1">
        <v>39826</v>
      </c>
      <c r="I4903" t="s">
        <v>12</v>
      </c>
      <c r="J4903" t="s">
        <v>15673</v>
      </c>
    </row>
    <row r="4904" spans="1:10" x14ac:dyDescent="0.25">
      <c r="A4904">
        <v>366460</v>
      </c>
      <c r="B4904" t="s">
        <v>5117</v>
      </c>
      <c r="C4904" t="str">
        <f>"9780791087527"</f>
        <v>9780791087527</v>
      </c>
      <c r="D4904" t="str">
        <f>"9781438106953"</f>
        <v>9781438106953</v>
      </c>
      <c r="E4904" t="s">
        <v>2998</v>
      </c>
      <c r="F4904" t="s">
        <v>3008</v>
      </c>
      <c r="G4904" s="1">
        <v>38720</v>
      </c>
      <c r="H4904" s="1">
        <v>39756</v>
      </c>
      <c r="I4904" t="s">
        <v>12</v>
      </c>
      <c r="J4904" t="s">
        <v>15674</v>
      </c>
    </row>
    <row r="4905" spans="1:10" x14ac:dyDescent="0.25">
      <c r="A4905">
        <v>366480</v>
      </c>
      <c r="B4905" t="s">
        <v>5118</v>
      </c>
      <c r="C4905" t="str">
        <f>"9780816065219"</f>
        <v>9780816065219</v>
      </c>
      <c r="D4905" t="str">
        <f>"9781438108414"</f>
        <v>9781438108414</v>
      </c>
      <c r="E4905" t="s">
        <v>2998</v>
      </c>
      <c r="F4905" t="s">
        <v>2999</v>
      </c>
      <c r="G4905" s="1">
        <v>39600</v>
      </c>
      <c r="H4905" s="1">
        <v>39756</v>
      </c>
      <c r="I4905" t="s">
        <v>12</v>
      </c>
      <c r="J4905" t="s">
        <v>15675</v>
      </c>
    </row>
    <row r="4906" spans="1:10" x14ac:dyDescent="0.25">
      <c r="A4906">
        <v>366482</v>
      </c>
      <c r="B4906" t="s">
        <v>30</v>
      </c>
      <c r="C4906" t="str">
        <f>"9780791079140"</f>
        <v>9780791079140</v>
      </c>
      <c r="D4906" t="str">
        <f>"9781438105444"</f>
        <v>9781438105444</v>
      </c>
      <c r="E4906" t="s">
        <v>2998</v>
      </c>
      <c r="F4906" t="s">
        <v>3008</v>
      </c>
      <c r="G4906" s="1">
        <v>38047</v>
      </c>
      <c r="H4906" s="1">
        <v>39826</v>
      </c>
      <c r="I4906" t="s">
        <v>12</v>
      </c>
      <c r="J4906" t="s">
        <v>15676</v>
      </c>
    </row>
    <row r="4907" spans="1:10" x14ac:dyDescent="0.25">
      <c r="A4907">
        <v>366495</v>
      </c>
      <c r="B4907" t="s">
        <v>5119</v>
      </c>
      <c r="C4907" t="str">
        <f>"9780791094334"</f>
        <v>9780791094334</v>
      </c>
      <c r="D4907" t="str">
        <f>"9781438104478"</f>
        <v>9781438104478</v>
      </c>
      <c r="E4907" t="s">
        <v>2998</v>
      </c>
      <c r="F4907" t="s">
        <v>3008</v>
      </c>
      <c r="G4907" s="1">
        <v>39142</v>
      </c>
      <c r="H4907" s="1">
        <v>39754</v>
      </c>
      <c r="I4907" t="s">
        <v>12</v>
      </c>
      <c r="J4907" t="s">
        <v>15677</v>
      </c>
    </row>
    <row r="4908" spans="1:10" x14ac:dyDescent="0.25">
      <c r="A4908">
        <v>366522</v>
      </c>
      <c r="B4908" t="s">
        <v>5120</v>
      </c>
      <c r="C4908" t="str">
        <f>"9780791092200"</f>
        <v>9780791092200</v>
      </c>
      <c r="D4908" t="str">
        <f>"9781438104430"</f>
        <v>9781438104430</v>
      </c>
      <c r="E4908" t="s">
        <v>2998</v>
      </c>
      <c r="F4908" t="s">
        <v>3008</v>
      </c>
      <c r="G4908" s="1">
        <v>39083</v>
      </c>
      <c r="H4908" s="1">
        <v>39754</v>
      </c>
      <c r="I4908" t="s">
        <v>12</v>
      </c>
      <c r="J4908" t="s">
        <v>15678</v>
      </c>
    </row>
    <row r="4909" spans="1:10" x14ac:dyDescent="0.25">
      <c r="A4909">
        <v>366523</v>
      </c>
      <c r="B4909" t="s">
        <v>5121</v>
      </c>
      <c r="C4909" t="str">
        <f>"9780791092224"</f>
        <v>9780791092224</v>
      </c>
      <c r="D4909" t="str">
        <f>"9781438104447"</f>
        <v>9781438104447</v>
      </c>
      <c r="E4909" t="s">
        <v>2998</v>
      </c>
      <c r="F4909" t="s">
        <v>3008</v>
      </c>
      <c r="G4909" s="1">
        <v>39083</v>
      </c>
      <c r="H4909" s="1">
        <v>39754</v>
      </c>
      <c r="I4909" t="s">
        <v>12</v>
      </c>
      <c r="J4909" t="s">
        <v>15679</v>
      </c>
    </row>
    <row r="4910" spans="1:10" x14ac:dyDescent="0.25">
      <c r="A4910">
        <v>366539</v>
      </c>
      <c r="B4910" t="s">
        <v>5122</v>
      </c>
      <c r="C4910" t="str">
        <f>"9780791097243"</f>
        <v>9780791097243</v>
      </c>
      <c r="D4910" t="str">
        <f>"9781438106816"</f>
        <v>9781438106816</v>
      </c>
      <c r="E4910" t="s">
        <v>2998</v>
      </c>
      <c r="F4910" t="s">
        <v>3008</v>
      </c>
      <c r="G4910" s="1">
        <v>39448</v>
      </c>
      <c r="H4910" s="1">
        <v>39826</v>
      </c>
      <c r="I4910" t="s">
        <v>12</v>
      </c>
      <c r="J4910" t="s">
        <v>15680</v>
      </c>
    </row>
    <row r="4911" spans="1:10" x14ac:dyDescent="0.25">
      <c r="A4911">
        <v>366542</v>
      </c>
      <c r="B4911" t="s">
        <v>5123</v>
      </c>
      <c r="C4911" t="str">
        <f>"9780791095003"</f>
        <v>9780791095003</v>
      </c>
      <c r="D4911" t="str">
        <f>"9781438104713"</f>
        <v>9781438104713</v>
      </c>
      <c r="E4911" t="s">
        <v>2998</v>
      </c>
      <c r="F4911" t="s">
        <v>3008</v>
      </c>
      <c r="G4911" s="1">
        <v>39356</v>
      </c>
      <c r="H4911" s="1">
        <v>39826</v>
      </c>
      <c r="I4911" t="s">
        <v>12</v>
      </c>
      <c r="J4911" t="s">
        <v>15681</v>
      </c>
    </row>
    <row r="4912" spans="1:10" x14ac:dyDescent="0.25">
      <c r="A4912">
        <v>366689</v>
      </c>
      <c r="B4912" t="s">
        <v>5124</v>
      </c>
      <c r="C4912" t="str">
        <f>"9781843106982"</f>
        <v>9781843106982</v>
      </c>
      <c r="D4912" t="str">
        <f>"9781846428470"</f>
        <v>9781846428470</v>
      </c>
      <c r="E4912" t="s">
        <v>2950</v>
      </c>
      <c r="F4912" t="s">
        <v>2950</v>
      </c>
      <c r="G4912" s="1">
        <v>39706</v>
      </c>
      <c r="H4912" s="1">
        <v>39788</v>
      </c>
      <c r="I4912" t="s">
        <v>12</v>
      </c>
      <c r="J4912" t="s">
        <v>15682</v>
      </c>
    </row>
    <row r="4913" spans="1:10" x14ac:dyDescent="0.25">
      <c r="A4913">
        <v>366875</v>
      </c>
      <c r="B4913" t="s">
        <v>5125</v>
      </c>
      <c r="C4913" t="str">
        <f>"9780470997895"</f>
        <v>9780470997895</v>
      </c>
      <c r="D4913" t="str">
        <f>"9780470772812"</f>
        <v>9780470772812</v>
      </c>
      <c r="E4913" t="s">
        <v>1088</v>
      </c>
      <c r="F4913" t="s">
        <v>1088</v>
      </c>
      <c r="G4913" s="1">
        <v>39608</v>
      </c>
      <c r="H4913" s="1">
        <v>39758</v>
      </c>
      <c r="I4913" t="s">
        <v>12</v>
      </c>
      <c r="J4913" t="s">
        <v>15683</v>
      </c>
    </row>
    <row r="4914" spans="1:10" x14ac:dyDescent="0.25">
      <c r="A4914">
        <v>367138</v>
      </c>
      <c r="B4914" t="s">
        <v>5126</v>
      </c>
      <c r="C4914" t="str">
        <f>"9789264048102"</f>
        <v>9789264048102</v>
      </c>
      <c r="D4914" t="str">
        <f>"9789264048119"</f>
        <v>9789264048119</v>
      </c>
      <c r="E4914" t="s">
        <v>1185</v>
      </c>
      <c r="F4914" t="s">
        <v>1186</v>
      </c>
      <c r="G4914" s="1">
        <v>39713</v>
      </c>
      <c r="H4914" s="1">
        <v>39757</v>
      </c>
      <c r="I4914" t="s">
        <v>12</v>
      </c>
      <c r="J4914" t="s">
        <v>15684</v>
      </c>
    </row>
    <row r="4915" spans="1:10" x14ac:dyDescent="0.25">
      <c r="A4915">
        <v>368495</v>
      </c>
      <c r="B4915" t="s">
        <v>5127</v>
      </c>
      <c r="C4915" t="str">
        <f>"9781845298647"</f>
        <v>9781845298647</v>
      </c>
      <c r="D4915" t="str">
        <f>"9781593398460"</f>
        <v>9781593398460</v>
      </c>
      <c r="E4915" t="s">
        <v>5042</v>
      </c>
      <c r="F4915" t="s">
        <v>5043</v>
      </c>
      <c r="G4915" s="1">
        <v>39448</v>
      </c>
      <c r="H4915" s="1">
        <v>39827</v>
      </c>
      <c r="I4915" t="s">
        <v>12</v>
      </c>
      <c r="J4915" t="s">
        <v>15685</v>
      </c>
    </row>
    <row r="4916" spans="1:10" x14ac:dyDescent="0.25">
      <c r="A4916">
        <v>368672</v>
      </c>
      <c r="B4916" t="s">
        <v>5128</v>
      </c>
      <c r="C4916" t="str">
        <f>"9781861892577"</f>
        <v>9781861892577</v>
      </c>
      <c r="D4916" t="str">
        <f>"9781861894205"</f>
        <v>9781861894205</v>
      </c>
      <c r="E4916" t="s">
        <v>5129</v>
      </c>
      <c r="F4916" t="s">
        <v>5129</v>
      </c>
      <c r="G4916" s="1">
        <v>38610</v>
      </c>
      <c r="H4916" s="1">
        <v>39778</v>
      </c>
      <c r="I4916" t="s">
        <v>12</v>
      </c>
      <c r="J4916" t="s">
        <v>15686</v>
      </c>
    </row>
    <row r="4917" spans="1:10" x14ac:dyDescent="0.25">
      <c r="A4917">
        <v>368681</v>
      </c>
      <c r="B4917" t="s">
        <v>5130</v>
      </c>
      <c r="C4917" t="str">
        <f>"9781931644693"</f>
        <v>9781931644693</v>
      </c>
      <c r="D4917" t="str">
        <f>"9781931644754"</f>
        <v>9781931644754</v>
      </c>
      <c r="E4917" t="s">
        <v>3668</v>
      </c>
      <c r="F4917" t="s">
        <v>3668</v>
      </c>
      <c r="G4917" s="1">
        <v>39753</v>
      </c>
      <c r="H4917" s="1">
        <v>39888</v>
      </c>
      <c r="I4917" t="s">
        <v>12</v>
      </c>
      <c r="J4917" t="s">
        <v>15687</v>
      </c>
    </row>
    <row r="4918" spans="1:10" x14ac:dyDescent="0.25">
      <c r="A4918">
        <v>368715</v>
      </c>
      <c r="B4918" t="s">
        <v>5131</v>
      </c>
      <c r="C4918" t="str">
        <f>"9781592138876"</f>
        <v>9781592138876</v>
      </c>
      <c r="D4918" t="str">
        <f>"9781592138890"</f>
        <v>9781592138890</v>
      </c>
      <c r="E4918" t="s">
        <v>3604</v>
      </c>
      <c r="F4918" t="s">
        <v>3604</v>
      </c>
      <c r="G4918" s="1">
        <v>39160</v>
      </c>
      <c r="H4918" s="1">
        <v>39767</v>
      </c>
      <c r="I4918" t="s">
        <v>12</v>
      </c>
      <c r="J4918" t="s">
        <v>15688</v>
      </c>
    </row>
    <row r="4919" spans="1:10" x14ac:dyDescent="0.25">
      <c r="A4919">
        <v>370266</v>
      </c>
      <c r="B4919" t="s">
        <v>5132</v>
      </c>
      <c r="C4919" t="str">
        <f>"9781847690517"</f>
        <v>9781847690517</v>
      </c>
      <c r="D4919" t="str">
        <f>"9781847690524"</f>
        <v>9781847690524</v>
      </c>
      <c r="E4919" t="s">
        <v>886</v>
      </c>
      <c r="F4919" t="s">
        <v>887</v>
      </c>
      <c r="G4919" s="1">
        <v>39590</v>
      </c>
      <c r="H4919" s="1">
        <v>39778</v>
      </c>
      <c r="I4919" t="s">
        <v>12</v>
      </c>
      <c r="J4919" t="s">
        <v>15689</v>
      </c>
    </row>
    <row r="4920" spans="1:10" x14ac:dyDescent="0.25">
      <c r="A4920">
        <v>370282</v>
      </c>
      <c r="B4920" t="s">
        <v>5133</v>
      </c>
      <c r="C4920" t="str">
        <f>"9781847690739"</f>
        <v>9781847690739</v>
      </c>
      <c r="D4920" t="str">
        <f>"9781847690746"</f>
        <v>9781847690746</v>
      </c>
      <c r="E4920" t="s">
        <v>886</v>
      </c>
      <c r="F4920" t="s">
        <v>887</v>
      </c>
      <c r="G4920" s="1">
        <v>39547</v>
      </c>
      <c r="H4920" s="1">
        <v>39778</v>
      </c>
      <c r="I4920" t="s">
        <v>12</v>
      </c>
      <c r="J4920" t="s">
        <v>15690</v>
      </c>
    </row>
    <row r="4921" spans="1:10" x14ac:dyDescent="0.25">
      <c r="A4921">
        <v>370283</v>
      </c>
      <c r="B4921" t="s">
        <v>5134</v>
      </c>
      <c r="C4921" t="str">
        <f>"9781847690937"</f>
        <v>9781847690937</v>
      </c>
      <c r="D4921" t="str">
        <f>"9781847690944"</f>
        <v>9781847690944</v>
      </c>
      <c r="E4921" t="s">
        <v>886</v>
      </c>
      <c r="F4921" t="s">
        <v>887</v>
      </c>
      <c r="G4921" s="1">
        <v>39664</v>
      </c>
      <c r="H4921" s="1">
        <v>39778</v>
      </c>
      <c r="I4921" t="s">
        <v>12</v>
      </c>
      <c r="J4921" t="s">
        <v>15691</v>
      </c>
    </row>
    <row r="4922" spans="1:10" x14ac:dyDescent="0.25">
      <c r="A4922">
        <v>370284</v>
      </c>
      <c r="B4922" t="s">
        <v>5135</v>
      </c>
      <c r="C4922" t="str">
        <f>"9781847691019"</f>
        <v>9781847691019</v>
      </c>
      <c r="D4922" t="str">
        <f>"9781847691026"</f>
        <v>9781847691026</v>
      </c>
      <c r="E4922" t="s">
        <v>886</v>
      </c>
      <c r="F4922" t="s">
        <v>887</v>
      </c>
      <c r="G4922" s="1">
        <v>39681</v>
      </c>
      <c r="H4922" s="1">
        <v>39778</v>
      </c>
      <c r="I4922" t="s">
        <v>12</v>
      </c>
      <c r="J4922" t="s">
        <v>15692</v>
      </c>
    </row>
    <row r="4923" spans="1:10" x14ac:dyDescent="0.25">
      <c r="A4923">
        <v>370288</v>
      </c>
      <c r="B4923" t="s">
        <v>5136</v>
      </c>
      <c r="C4923" t="str">
        <f>"9781845410889"</f>
        <v>9781845410889</v>
      </c>
      <c r="D4923" t="str">
        <f>"9781845410896"</f>
        <v>9781845410896</v>
      </c>
      <c r="E4923" t="s">
        <v>886</v>
      </c>
      <c r="F4923" t="s">
        <v>886</v>
      </c>
      <c r="G4923" s="1">
        <v>39608</v>
      </c>
      <c r="H4923" s="1">
        <v>39778</v>
      </c>
      <c r="I4923" t="s">
        <v>12</v>
      </c>
      <c r="J4923" t="s">
        <v>15693</v>
      </c>
    </row>
    <row r="4924" spans="1:10" x14ac:dyDescent="0.25">
      <c r="A4924">
        <v>370296</v>
      </c>
      <c r="B4924" t="s">
        <v>5137</v>
      </c>
      <c r="C4924" t="str">
        <f>"9789264045194"</f>
        <v>9789264045194</v>
      </c>
      <c r="D4924" t="str">
        <f>"9789264045200"</f>
        <v>9789264045200</v>
      </c>
      <c r="E4924" t="s">
        <v>1185</v>
      </c>
      <c r="F4924" t="s">
        <v>1186</v>
      </c>
      <c r="G4924" s="1">
        <v>39707</v>
      </c>
      <c r="H4924" s="1">
        <v>39778</v>
      </c>
      <c r="I4924" t="s">
        <v>12</v>
      </c>
      <c r="J4924" t="s">
        <v>15694</v>
      </c>
    </row>
    <row r="4925" spans="1:10" x14ac:dyDescent="0.25">
      <c r="A4925">
        <v>370301</v>
      </c>
      <c r="B4925" t="s">
        <v>5138</v>
      </c>
      <c r="C4925" t="str">
        <f>"9789264047679"</f>
        <v>9789264047679</v>
      </c>
      <c r="D4925" t="str">
        <f>"9789264047693"</f>
        <v>9789264047693</v>
      </c>
      <c r="E4925" t="s">
        <v>1185</v>
      </c>
      <c r="F4925" t="s">
        <v>1186</v>
      </c>
      <c r="G4925" s="1">
        <v>39724</v>
      </c>
      <c r="H4925" s="1">
        <v>39778</v>
      </c>
      <c r="I4925" t="s">
        <v>12</v>
      </c>
      <c r="J4925" t="s">
        <v>15695</v>
      </c>
    </row>
    <row r="4926" spans="1:10" x14ac:dyDescent="0.25">
      <c r="A4926">
        <v>370493</v>
      </c>
      <c r="B4926" t="s">
        <v>5139</v>
      </c>
      <c r="C4926" t="str">
        <f>"9781412923231"</f>
        <v>9781412923231</v>
      </c>
      <c r="D4926" t="str">
        <f>"9781848607507"</f>
        <v>9781848607507</v>
      </c>
      <c r="E4926" t="s">
        <v>1569</v>
      </c>
      <c r="F4926" t="s">
        <v>1570</v>
      </c>
      <c r="G4926" s="1">
        <v>39223</v>
      </c>
      <c r="H4926" s="1">
        <v>39779</v>
      </c>
      <c r="I4926" t="s">
        <v>12</v>
      </c>
      <c r="J4926" t="s">
        <v>15696</v>
      </c>
    </row>
    <row r="4927" spans="1:10" x14ac:dyDescent="0.25">
      <c r="A4927">
        <v>370494</v>
      </c>
      <c r="B4927" t="s">
        <v>5140</v>
      </c>
      <c r="C4927" t="str">
        <f>"9781412923804"</f>
        <v>9781412923804</v>
      </c>
      <c r="D4927" t="str">
        <f>"9781848608474"</f>
        <v>9781848608474</v>
      </c>
      <c r="E4927" t="s">
        <v>1569</v>
      </c>
      <c r="F4927" t="s">
        <v>1570</v>
      </c>
      <c r="G4927" s="1">
        <v>39099</v>
      </c>
      <c r="H4927" s="1">
        <v>39779</v>
      </c>
      <c r="I4927" t="s">
        <v>12</v>
      </c>
      <c r="J4927" t="s">
        <v>15697</v>
      </c>
    </row>
    <row r="4928" spans="1:10" x14ac:dyDescent="0.25">
      <c r="A4928">
        <v>370499</v>
      </c>
      <c r="B4928" t="s">
        <v>5141</v>
      </c>
      <c r="C4928" t="str">
        <f>"9781412923811"</f>
        <v>9781412923811</v>
      </c>
      <c r="D4928" t="str">
        <f>"9781848607545"</f>
        <v>9781848607545</v>
      </c>
      <c r="E4928" t="s">
        <v>1569</v>
      </c>
      <c r="F4928" t="s">
        <v>1570</v>
      </c>
      <c r="G4928" s="1">
        <v>39370</v>
      </c>
      <c r="H4928" s="1">
        <v>39779</v>
      </c>
      <c r="I4928" t="s">
        <v>12</v>
      </c>
      <c r="J4928" t="s">
        <v>15698</v>
      </c>
    </row>
    <row r="4929" spans="1:10" x14ac:dyDescent="0.25">
      <c r="A4929">
        <v>370500</v>
      </c>
      <c r="B4929" t="s">
        <v>5142</v>
      </c>
      <c r="C4929" t="str">
        <f>"9780761940494"</f>
        <v>9780761940494</v>
      </c>
      <c r="D4929" t="str">
        <f>"9781848600980"</f>
        <v>9781848600980</v>
      </c>
      <c r="E4929" t="s">
        <v>1569</v>
      </c>
      <c r="F4929" t="s">
        <v>1570</v>
      </c>
      <c r="G4929" s="1">
        <v>37677</v>
      </c>
      <c r="H4929" s="1">
        <v>39779</v>
      </c>
      <c r="I4929" t="s">
        <v>12</v>
      </c>
      <c r="J4929" t="s">
        <v>15699</v>
      </c>
    </row>
    <row r="4930" spans="1:10" x14ac:dyDescent="0.25">
      <c r="A4930">
        <v>370507</v>
      </c>
      <c r="B4930" t="s">
        <v>5143</v>
      </c>
      <c r="C4930" t="str">
        <f>"9780761962618"</f>
        <v>9780761962618</v>
      </c>
      <c r="D4930" t="str">
        <f>"9781848608665"</f>
        <v>9781848608665</v>
      </c>
      <c r="E4930" t="s">
        <v>1569</v>
      </c>
      <c r="F4930" t="s">
        <v>1570</v>
      </c>
      <c r="G4930" s="1">
        <v>37357</v>
      </c>
      <c r="H4930" s="1">
        <v>39779</v>
      </c>
      <c r="I4930" t="s">
        <v>12</v>
      </c>
      <c r="J4930" t="s">
        <v>15700</v>
      </c>
    </row>
    <row r="4931" spans="1:10" x14ac:dyDescent="0.25">
      <c r="A4931">
        <v>370508</v>
      </c>
      <c r="B4931" t="s">
        <v>5144</v>
      </c>
      <c r="C4931" t="str">
        <f>"9780761970385"</f>
        <v>9780761970385</v>
      </c>
      <c r="D4931" t="str">
        <f>"9781848608566"</f>
        <v>9781848608566</v>
      </c>
      <c r="E4931" t="s">
        <v>1569</v>
      </c>
      <c r="F4931" t="s">
        <v>1570</v>
      </c>
      <c r="G4931" s="1">
        <v>37343</v>
      </c>
      <c r="H4931" s="1">
        <v>39779</v>
      </c>
      <c r="I4931" t="s">
        <v>12</v>
      </c>
      <c r="J4931" t="s">
        <v>15701</v>
      </c>
    </row>
    <row r="4932" spans="1:10" x14ac:dyDescent="0.25">
      <c r="A4932">
        <v>370525</v>
      </c>
      <c r="B4932" t="s">
        <v>5145</v>
      </c>
      <c r="C4932" t="str">
        <f>"9780761944546"</f>
        <v>9780761944546</v>
      </c>
      <c r="D4932" t="str">
        <f>"9781848607422"</f>
        <v>9781848607422</v>
      </c>
      <c r="E4932" t="s">
        <v>1569</v>
      </c>
      <c r="F4932" t="s">
        <v>1570</v>
      </c>
      <c r="G4932" s="1">
        <v>39237</v>
      </c>
      <c r="H4932" s="1">
        <v>39779</v>
      </c>
      <c r="I4932" t="s">
        <v>12</v>
      </c>
      <c r="J4932" t="s">
        <v>15702</v>
      </c>
    </row>
    <row r="4933" spans="1:10" x14ac:dyDescent="0.25">
      <c r="A4933">
        <v>370528</v>
      </c>
      <c r="B4933" t="s">
        <v>5146</v>
      </c>
      <c r="C4933" t="str">
        <f>"9781412922555"</f>
        <v>9781412922555</v>
      </c>
      <c r="D4933" t="str">
        <f>"9781848607613"</f>
        <v>9781848607613</v>
      </c>
      <c r="E4933" t="s">
        <v>1569</v>
      </c>
      <c r="F4933" t="s">
        <v>1570</v>
      </c>
      <c r="G4933" s="1">
        <v>39317</v>
      </c>
      <c r="H4933" s="1">
        <v>39779</v>
      </c>
      <c r="I4933" t="s">
        <v>12</v>
      </c>
      <c r="J4933" t="s">
        <v>15703</v>
      </c>
    </row>
    <row r="4934" spans="1:10" x14ac:dyDescent="0.25">
      <c r="A4934">
        <v>370540</v>
      </c>
      <c r="B4934" t="s">
        <v>5147</v>
      </c>
      <c r="C4934" t="str">
        <f>"9781412931106"</f>
        <v>9781412931106</v>
      </c>
      <c r="D4934" t="str">
        <f>"9781848607408"</f>
        <v>9781848607408</v>
      </c>
      <c r="E4934" t="s">
        <v>1569</v>
      </c>
      <c r="F4934" t="s">
        <v>1570</v>
      </c>
      <c r="G4934" s="1">
        <v>39315</v>
      </c>
      <c r="H4934" s="1">
        <v>39779</v>
      </c>
      <c r="I4934" t="s">
        <v>12</v>
      </c>
      <c r="J4934" t="s">
        <v>15704</v>
      </c>
    </row>
    <row r="4935" spans="1:10" x14ac:dyDescent="0.25">
      <c r="A4935">
        <v>371186</v>
      </c>
      <c r="B4935" t="s">
        <v>5148</v>
      </c>
      <c r="C4935" t="str">
        <f>"9781593859763"</f>
        <v>9781593859763</v>
      </c>
      <c r="D4935" t="str">
        <f>"9781606232729"</f>
        <v>9781606232729</v>
      </c>
      <c r="E4935" t="s">
        <v>3740</v>
      </c>
      <c r="F4935" t="s">
        <v>3741</v>
      </c>
      <c r="G4935" s="1">
        <v>39730</v>
      </c>
      <c r="H4935" s="1">
        <v>39781</v>
      </c>
      <c r="I4935" t="s">
        <v>12</v>
      </c>
      <c r="J4935" t="s">
        <v>15705</v>
      </c>
    </row>
    <row r="4936" spans="1:10" x14ac:dyDescent="0.25">
      <c r="A4936">
        <v>380340</v>
      </c>
      <c r="B4936" t="s">
        <v>5149</v>
      </c>
      <c r="C4936" t="str">
        <f>"9781593372965"</f>
        <v>9781593372965</v>
      </c>
      <c r="D4936" t="str">
        <f>"9781605508450"</f>
        <v>9781605508450</v>
      </c>
      <c r="E4936" t="s">
        <v>5150</v>
      </c>
      <c r="F4936" t="s">
        <v>5151</v>
      </c>
      <c r="G4936" s="1">
        <v>38534</v>
      </c>
      <c r="H4936" s="1">
        <v>39794</v>
      </c>
      <c r="I4936" t="s">
        <v>12</v>
      </c>
      <c r="J4936" t="s">
        <v>15706</v>
      </c>
    </row>
    <row r="4937" spans="1:10" x14ac:dyDescent="0.25">
      <c r="A4937">
        <v>380378</v>
      </c>
      <c r="B4937" t="s">
        <v>5152</v>
      </c>
      <c r="C4937" t="str">
        <f>"9781593374037"</f>
        <v>9781593374037</v>
      </c>
      <c r="D4937" t="str">
        <f>"9781605508351"</f>
        <v>9781605508351</v>
      </c>
      <c r="E4937" t="s">
        <v>5150</v>
      </c>
      <c r="F4937" t="s">
        <v>5151</v>
      </c>
      <c r="G4937" s="1">
        <v>39769</v>
      </c>
      <c r="H4937" s="1">
        <v>41461</v>
      </c>
      <c r="I4937" t="s">
        <v>12</v>
      </c>
      <c r="J4937" t="s">
        <v>15707</v>
      </c>
    </row>
    <row r="4938" spans="1:10" x14ac:dyDescent="0.25">
      <c r="A4938">
        <v>380381</v>
      </c>
      <c r="B4938" t="s">
        <v>5153</v>
      </c>
      <c r="C4938" t="str">
        <f>"9781859591987"</f>
        <v>9781859591987</v>
      </c>
      <c r="D4938" t="str">
        <f>"9781859592144"</f>
        <v>9781859592144</v>
      </c>
      <c r="E4938" t="s">
        <v>5154</v>
      </c>
      <c r="F4938" t="s">
        <v>4789</v>
      </c>
      <c r="G4938" s="1">
        <v>41526</v>
      </c>
      <c r="H4938" s="1">
        <v>39788</v>
      </c>
      <c r="I4938" t="s">
        <v>12</v>
      </c>
      <c r="J4938" t="s">
        <v>15708</v>
      </c>
    </row>
    <row r="4939" spans="1:10" x14ac:dyDescent="0.25">
      <c r="A4939">
        <v>380393</v>
      </c>
      <c r="B4939" t="s">
        <v>5155</v>
      </c>
      <c r="C4939" t="str">
        <f>"9780748619467"</f>
        <v>9780748619467</v>
      </c>
      <c r="D4939" t="str">
        <f>"9780748629039"</f>
        <v>9780748629039</v>
      </c>
      <c r="E4939" t="s">
        <v>1942</v>
      </c>
      <c r="F4939" t="s">
        <v>1942</v>
      </c>
      <c r="G4939" s="1">
        <v>39729</v>
      </c>
      <c r="H4939" s="1">
        <v>39795</v>
      </c>
      <c r="I4939" t="s">
        <v>12</v>
      </c>
      <c r="J4939" t="s">
        <v>15709</v>
      </c>
    </row>
    <row r="4940" spans="1:10" x14ac:dyDescent="0.25">
      <c r="A4940">
        <v>380394</v>
      </c>
      <c r="B4940" t="s">
        <v>5156</v>
      </c>
      <c r="C4940" t="str">
        <f>"9780748622580"</f>
        <v>9780748622580</v>
      </c>
      <c r="D4940" t="str">
        <f>"9780748629770"</f>
        <v>9780748629770</v>
      </c>
      <c r="E4940" t="s">
        <v>1942</v>
      </c>
      <c r="F4940" t="s">
        <v>1942</v>
      </c>
      <c r="G4940" s="1">
        <v>39729</v>
      </c>
      <c r="H4940" s="1">
        <v>39795</v>
      </c>
      <c r="I4940" t="s">
        <v>12</v>
      </c>
      <c r="J4940" t="s">
        <v>15710</v>
      </c>
    </row>
    <row r="4941" spans="1:10" x14ac:dyDescent="0.25">
      <c r="A4941">
        <v>380395</v>
      </c>
      <c r="B4941" t="s">
        <v>5157</v>
      </c>
      <c r="C4941" t="str">
        <f>"9780748623563"</f>
        <v>9780748623563</v>
      </c>
      <c r="D4941" t="str">
        <f>"9780748630097"</f>
        <v>9780748630097</v>
      </c>
      <c r="E4941" t="s">
        <v>1942</v>
      </c>
      <c r="F4941" t="s">
        <v>1942</v>
      </c>
      <c r="G4941" s="1">
        <v>39661</v>
      </c>
      <c r="H4941" s="1">
        <v>39795</v>
      </c>
      <c r="I4941" t="s">
        <v>12</v>
      </c>
      <c r="J4941" t="s">
        <v>15711</v>
      </c>
    </row>
    <row r="4942" spans="1:10" x14ac:dyDescent="0.25">
      <c r="A4942">
        <v>380396</v>
      </c>
      <c r="B4942" t="s">
        <v>5158</v>
      </c>
      <c r="C4942" t="str">
        <f>"9780748624195"</f>
        <v>9780748624195</v>
      </c>
      <c r="D4942" t="str">
        <f>"9780748630370"</f>
        <v>9780748630370</v>
      </c>
      <c r="E4942" t="s">
        <v>1942</v>
      </c>
      <c r="F4942" t="s">
        <v>1942</v>
      </c>
      <c r="G4942" s="1">
        <v>39687</v>
      </c>
      <c r="H4942" s="1">
        <v>39795</v>
      </c>
      <c r="I4942" t="s">
        <v>12</v>
      </c>
      <c r="J4942" t="s">
        <v>15712</v>
      </c>
    </row>
    <row r="4943" spans="1:10" x14ac:dyDescent="0.25">
      <c r="A4943">
        <v>380399</v>
      </c>
      <c r="B4943" t="s">
        <v>5159</v>
      </c>
      <c r="C4943" t="str">
        <f>"9780748624744"</f>
        <v>9780748624744</v>
      </c>
      <c r="D4943" t="str">
        <f>"9780748630592"</f>
        <v>9780748630592</v>
      </c>
      <c r="E4943" t="s">
        <v>1942</v>
      </c>
      <c r="F4943" t="s">
        <v>1942</v>
      </c>
      <c r="G4943" s="1">
        <v>39735</v>
      </c>
      <c r="H4943" s="1">
        <v>40805</v>
      </c>
      <c r="I4943" t="s">
        <v>12</v>
      </c>
      <c r="J4943" t="s">
        <v>15713</v>
      </c>
    </row>
    <row r="4944" spans="1:10" x14ac:dyDescent="0.25">
      <c r="A4944">
        <v>380806</v>
      </c>
      <c r="B4944" t="s">
        <v>5160</v>
      </c>
      <c r="C4944" t="str">
        <f>"9780813544465"</f>
        <v>9780813544465</v>
      </c>
      <c r="D4944" t="str">
        <f>"9780813545974"</f>
        <v>9780813545974</v>
      </c>
      <c r="E4944" t="s">
        <v>4859</v>
      </c>
      <c r="F4944" t="s">
        <v>4859</v>
      </c>
      <c r="G4944" s="1">
        <v>39828</v>
      </c>
      <c r="H4944" s="1">
        <v>39789</v>
      </c>
      <c r="I4944" t="s">
        <v>12</v>
      </c>
      <c r="J4944" t="s">
        <v>15714</v>
      </c>
    </row>
    <row r="4945" spans="1:10" x14ac:dyDescent="0.25">
      <c r="A4945">
        <v>380807</v>
      </c>
      <c r="B4945" t="s">
        <v>5161</v>
      </c>
      <c r="C4945" t="str">
        <f>"9780813544052"</f>
        <v>9780813544052</v>
      </c>
      <c r="D4945" t="str">
        <f>"9780813545981"</f>
        <v>9780813545981</v>
      </c>
      <c r="E4945" t="s">
        <v>4859</v>
      </c>
      <c r="F4945" t="s">
        <v>4859</v>
      </c>
      <c r="G4945" s="1">
        <v>39772</v>
      </c>
      <c r="H4945" s="1">
        <v>39789</v>
      </c>
      <c r="I4945" t="s">
        <v>12</v>
      </c>
      <c r="J4945" t="s">
        <v>15715</v>
      </c>
    </row>
    <row r="4946" spans="1:10" x14ac:dyDescent="0.25">
      <c r="A4946">
        <v>395560</v>
      </c>
      <c r="B4946" t="s">
        <v>5162</v>
      </c>
      <c r="C4946" t="str">
        <f>"9788122418217"</f>
        <v>9788122418217</v>
      </c>
      <c r="D4946" t="str">
        <f>"9788122424140"</f>
        <v>9788122424140</v>
      </c>
      <c r="E4946" t="s">
        <v>4636</v>
      </c>
      <c r="F4946" t="s">
        <v>4637</v>
      </c>
      <c r="G4946" s="1">
        <v>38919</v>
      </c>
      <c r="H4946" s="1">
        <v>39797</v>
      </c>
      <c r="I4946" t="s">
        <v>12</v>
      </c>
      <c r="J4946" t="s">
        <v>15716</v>
      </c>
    </row>
    <row r="4947" spans="1:10" x14ac:dyDescent="0.25">
      <c r="A4947">
        <v>400844</v>
      </c>
      <c r="B4947" t="s">
        <v>5163</v>
      </c>
      <c r="C4947" t="str">
        <f>"9781589650572"</f>
        <v>9781589650572</v>
      </c>
      <c r="D4947" t="str">
        <f>"9781589650589"</f>
        <v>9781589650589</v>
      </c>
      <c r="E4947" t="s">
        <v>5164</v>
      </c>
      <c r="F4947" t="s">
        <v>5164</v>
      </c>
      <c r="G4947" s="1">
        <v>39692</v>
      </c>
      <c r="H4947" s="1">
        <v>39819</v>
      </c>
      <c r="I4947" t="s">
        <v>12</v>
      </c>
      <c r="J4947" t="s">
        <v>15717</v>
      </c>
    </row>
    <row r="4948" spans="1:10" x14ac:dyDescent="0.25">
      <c r="A4948">
        <v>404323</v>
      </c>
      <c r="B4948" t="s">
        <v>5165</v>
      </c>
      <c r="C4948" t="str">
        <f>"9780750646147"</f>
        <v>9780750646147</v>
      </c>
      <c r="D4948" t="str">
        <f>"9780080506975"</f>
        <v>9780080506975</v>
      </c>
      <c r="E4948" t="s">
        <v>15</v>
      </c>
      <c r="F4948" t="s">
        <v>16</v>
      </c>
      <c r="G4948" s="1">
        <v>40056</v>
      </c>
      <c r="H4948" s="1">
        <v>39855</v>
      </c>
      <c r="I4948" t="s">
        <v>12</v>
      </c>
      <c r="J4948" t="s">
        <v>15718</v>
      </c>
    </row>
    <row r="4949" spans="1:10" x14ac:dyDescent="0.25">
      <c r="A4949">
        <v>405972</v>
      </c>
      <c r="B4949" t="s">
        <v>5166</v>
      </c>
      <c r="C4949" t="str">
        <f>"9781593851071"</f>
        <v>9781593851071</v>
      </c>
      <c r="D4949" t="str">
        <f>"9781606232293"</f>
        <v>9781606232293</v>
      </c>
      <c r="E4949" t="s">
        <v>3740</v>
      </c>
      <c r="F4949" t="s">
        <v>3741</v>
      </c>
      <c r="G4949" s="1">
        <v>38324</v>
      </c>
      <c r="H4949" s="1">
        <v>39813</v>
      </c>
      <c r="I4949" t="s">
        <v>12</v>
      </c>
      <c r="J4949" t="s">
        <v>15719</v>
      </c>
    </row>
    <row r="4950" spans="1:10" x14ac:dyDescent="0.25">
      <c r="A4950">
        <v>405976</v>
      </c>
      <c r="B4950" t="s">
        <v>5167</v>
      </c>
      <c r="C4950" t="str">
        <f>"9781593850234"</f>
        <v>9781593850234</v>
      </c>
      <c r="D4950" t="str">
        <f>"9781606232088"</f>
        <v>9781606232088</v>
      </c>
      <c r="E4950" t="s">
        <v>3740</v>
      </c>
      <c r="F4950" t="s">
        <v>3741</v>
      </c>
      <c r="G4950" s="1">
        <v>38105</v>
      </c>
      <c r="H4950" s="1">
        <v>39813</v>
      </c>
      <c r="I4950" t="s">
        <v>12</v>
      </c>
      <c r="J4950" t="s">
        <v>15720</v>
      </c>
    </row>
    <row r="4951" spans="1:10" x14ac:dyDescent="0.25">
      <c r="A4951">
        <v>405984</v>
      </c>
      <c r="B4951" t="s">
        <v>5168</v>
      </c>
      <c r="C4951" t="str">
        <f>"9781593850814"</f>
        <v>9781593850814</v>
      </c>
      <c r="D4951" t="str">
        <f>"9781606231968"</f>
        <v>9781606231968</v>
      </c>
      <c r="E4951" t="s">
        <v>3740</v>
      </c>
      <c r="F4951" t="s">
        <v>3754</v>
      </c>
      <c r="G4951" s="1">
        <v>41773</v>
      </c>
      <c r="H4951" s="1">
        <v>39813</v>
      </c>
      <c r="I4951" t="s">
        <v>12</v>
      </c>
      <c r="J4951" t="s">
        <v>15721</v>
      </c>
    </row>
    <row r="4952" spans="1:10" x14ac:dyDescent="0.25">
      <c r="A4952">
        <v>406004</v>
      </c>
      <c r="B4952" t="s">
        <v>5169</v>
      </c>
      <c r="C4952" t="str">
        <f>"9781593850227"</f>
        <v>9781593850227</v>
      </c>
      <c r="D4952" t="str">
        <f>"9781606232064"</f>
        <v>9781606232064</v>
      </c>
      <c r="E4952" t="s">
        <v>3740</v>
      </c>
      <c r="F4952" t="s">
        <v>3741</v>
      </c>
      <c r="G4952" s="1">
        <v>41773</v>
      </c>
      <c r="H4952" s="1">
        <v>39822</v>
      </c>
      <c r="I4952" t="s">
        <v>12</v>
      </c>
      <c r="J4952" t="s">
        <v>15722</v>
      </c>
    </row>
    <row r="4953" spans="1:10" x14ac:dyDescent="0.25">
      <c r="A4953">
        <v>406027</v>
      </c>
      <c r="B4953" t="s">
        <v>5170</v>
      </c>
      <c r="C4953" t="str">
        <f>"9781593851170"</f>
        <v>9781593851170</v>
      </c>
      <c r="D4953" t="str">
        <f>"9781606231708"</f>
        <v>9781606231708</v>
      </c>
      <c r="E4953" t="s">
        <v>3740</v>
      </c>
      <c r="F4953" t="s">
        <v>3741</v>
      </c>
      <c r="G4953" s="1">
        <v>38327</v>
      </c>
      <c r="H4953" s="1">
        <v>39813</v>
      </c>
      <c r="I4953" t="s">
        <v>12</v>
      </c>
      <c r="J4953" t="s">
        <v>15723</v>
      </c>
    </row>
    <row r="4954" spans="1:10" x14ac:dyDescent="0.25">
      <c r="A4954">
        <v>406030</v>
      </c>
      <c r="B4954" t="s">
        <v>5171</v>
      </c>
      <c r="C4954" t="str">
        <f>"9781572309845"</f>
        <v>9781572309845</v>
      </c>
      <c r="D4954" t="str">
        <f>"9781606231609"</f>
        <v>9781606231609</v>
      </c>
      <c r="E4954" t="s">
        <v>3740</v>
      </c>
      <c r="F4954" t="s">
        <v>3741</v>
      </c>
      <c r="G4954" s="1">
        <v>38064</v>
      </c>
      <c r="H4954" s="1">
        <v>39813</v>
      </c>
      <c r="I4954" t="s">
        <v>12</v>
      </c>
      <c r="J4954" t="s">
        <v>15724</v>
      </c>
    </row>
    <row r="4955" spans="1:10" x14ac:dyDescent="0.25">
      <c r="A4955">
        <v>406035</v>
      </c>
      <c r="B4955" t="s">
        <v>5172</v>
      </c>
      <c r="C4955" t="str">
        <f>"9781593850364"</f>
        <v>9781593850364</v>
      </c>
      <c r="D4955" t="str">
        <f>"9781606232095"</f>
        <v>9781606232095</v>
      </c>
      <c r="E4955" t="s">
        <v>3740</v>
      </c>
      <c r="F4955" t="s">
        <v>3741</v>
      </c>
      <c r="G4955" s="1">
        <v>38099</v>
      </c>
      <c r="H4955" s="1">
        <v>39813</v>
      </c>
      <c r="I4955" t="s">
        <v>12</v>
      </c>
      <c r="J4955" t="s">
        <v>15725</v>
      </c>
    </row>
    <row r="4956" spans="1:10" x14ac:dyDescent="0.25">
      <c r="A4956">
        <v>406357</v>
      </c>
      <c r="B4956" t="s">
        <v>5173</v>
      </c>
      <c r="C4956" t="str">
        <f>"9781598698442"</f>
        <v>9781598698442</v>
      </c>
      <c r="D4956" t="str">
        <f>"9781440501197"</f>
        <v>9781440501197</v>
      </c>
      <c r="E4956" t="s">
        <v>5150</v>
      </c>
      <c r="F4956" t="s">
        <v>5151</v>
      </c>
      <c r="G4956" s="1">
        <v>39569</v>
      </c>
      <c r="H4956" s="1">
        <v>39828</v>
      </c>
      <c r="I4956" t="s">
        <v>12</v>
      </c>
      <c r="J4956" t="s">
        <v>15726</v>
      </c>
    </row>
    <row r="4957" spans="1:10" x14ac:dyDescent="0.25">
      <c r="A4957">
        <v>406360</v>
      </c>
      <c r="B4957" t="s">
        <v>5174</v>
      </c>
      <c r="C4957" t="str">
        <f>"9781593371128"</f>
        <v>9781593371128</v>
      </c>
      <c r="D4957" t="str">
        <f>"9781440500817"</f>
        <v>9781440500817</v>
      </c>
      <c r="E4957" t="s">
        <v>5150</v>
      </c>
      <c r="F4957" t="s">
        <v>5151</v>
      </c>
      <c r="G4957" s="1">
        <v>38303</v>
      </c>
      <c r="H4957" s="1">
        <v>39828</v>
      </c>
      <c r="I4957" t="s">
        <v>12</v>
      </c>
      <c r="J4957" t="s">
        <v>15727</v>
      </c>
    </row>
    <row r="4958" spans="1:10" x14ac:dyDescent="0.25">
      <c r="A4958">
        <v>406361</v>
      </c>
      <c r="B4958" t="s">
        <v>5175</v>
      </c>
      <c r="C4958" t="str">
        <f>"9781593371555"</f>
        <v>9781593371555</v>
      </c>
      <c r="D4958" t="str">
        <f>"9781440500831"</f>
        <v>9781440500831</v>
      </c>
      <c r="E4958" t="s">
        <v>5176</v>
      </c>
      <c r="F4958" t="s">
        <v>5151</v>
      </c>
      <c r="G4958" s="1">
        <v>38366</v>
      </c>
      <c r="H4958" s="1">
        <v>39828</v>
      </c>
      <c r="I4958" t="s">
        <v>12</v>
      </c>
      <c r="J4958" t="s">
        <v>15728</v>
      </c>
    </row>
    <row r="4959" spans="1:10" x14ac:dyDescent="0.25">
      <c r="A4959">
        <v>406379</v>
      </c>
      <c r="B4959" t="s">
        <v>5177</v>
      </c>
      <c r="C4959" t="str">
        <f>"9781593373764"</f>
        <v>9781593373764</v>
      </c>
      <c r="D4959" t="str">
        <f>"9781440500879"</f>
        <v>9781440500879</v>
      </c>
      <c r="E4959" t="s">
        <v>5150</v>
      </c>
      <c r="F4959" t="s">
        <v>5151</v>
      </c>
      <c r="G4959" s="1">
        <v>38596</v>
      </c>
      <c r="H4959" s="1">
        <v>39828</v>
      </c>
      <c r="I4959" t="s">
        <v>12</v>
      </c>
      <c r="J4959" t="s">
        <v>15729</v>
      </c>
    </row>
    <row r="4960" spans="1:10" x14ac:dyDescent="0.25">
      <c r="A4960">
        <v>406380</v>
      </c>
      <c r="B4960" t="s">
        <v>5178</v>
      </c>
      <c r="C4960" t="str">
        <f>"9781598692280"</f>
        <v>9781598692280</v>
      </c>
      <c r="D4960" t="str">
        <f>"9781440501043"</f>
        <v>9781440501043</v>
      </c>
      <c r="E4960" t="s">
        <v>5150</v>
      </c>
      <c r="F4960" t="s">
        <v>5151</v>
      </c>
      <c r="G4960" s="1">
        <v>39417</v>
      </c>
      <c r="H4960" s="1">
        <v>39828</v>
      </c>
      <c r="I4960" t="s">
        <v>12</v>
      </c>
      <c r="J4960" t="s">
        <v>15730</v>
      </c>
    </row>
    <row r="4961" spans="1:10" x14ac:dyDescent="0.25">
      <c r="A4961">
        <v>406381</v>
      </c>
      <c r="B4961" t="s">
        <v>5179</v>
      </c>
      <c r="C4961" t="str">
        <f>"9781580628136"</f>
        <v>9781580628136</v>
      </c>
      <c r="D4961" t="str">
        <f>"9781440500794"</f>
        <v>9781440500794</v>
      </c>
      <c r="E4961" t="s">
        <v>5150</v>
      </c>
      <c r="F4961" t="s">
        <v>5151</v>
      </c>
      <c r="G4961" s="1">
        <v>37622</v>
      </c>
      <c r="H4961" s="1">
        <v>39828</v>
      </c>
      <c r="I4961" t="s">
        <v>12</v>
      </c>
      <c r="J4961" t="s">
        <v>15731</v>
      </c>
    </row>
    <row r="4962" spans="1:10" x14ac:dyDescent="0.25">
      <c r="A4962">
        <v>406387</v>
      </c>
      <c r="B4962" t="s">
        <v>5180</v>
      </c>
      <c r="C4962" t="str">
        <f>"9781580621168"</f>
        <v>9781580621168</v>
      </c>
      <c r="D4962" t="str">
        <f>"9781440500787"</f>
        <v>9781440500787</v>
      </c>
      <c r="E4962" t="s">
        <v>5150</v>
      </c>
      <c r="F4962" t="s">
        <v>5151</v>
      </c>
      <c r="G4962" s="1">
        <v>36281</v>
      </c>
      <c r="H4962" s="1">
        <v>39828</v>
      </c>
      <c r="I4962" t="s">
        <v>12</v>
      </c>
      <c r="J4962" t="s">
        <v>15732</v>
      </c>
    </row>
    <row r="4963" spans="1:10" x14ac:dyDescent="0.25">
      <c r="A4963">
        <v>406401</v>
      </c>
      <c r="B4963" t="s">
        <v>5181</v>
      </c>
      <c r="C4963" t="str">
        <f>"9781582971025"</f>
        <v>9781582971025</v>
      </c>
      <c r="D4963" t="str">
        <f>"9781582976488"</f>
        <v>9781582976488</v>
      </c>
      <c r="E4963" t="s">
        <v>5176</v>
      </c>
      <c r="F4963" t="s">
        <v>5182</v>
      </c>
      <c r="G4963" s="1">
        <v>37368</v>
      </c>
      <c r="H4963" s="1">
        <v>39828</v>
      </c>
      <c r="I4963" t="s">
        <v>12</v>
      </c>
      <c r="J4963" t="s">
        <v>15733</v>
      </c>
    </row>
    <row r="4964" spans="1:10" x14ac:dyDescent="0.25">
      <c r="A4964">
        <v>407889</v>
      </c>
      <c r="B4964" t="s">
        <v>5183</v>
      </c>
      <c r="C4964" t="str">
        <f>"9781576754931"</f>
        <v>9781576754931</v>
      </c>
      <c r="D4964" t="str">
        <f>"9781576755624"</f>
        <v>9781576755624</v>
      </c>
      <c r="E4964" t="s">
        <v>4158</v>
      </c>
      <c r="F4964" t="s">
        <v>4158</v>
      </c>
      <c r="G4964" s="1">
        <v>39448</v>
      </c>
      <c r="H4964" s="1">
        <v>39853</v>
      </c>
      <c r="I4964" t="s">
        <v>12</v>
      </c>
      <c r="J4964" t="s">
        <v>15734</v>
      </c>
    </row>
    <row r="4965" spans="1:10" x14ac:dyDescent="0.25">
      <c r="A4965">
        <v>407905</v>
      </c>
      <c r="B4965" t="s">
        <v>5184</v>
      </c>
      <c r="C4965" t="str">
        <f>"9781576757642"</f>
        <v>9781576757642</v>
      </c>
      <c r="D4965" t="str">
        <f>"9781576759844"</f>
        <v>9781576759844</v>
      </c>
      <c r="E4965" t="s">
        <v>4158</v>
      </c>
      <c r="F4965" t="s">
        <v>4158</v>
      </c>
      <c r="G4965" s="1">
        <v>39846</v>
      </c>
      <c r="H4965" s="1">
        <v>39860</v>
      </c>
      <c r="I4965" t="s">
        <v>12</v>
      </c>
      <c r="J4965" t="s">
        <v>15735</v>
      </c>
    </row>
    <row r="4966" spans="1:10" x14ac:dyDescent="0.25">
      <c r="A4966">
        <v>407919</v>
      </c>
      <c r="B4966" t="s">
        <v>5185</v>
      </c>
      <c r="C4966" t="str">
        <f>"9781841501932"</f>
        <v>9781841501932</v>
      </c>
      <c r="D4966" t="str">
        <f>"9781841502670"</f>
        <v>9781841502670</v>
      </c>
      <c r="E4966" t="s">
        <v>2646</v>
      </c>
      <c r="F4966" t="s">
        <v>2647</v>
      </c>
      <c r="G4966" s="1">
        <v>39767</v>
      </c>
      <c r="H4966" s="1">
        <v>39826</v>
      </c>
      <c r="I4966" t="s">
        <v>12</v>
      </c>
      <c r="J4966" t="s">
        <v>15736</v>
      </c>
    </row>
    <row r="4967" spans="1:10" x14ac:dyDescent="0.25">
      <c r="A4967">
        <v>408160</v>
      </c>
      <c r="B4967" t="s">
        <v>5186</v>
      </c>
      <c r="C4967" t="str">
        <f>"9780226476957"</f>
        <v>9780226476957</v>
      </c>
      <c r="D4967" t="str">
        <f>"9780226477039"</f>
        <v>9780226477039</v>
      </c>
      <c r="E4967" t="s">
        <v>5187</v>
      </c>
      <c r="F4967" t="s">
        <v>5187</v>
      </c>
      <c r="G4967" s="1">
        <v>39706</v>
      </c>
      <c r="H4967" s="1">
        <v>39849</v>
      </c>
      <c r="I4967" t="s">
        <v>12</v>
      </c>
      <c r="J4967" t="s">
        <v>15737</v>
      </c>
    </row>
    <row r="4968" spans="1:10" x14ac:dyDescent="0.25">
      <c r="A4968">
        <v>408167</v>
      </c>
      <c r="B4968" t="s">
        <v>5188</v>
      </c>
      <c r="C4968" t="str">
        <f>"9780226777405"</f>
        <v>9780226777405</v>
      </c>
      <c r="D4968" t="str">
        <f>"9780226777450"</f>
        <v>9780226777450</v>
      </c>
      <c r="E4968" t="s">
        <v>5187</v>
      </c>
      <c r="F4968" t="s">
        <v>5187</v>
      </c>
      <c r="G4968" s="1">
        <v>39263</v>
      </c>
      <c r="H4968" s="1">
        <v>39849</v>
      </c>
      <c r="I4968" t="s">
        <v>12</v>
      </c>
      <c r="J4968" t="s">
        <v>15738</v>
      </c>
    </row>
    <row r="4969" spans="1:10" x14ac:dyDescent="0.25">
      <c r="A4969">
        <v>408169</v>
      </c>
      <c r="B4969" t="s">
        <v>5189</v>
      </c>
      <c r="C4969" t="str">
        <f>"9780226791692"</f>
        <v>9780226791692</v>
      </c>
      <c r="D4969" t="str">
        <f>"9780226791722"</f>
        <v>9780226791722</v>
      </c>
      <c r="E4969" t="s">
        <v>5187</v>
      </c>
      <c r="F4969" t="s">
        <v>5187</v>
      </c>
      <c r="G4969" s="1">
        <v>39370</v>
      </c>
      <c r="H4969" s="1">
        <v>39851</v>
      </c>
      <c r="I4969" t="s">
        <v>12</v>
      </c>
      <c r="J4969" t="s">
        <v>15739</v>
      </c>
    </row>
    <row r="4970" spans="1:10" x14ac:dyDescent="0.25">
      <c r="A4970">
        <v>408171</v>
      </c>
      <c r="B4970" t="s">
        <v>5190</v>
      </c>
      <c r="C4970" t="str">
        <f>"9780226534909"</f>
        <v>9780226534909</v>
      </c>
      <c r="D4970" t="str">
        <f>"9780226534930"</f>
        <v>9780226534930</v>
      </c>
      <c r="E4970" t="s">
        <v>5187</v>
      </c>
      <c r="F4970" t="s">
        <v>5187</v>
      </c>
      <c r="G4970" s="1">
        <v>37591</v>
      </c>
      <c r="H4970" s="1">
        <v>39849</v>
      </c>
      <c r="I4970" t="s">
        <v>12</v>
      </c>
      <c r="J4970" t="s">
        <v>15740</v>
      </c>
    </row>
    <row r="4971" spans="1:10" x14ac:dyDescent="0.25">
      <c r="A4971">
        <v>408177</v>
      </c>
      <c r="B4971" t="s">
        <v>5191</v>
      </c>
      <c r="C4971" t="str">
        <f>"9780226616544"</f>
        <v>9780226616544</v>
      </c>
      <c r="D4971" t="str">
        <f>"9780226616582"</f>
        <v>9780226616582</v>
      </c>
      <c r="E4971" t="s">
        <v>5187</v>
      </c>
      <c r="F4971" t="s">
        <v>5187</v>
      </c>
      <c r="G4971" s="1">
        <v>35814</v>
      </c>
      <c r="H4971" s="1">
        <v>39849</v>
      </c>
      <c r="I4971" t="s">
        <v>12</v>
      </c>
      <c r="J4971" t="s">
        <v>15741</v>
      </c>
    </row>
    <row r="4972" spans="1:10" x14ac:dyDescent="0.25">
      <c r="A4972">
        <v>408178</v>
      </c>
      <c r="B4972" t="s">
        <v>5192</v>
      </c>
      <c r="C4972" t="str">
        <f>"9780226388700"</f>
        <v>9780226388700</v>
      </c>
      <c r="D4972" t="str">
        <f>"9780226388724"</f>
        <v>9780226388724</v>
      </c>
      <c r="E4972" t="s">
        <v>5187</v>
      </c>
      <c r="F4972" t="s">
        <v>5187</v>
      </c>
      <c r="G4972" s="1">
        <v>39706</v>
      </c>
      <c r="H4972" s="1">
        <v>39849</v>
      </c>
      <c r="I4972" t="s">
        <v>12</v>
      </c>
      <c r="J4972" t="s">
        <v>15742</v>
      </c>
    </row>
    <row r="4973" spans="1:10" x14ac:dyDescent="0.25">
      <c r="A4973">
        <v>408183</v>
      </c>
      <c r="B4973" t="s">
        <v>5193</v>
      </c>
      <c r="C4973" t="str">
        <f>"9780226902869"</f>
        <v>9780226902869</v>
      </c>
      <c r="D4973" t="str">
        <f>"9780226903217"</f>
        <v>9780226903217</v>
      </c>
      <c r="E4973" t="s">
        <v>5187</v>
      </c>
      <c r="F4973" t="s">
        <v>5187</v>
      </c>
      <c r="G4973" s="1">
        <v>38567</v>
      </c>
      <c r="H4973" s="1">
        <v>39849</v>
      </c>
      <c r="I4973" t="s">
        <v>12</v>
      </c>
      <c r="J4973" t="s">
        <v>15743</v>
      </c>
    </row>
    <row r="4974" spans="1:10" x14ac:dyDescent="0.25">
      <c r="A4974">
        <v>408184</v>
      </c>
      <c r="B4974" t="s">
        <v>5194</v>
      </c>
      <c r="C4974" t="str">
        <f>"9780226895215"</f>
        <v>9780226895215</v>
      </c>
      <c r="D4974" t="str">
        <f>"9780226895246"</f>
        <v>9780226895246</v>
      </c>
      <c r="E4974" t="s">
        <v>5187</v>
      </c>
      <c r="F4974" t="s">
        <v>5187</v>
      </c>
      <c r="G4974" s="1">
        <v>39706</v>
      </c>
      <c r="H4974" s="1">
        <v>39849</v>
      </c>
      <c r="I4974" t="s">
        <v>12</v>
      </c>
      <c r="J4974" t="s">
        <v>15744</v>
      </c>
    </row>
    <row r="4975" spans="1:10" x14ac:dyDescent="0.25">
      <c r="A4975">
        <v>408192</v>
      </c>
      <c r="B4975" t="s">
        <v>5195</v>
      </c>
      <c r="C4975" t="str">
        <f>"9780226847160"</f>
        <v>9780226847160</v>
      </c>
      <c r="D4975" t="str">
        <f>"9780226847184"</f>
        <v>9780226847184</v>
      </c>
      <c r="E4975" t="s">
        <v>5187</v>
      </c>
      <c r="F4975" t="s">
        <v>5187</v>
      </c>
      <c r="G4975" s="1">
        <v>35758</v>
      </c>
      <c r="H4975" s="1">
        <v>39849</v>
      </c>
      <c r="I4975" t="s">
        <v>12</v>
      </c>
      <c r="J4975" t="s">
        <v>15745</v>
      </c>
    </row>
    <row r="4976" spans="1:10" x14ac:dyDescent="0.25">
      <c r="A4976">
        <v>408204</v>
      </c>
      <c r="B4976" t="s">
        <v>5196</v>
      </c>
      <c r="C4976" t="str">
        <f>"9780226036151"</f>
        <v>9780226036151</v>
      </c>
      <c r="D4976" t="str">
        <f>"9780226036557"</f>
        <v>9780226036557</v>
      </c>
      <c r="E4976" t="s">
        <v>5187</v>
      </c>
      <c r="F4976" t="s">
        <v>5187</v>
      </c>
      <c r="G4976" s="1">
        <v>38093</v>
      </c>
      <c r="H4976" s="1">
        <v>39849</v>
      </c>
      <c r="I4976" t="s">
        <v>12</v>
      </c>
      <c r="J4976" t="s">
        <v>15746</v>
      </c>
    </row>
    <row r="4977" spans="1:10" x14ac:dyDescent="0.25">
      <c r="A4977">
        <v>408205</v>
      </c>
      <c r="B4977" t="s">
        <v>5197</v>
      </c>
      <c r="C4977" t="str">
        <f>"9780226386737"</f>
        <v>9780226386737</v>
      </c>
      <c r="D4977" t="str">
        <f>"9780226386935"</f>
        <v>9780226386935</v>
      </c>
      <c r="E4977" t="s">
        <v>5187</v>
      </c>
      <c r="F4977" t="s">
        <v>5187</v>
      </c>
      <c r="G4977" s="1">
        <v>36265</v>
      </c>
      <c r="H4977" s="1">
        <v>39849</v>
      </c>
      <c r="I4977" t="s">
        <v>12</v>
      </c>
      <c r="J4977" t="s">
        <v>15747</v>
      </c>
    </row>
    <row r="4978" spans="1:10" x14ac:dyDescent="0.25">
      <c r="A4978">
        <v>408210</v>
      </c>
      <c r="B4978" t="s">
        <v>5198</v>
      </c>
      <c r="C4978" t="str">
        <f>"9780226534039"</f>
        <v>9780226534039</v>
      </c>
      <c r="D4978" t="str">
        <f>"9780226534046"</f>
        <v>9780226534046</v>
      </c>
      <c r="E4978" t="s">
        <v>5187</v>
      </c>
      <c r="F4978" t="s">
        <v>5187</v>
      </c>
      <c r="G4978" s="1">
        <v>39706</v>
      </c>
      <c r="H4978" s="1">
        <v>39849</v>
      </c>
      <c r="I4978" t="s">
        <v>12</v>
      </c>
      <c r="J4978" t="s">
        <v>15748</v>
      </c>
    </row>
    <row r="4979" spans="1:10" x14ac:dyDescent="0.25">
      <c r="A4979">
        <v>408235</v>
      </c>
      <c r="B4979" t="s">
        <v>5199</v>
      </c>
      <c r="C4979" t="str">
        <f>"9780226243115"</f>
        <v>9780226243115</v>
      </c>
      <c r="D4979" t="str">
        <f>"9780226243184"</f>
        <v>9780226243184</v>
      </c>
      <c r="E4979" t="s">
        <v>5187</v>
      </c>
      <c r="F4979" t="s">
        <v>5187</v>
      </c>
      <c r="G4979" s="1">
        <v>37636</v>
      </c>
      <c r="H4979" s="1">
        <v>39849</v>
      </c>
      <c r="I4979" t="s">
        <v>12</v>
      </c>
      <c r="J4979" t="s">
        <v>15749</v>
      </c>
    </row>
    <row r="4980" spans="1:10" x14ac:dyDescent="0.25">
      <c r="A4980">
        <v>408239</v>
      </c>
      <c r="B4980" t="s">
        <v>5200</v>
      </c>
      <c r="C4980" t="str">
        <f>"9780226056890"</f>
        <v>9780226056890</v>
      </c>
      <c r="D4980" t="str">
        <f>"9780226056883"</f>
        <v>9780226056883</v>
      </c>
      <c r="E4980" t="s">
        <v>5187</v>
      </c>
      <c r="F4980" t="s">
        <v>5187</v>
      </c>
      <c r="G4980" s="1">
        <v>39340</v>
      </c>
      <c r="H4980" s="1">
        <v>39849</v>
      </c>
      <c r="I4980" t="s">
        <v>12</v>
      </c>
      <c r="J4980" t="s">
        <v>15750</v>
      </c>
    </row>
    <row r="4981" spans="1:10" x14ac:dyDescent="0.25">
      <c r="A4981">
        <v>408247</v>
      </c>
      <c r="B4981" t="s">
        <v>5201</v>
      </c>
      <c r="C4981" t="str">
        <f>"9780226184692"</f>
        <v>9780226184692</v>
      </c>
      <c r="D4981" t="str">
        <f>"9780226184739"</f>
        <v>9780226184739</v>
      </c>
      <c r="E4981" t="s">
        <v>5187</v>
      </c>
      <c r="F4981" t="s">
        <v>5187</v>
      </c>
      <c r="G4981" s="1">
        <v>31717</v>
      </c>
      <c r="H4981" s="1">
        <v>39849</v>
      </c>
      <c r="I4981" t="s">
        <v>12</v>
      </c>
      <c r="J4981" t="s">
        <v>15751</v>
      </c>
    </row>
    <row r="4982" spans="1:10" x14ac:dyDescent="0.25">
      <c r="A4982">
        <v>408248</v>
      </c>
      <c r="B4982" t="s">
        <v>5202</v>
      </c>
      <c r="C4982" t="str">
        <f>"9780226241098"</f>
        <v>9780226241098</v>
      </c>
      <c r="D4982" t="str">
        <f>"9780226241104"</f>
        <v>9780226241104</v>
      </c>
      <c r="E4982" t="s">
        <v>5187</v>
      </c>
      <c r="F4982" t="s">
        <v>5187</v>
      </c>
      <c r="G4982" s="1">
        <v>37653</v>
      </c>
      <c r="H4982" s="1">
        <v>39849</v>
      </c>
      <c r="I4982" t="s">
        <v>12</v>
      </c>
      <c r="J4982" t="s">
        <v>15752</v>
      </c>
    </row>
    <row r="4983" spans="1:10" x14ac:dyDescent="0.25">
      <c r="A4983">
        <v>408250</v>
      </c>
      <c r="B4983" t="s">
        <v>5203</v>
      </c>
      <c r="C4983" t="str">
        <f>"9780226110509"</f>
        <v>9780226110509</v>
      </c>
      <c r="D4983" t="str">
        <f>"9780226110622"</f>
        <v>9780226110622</v>
      </c>
      <c r="E4983" t="s">
        <v>5187</v>
      </c>
      <c r="F4983" t="s">
        <v>5187</v>
      </c>
      <c r="G4983" s="1">
        <v>33604</v>
      </c>
      <c r="H4983" s="1">
        <v>39849</v>
      </c>
      <c r="I4983" t="s">
        <v>12</v>
      </c>
      <c r="J4983" t="s">
        <v>15753</v>
      </c>
    </row>
    <row r="4984" spans="1:10" x14ac:dyDescent="0.25">
      <c r="A4984">
        <v>408271</v>
      </c>
      <c r="B4984" t="s">
        <v>5204</v>
      </c>
      <c r="C4984" t="str">
        <f>"9780226313368"</f>
        <v>9780226313368</v>
      </c>
      <c r="D4984" t="str">
        <f>"9780226313405"</f>
        <v>9780226313405</v>
      </c>
      <c r="E4984" t="s">
        <v>5187</v>
      </c>
      <c r="F4984" t="s">
        <v>5187</v>
      </c>
      <c r="G4984" s="1">
        <v>39114</v>
      </c>
      <c r="H4984" s="1">
        <v>39849</v>
      </c>
      <c r="I4984" t="s">
        <v>12</v>
      </c>
      <c r="J4984" t="s">
        <v>15754</v>
      </c>
    </row>
    <row r="4985" spans="1:10" x14ac:dyDescent="0.25">
      <c r="A4985">
        <v>408279</v>
      </c>
      <c r="B4985" t="s">
        <v>5205</v>
      </c>
      <c r="C4985" t="str">
        <f>"9780226772639"</f>
        <v>9780226772639</v>
      </c>
      <c r="D4985" t="str">
        <f>"9780226772653"</f>
        <v>9780226772653</v>
      </c>
      <c r="E4985" t="s">
        <v>5187</v>
      </c>
      <c r="F4985" t="s">
        <v>5187</v>
      </c>
      <c r="G4985" s="1">
        <v>39326</v>
      </c>
      <c r="H4985" s="1">
        <v>39849</v>
      </c>
      <c r="I4985" t="s">
        <v>12</v>
      </c>
      <c r="J4985" t="s">
        <v>15755</v>
      </c>
    </row>
    <row r="4986" spans="1:10" x14ac:dyDescent="0.25">
      <c r="A4986">
        <v>408283</v>
      </c>
      <c r="B4986" t="s">
        <v>5206</v>
      </c>
      <c r="C4986" t="str">
        <f>"9780226774152"</f>
        <v>9780226774152</v>
      </c>
      <c r="D4986" t="str">
        <f>"9780226774572"</f>
        <v>9780226774572</v>
      </c>
      <c r="E4986" t="s">
        <v>5187</v>
      </c>
      <c r="F4986" t="s">
        <v>5187</v>
      </c>
      <c r="G4986" s="1">
        <v>39309</v>
      </c>
      <c r="H4986" s="1">
        <v>39849</v>
      </c>
      <c r="I4986" t="s">
        <v>12</v>
      </c>
      <c r="J4986" t="s">
        <v>15756</v>
      </c>
    </row>
    <row r="4987" spans="1:10" x14ac:dyDescent="0.25">
      <c r="A4987">
        <v>408292</v>
      </c>
      <c r="B4987" t="s">
        <v>5207</v>
      </c>
      <c r="C4987" t="str">
        <f>"9780226107264"</f>
        <v>9780226107264</v>
      </c>
      <c r="D4987" t="str">
        <f>"9780226107288"</f>
        <v>9780226107288</v>
      </c>
      <c r="E4987" t="s">
        <v>5187</v>
      </c>
      <c r="F4987" t="s">
        <v>5187</v>
      </c>
      <c r="G4987" s="1">
        <v>39387</v>
      </c>
      <c r="H4987" s="1">
        <v>39849</v>
      </c>
      <c r="I4987" t="s">
        <v>12</v>
      </c>
      <c r="J4987" t="s">
        <v>15757</v>
      </c>
    </row>
    <row r="4988" spans="1:10" x14ac:dyDescent="0.25">
      <c r="A4988">
        <v>408300</v>
      </c>
      <c r="B4988" t="s">
        <v>5208</v>
      </c>
      <c r="C4988" t="str">
        <f>"9780226317946"</f>
        <v>9780226317946</v>
      </c>
      <c r="D4988" t="str">
        <f>"9780226318004"</f>
        <v>9780226318004</v>
      </c>
      <c r="E4988" t="s">
        <v>5187</v>
      </c>
      <c r="F4988" t="s">
        <v>5187</v>
      </c>
      <c r="G4988" s="1">
        <v>39387</v>
      </c>
      <c r="H4988" s="1">
        <v>39849</v>
      </c>
      <c r="I4988" t="s">
        <v>12</v>
      </c>
      <c r="J4988" t="s">
        <v>15758</v>
      </c>
    </row>
    <row r="4989" spans="1:10" x14ac:dyDescent="0.25">
      <c r="A4989">
        <v>408305</v>
      </c>
      <c r="B4989" t="s">
        <v>5209</v>
      </c>
      <c r="C4989" t="str">
        <f>"9780226386799"</f>
        <v>9780226386799</v>
      </c>
      <c r="D4989" t="str">
        <f>"9780226386966"</f>
        <v>9780226386966</v>
      </c>
      <c r="E4989" t="s">
        <v>5187</v>
      </c>
      <c r="F4989" t="s">
        <v>5187</v>
      </c>
      <c r="G4989" s="1">
        <v>38058</v>
      </c>
      <c r="H4989" s="1">
        <v>39849</v>
      </c>
      <c r="I4989" t="s">
        <v>12</v>
      </c>
      <c r="J4989" t="s">
        <v>15759</v>
      </c>
    </row>
    <row r="4990" spans="1:10" x14ac:dyDescent="0.25">
      <c r="A4990">
        <v>408310</v>
      </c>
      <c r="B4990" t="s">
        <v>5210</v>
      </c>
      <c r="C4990" t="str">
        <f>"9780226771564"</f>
        <v>9780226771564</v>
      </c>
      <c r="D4990" t="str">
        <f>"9780226771595"</f>
        <v>9780226771595</v>
      </c>
      <c r="E4990" t="s">
        <v>5187</v>
      </c>
      <c r="F4990" t="s">
        <v>5187</v>
      </c>
      <c r="G4990" s="1">
        <v>35675</v>
      </c>
      <c r="H4990" s="1">
        <v>39849</v>
      </c>
      <c r="I4990" t="s">
        <v>12</v>
      </c>
      <c r="J4990" t="s">
        <v>15760</v>
      </c>
    </row>
    <row r="4991" spans="1:10" x14ac:dyDescent="0.25">
      <c r="A4991">
        <v>408315</v>
      </c>
      <c r="B4991" t="s">
        <v>5211</v>
      </c>
      <c r="C4991" t="str">
        <f>"9780226481258"</f>
        <v>9780226481258</v>
      </c>
      <c r="D4991" t="str">
        <f>"9780226481272"</f>
        <v>9780226481272</v>
      </c>
      <c r="E4991" t="s">
        <v>5187</v>
      </c>
      <c r="F4991" t="s">
        <v>5187</v>
      </c>
      <c r="G4991" s="1">
        <v>38487</v>
      </c>
      <c r="H4991" s="1">
        <v>39849</v>
      </c>
      <c r="I4991" t="s">
        <v>12</v>
      </c>
      <c r="J4991" t="s">
        <v>15761</v>
      </c>
    </row>
    <row r="4992" spans="1:10" x14ac:dyDescent="0.25">
      <c r="A4992">
        <v>408337</v>
      </c>
      <c r="B4992" t="s">
        <v>5212</v>
      </c>
      <c r="C4992" t="str">
        <f>"9780226378961"</f>
        <v>9780226378961</v>
      </c>
      <c r="D4992" t="str">
        <f>"9780226379005"</f>
        <v>9780226379005</v>
      </c>
      <c r="E4992" t="s">
        <v>5187</v>
      </c>
      <c r="F4992" t="s">
        <v>5187</v>
      </c>
      <c r="G4992" s="1">
        <v>38596</v>
      </c>
      <c r="H4992" s="1">
        <v>39849</v>
      </c>
      <c r="I4992" t="s">
        <v>12</v>
      </c>
      <c r="J4992" t="s">
        <v>15762</v>
      </c>
    </row>
    <row r="4993" spans="1:10" x14ac:dyDescent="0.25">
      <c r="A4993">
        <v>408347</v>
      </c>
      <c r="B4993" t="s">
        <v>5213</v>
      </c>
      <c r="C4993" t="str">
        <f>"9780226620947"</f>
        <v>9780226620947</v>
      </c>
      <c r="D4993" t="str">
        <f>"9780226620954"</f>
        <v>9780226620954</v>
      </c>
      <c r="E4993" t="s">
        <v>5187</v>
      </c>
      <c r="F4993" t="s">
        <v>5187</v>
      </c>
      <c r="G4993" s="1">
        <v>37902</v>
      </c>
      <c r="H4993" s="1">
        <v>39849</v>
      </c>
      <c r="I4993" t="s">
        <v>12</v>
      </c>
      <c r="J4993" t="s">
        <v>15763</v>
      </c>
    </row>
    <row r="4994" spans="1:10" x14ac:dyDescent="0.25">
      <c r="A4994">
        <v>408352</v>
      </c>
      <c r="B4994" t="s">
        <v>5214</v>
      </c>
      <c r="C4994" t="str">
        <f>"9780226322827"</f>
        <v>9780226322827</v>
      </c>
      <c r="D4994" t="str">
        <f>"9780226322858"</f>
        <v>9780226322858</v>
      </c>
      <c r="E4994" t="s">
        <v>5187</v>
      </c>
      <c r="F4994" t="s">
        <v>5187</v>
      </c>
      <c r="G4994" s="1">
        <v>38261</v>
      </c>
      <c r="H4994" s="1">
        <v>39849</v>
      </c>
      <c r="I4994" t="s">
        <v>12</v>
      </c>
      <c r="J4994" t="s">
        <v>15764</v>
      </c>
    </row>
    <row r="4995" spans="1:10" x14ac:dyDescent="0.25">
      <c r="A4995">
        <v>408371</v>
      </c>
      <c r="B4995" t="s">
        <v>5215</v>
      </c>
      <c r="C4995" t="str">
        <f>"9780226032092"</f>
        <v>9780226032092</v>
      </c>
      <c r="D4995" t="str">
        <f>"9780226032177"</f>
        <v>9780226032177</v>
      </c>
      <c r="E4995" t="s">
        <v>5187</v>
      </c>
      <c r="F4995" t="s">
        <v>5187</v>
      </c>
      <c r="G4995" s="1">
        <v>32175</v>
      </c>
      <c r="H4995" s="1">
        <v>39849</v>
      </c>
      <c r="I4995" t="s">
        <v>12</v>
      </c>
      <c r="J4995" t="s">
        <v>15765</v>
      </c>
    </row>
    <row r="4996" spans="1:10" x14ac:dyDescent="0.25">
      <c r="A4996">
        <v>408380</v>
      </c>
      <c r="B4996" t="s">
        <v>5216</v>
      </c>
      <c r="C4996" t="str">
        <f>"9780226378978"</f>
        <v>9780226378978</v>
      </c>
      <c r="D4996" t="str">
        <f>"9780226379012"</f>
        <v>9780226379012</v>
      </c>
      <c r="E4996" t="s">
        <v>5187</v>
      </c>
      <c r="F4996" t="s">
        <v>5187</v>
      </c>
      <c r="G4996" s="1">
        <v>39005</v>
      </c>
      <c r="H4996" s="1">
        <v>39849</v>
      </c>
      <c r="I4996" t="s">
        <v>12</v>
      </c>
      <c r="J4996" t="s">
        <v>15766</v>
      </c>
    </row>
    <row r="4997" spans="1:10" x14ac:dyDescent="0.25">
      <c r="A4997">
        <v>408398</v>
      </c>
      <c r="B4997" t="s">
        <v>5217</v>
      </c>
      <c r="C4997" t="str">
        <f>"9780226308852"</f>
        <v>9780226308852</v>
      </c>
      <c r="D4997" t="str">
        <f>"9780226308890"</f>
        <v>9780226308890</v>
      </c>
      <c r="E4997" t="s">
        <v>5187</v>
      </c>
      <c r="F4997" t="s">
        <v>5187</v>
      </c>
      <c r="G4997" s="1">
        <v>33968</v>
      </c>
      <c r="H4997" s="1">
        <v>39849</v>
      </c>
      <c r="I4997" t="s">
        <v>12</v>
      </c>
      <c r="J4997" t="s">
        <v>15767</v>
      </c>
    </row>
    <row r="4998" spans="1:10" x14ac:dyDescent="0.25">
      <c r="A4998">
        <v>408404</v>
      </c>
      <c r="B4998" t="s">
        <v>5218</v>
      </c>
      <c r="C4998" t="str">
        <f>"9780226903057"</f>
        <v>9780226903057</v>
      </c>
      <c r="D4998" t="str">
        <f>"9780226903286"</f>
        <v>9780226903286</v>
      </c>
      <c r="E4998" t="s">
        <v>5187</v>
      </c>
      <c r="F4998" t="s">
        <v>5187</v>
      </c>
      <c r="G4998" s="1">
        <v>38178</v>
      </c>
      <c r="H4998" s="1">
        <v>39849</v>
      </c>
      <c r="I4998" t="s">
        <v>12</v>
      </c>
      <c r="J4998" t="s">
        <v>15768</v>
      </c>
    </row>
    <row r="4999" spans="1:10" x14ac:dyDescent="0.25">
      <c r="A4999">
        <v>408413</v>
      </c>
      <c r="B4999" t="s">
        <v>5219</v>
      </c>
      <c r="C4999" t="str">
        <f>"9780226020549"</f>
        <v>9780226020549</v>
      </c>
      <c r="D4999" t="str">
        <f>"9780226020570"</f>
        <v>9780226020570</v>
      </c>
      <c r="E4999" t="s">
        <v>5187</v>
      </c>
      <c r="F4999" t="s">
        <v>5187</v>
      </c>
      <c r="G4999" s="1">
        <v>39706</v>
      </c>
      <c r="H4999" s="1">
        <v>39849</v>
      </c>
      <c r="I4999" t="s">
        <v>12</v>
      </c>
      <c r="J4999" t="s">
        <v>15769</v>
      </c>
    </row>
    <row r="5000" spans="1:10" x14ac:dyDescent="0.25">
      <c r="A5000">
        <v>408434</v>
      </c>
      <c r="B5000" t="s">
        <v>5220</v>
      </c>
      <c r="C5000" t="str">
        <f>"9780226309224"</f>
        <v>9780226309224</v>
      </c>
      <c r="D5000" t="str">
        <f>"9780226309262"</f>
        <v>9780226309262</v>
      </c>
      <c r="E5000" t="s">
        <v>5187</v>
      </c>
      <c r="F5000" t="s">
        <v>5187</v>
      </c>
      <c r="G5000" s="1">
        <v>39706</v>
      </c>
      <c r="H5000" s="1">
        <v>39849</v>
      </c>
      <c r="I5000" t="s">
        <v>12</v>
      </c>
      <c r="J5000" t="s">
        <v>15770</v>
      </c>
    </row>
    <row r="5001" spans="1:10" x14ac:dyDescent="0.25">
      <c r="A5001">
        <v>408449</v>
      </c>
      <c r="B5001" t="s">
        <v>5221</v>
      </c>
      <c r="C5001" t="str">
        <f>"9780226239651"</f>
        <v>9780226239651</v>
      </c>
      <c r="D5001" t="str">
        <f>"9780226239668"</f>
        <v>9780226239668</v>
      </c>
      <c r="E5001" t="s">
        <v>5187</v>
      </c>
      <c r="F5001" t="s">
        <v>5187</v>
      </c>
      <c r="G5001" s="1">
        <v>37288</v>
      </c>
      <c r="H5001" s="1">
        <v>39849</v>
      </c>
      <c r="I5001" t="s">
        <v>12</v>
      </c>
      <c r="J5001" t="s">
        <v>15771</v>
      </c>
    </row>
    <row r="5002" spans="1:10" x14ac:dyDescent="0.25">
      <c r="A5002">
        <v>408462</v>
      </c>
      <c r="B5002" t="s">
        <v>5222</v>
      </c>
      <c r="C5002" t="str">
        <f>"9780226167268"</f>
        <v>9780226167268</v>
      </c>
      <c r="D5002" t="str">
        <f>"9780226167282"</f>
        <v>9780226167282</v>
      </c>
      <c r="E5002" t="s">
        <v>5187</v>
      </c>
      <c r="F5002" t="s">
        <v>5187</v>
      </c>
      <c r="G5002" s="1">
        <v>37865</v>
      </c>
      <c r="H5002" s="1">
        <v>39849</v>
      </c>
      <c r="I5002" t="s">
        <v>12</v>
      </c>
      <c r="J5002" t="s">
        <v>15772</v>
      </c>
    </row>
    <row r="5003" spans="1:10" x14ac:dyDescent="0.25">
      <c r="A5003">
        <v>408464</v>
      </c>
      <c r="B5003" t="s">
        <v>5223</v>
      </c>
      <c r="C5003" t="str">
        <f>"9780226319407"</f>
        <v>9780226319407</v>
      </c>
      <c r="D5003" t="str">
        <f>"9780226319421"</f>
        <v>9780226319421</v>
      </c>
      <c r="E5003" t="s">
        <v>5187</v>
      </c>
      <c r="F5003" t="s">
        <v>5187</v>
      </c>
      <c r="G5003" s="1">
        <v>31107</v>
      </c>
      <c r="H5003" s="1">
        <v>39849</v>
      </c>
      <c r="I5003" t="s">
        <v>12</v>
      </c>
      <c r="J5003" t="s">
        <v>15773</v>
      </c>
    </row>
    <row r="5004" spans="1:10" x14ac:dyDescent="0.25">
      <c r="A5004">
        <v>408481</v>
      </c>
      <c r="B5004" t="s">
        <v>5224</v>
      </c>
      <c r="C5004" t="str">
        <f>"9780226328676"</f>
        <v>9780226328676</v>
      </c>
      <c r="D5004" t="str">
        <f>"9780226328690"</f>
        <v>9780226328690</v>
      </c>
      <c r="E5004" t="s">
        <v>5187</v>
      </c>
      <c r="F5004" t="s">
        <v>5187</v>
      </c>
      <c r="G5004" s="1">
        <v>39706</v>
      </c>
      <c r="H5004" s="1">
        <v>39849</v>
      </c>
      <c r="I5004" t="s">
        <v>12</v>
      </c>
      <c r="J5004" t="s">
        <v>15774</v>
      </c>
    </row>
    <row r="5005" spans="1:10" x14ac:dyDescent="0.25">
      <c r="A5005">
        <v>408484</v>
      </c>
      <c r="B5005" t="s">
        <v>5225</v>
      </c>
      <c r="C5005" t="str">
        <f>"9780226705910"</f>
        <v>9780226705910</v>
      </c>
      <c r="D5005" t="str">
        <f>"9780226705880"</f>
        <v>9780226705880</v>
      </c>
      <c r="E5005" t="s">
        <v>5187</v>
      </c>
      <c r="F5005" t="s">
        <v>5187</v>
      </c>
      <c r="G5005" s="1">
        <v>33222</v>
      </c>
      <c r="H5005" s="1">
        <v>39849</v>
      </c>
      <c r="I5005" t="s">
        <v>12</v>
      </c>
      <c r="J5005" t="s">
        <v>15775</v>
      </c>
    </row>
    <row r="5006" spans="1:10" x14ac:dyDescent="0.25">
      <c r="A5006">
        <v>408498</v>
      </c>
      <c r="B5006" t="s">
        <v>5226</v>
      </c>
      <c r="C5006" t="str">
        <f>"9780226101293"</f>
        <v>9780226101293</v>
      </c>
      <c r="D5006" t="str">
        <f>"9780226101316"</f>
        <v>9780226101316</v>
      </c>
      <c r="E5006" t="s">
        <v>5187</v>
      </c>
      <c r="F5006" t="s">
        <v>5187</v>
      </c>
      <c r="G5006" s="1">
        <v>39217</v>
      </c>
      <c r="H5006" s="1">
        <v>39849</v>
      </c>
      <c r="I5006" t="s">
        <v>12</v>
      </c>
      <c r="J5006" t="s">
        <v>15776</v>
      </c>
    </row>
    <row r="5007" spans="1:10" x14ac:dyDescent="0.25">
      <c r="A5007">
        <v>408513</v>
      </c>
      <c r="B5007" t="s">
        <v>5227</v>
      </c>
      <c r="C5007" t="str">
        <f>"9780226713472"</f>
        <v>9780226713472</v>
      </c>
      <c r="D5007" t="str">
        <f>"9780226713540"</f>
        <v>9780226713540</v>
      </c>
      <c r="E5007" t="s">
        <v>5187</v>
      </c>
      <c r="F5007" t="s">
        <v>5187</v>
      </c>
      <c r="G5007" s="1">
        <v>39278</v>
      </c>
      <c r="H5007" s="1">
        <v>39849</v>
      </c>
      <c r="I5007" t="s">
        <v>12</v>
      </c>
      <c r="J5007" t="s">
        <v>15777</v>
      </c>
    </row>
    <row r="5008" spans="1:10" x14ac:dyDescent="0.25">
      <c r="A5008">
        <v>408517</v>
      </c>
      <c r="B5008" t="s">
        <v>5228</v>
      </c>
      <c r="C5008" t="str">
        <f>"9780226355337"</f>
        <v>9780226355337</v>
      </c>
      <c r="D5008" t="str">
        <f>"9780226355344"</f>
        <v>9780226355344</v>
      </c>
      <c r="E5008" t="s">
        <v>5187</v>
      </c>
      <c r="F5008" t="s">
        <v>5187</v>
      </c>
      <c r="G5008" s="1">
        <v>37712</v>
      </c>
      <c r="H5008" s="1">
        <v>39849</v>
      </c>
      <c r="I5008" t="s">
        <v>12</v>
      </c>
      <c r="J5008" t="s">
        <v>15778</v>
      </c>
    </row>
    <row r="5009" spans="1:10" x14ac:dyDescent="0.25">
      <c r="A5009">
        <v>408520</v>
      </c>
      <c r="B5009" t="s">
        <v>5229</v>
      </c>
      <c r="C5009" t="str">
        <f>"9780226240954"</f>
        <v>9780226240954</v>
      </c>
      <c r="D5009" t="str">
        <f>"9780226241876"</f>
        <v>9780226241876</v>
      </c>
      <c r="E5009" t="s">
        <v>5187</v>
      </c>
      <c r="F5009" t="s">
        <v>5187</v>
      </c>
      <c r="G5009" s="1">
        <v>34943</v>
      </c>
      <c r="H5009" s="1">
        <v>39849</v>
      </c>
      <c r="I5009" t="s">
        <v>12</v>
      </c>
      <c r="J5009" t="s">
        <v>15779</v>
      </c>
    </row>
    <row r="5010" spans="1:10" x14ac:dyDescent="0.25">
      <c r="A5010">
        <v>408521</v>
      </c>
      <c r="B5010" t="s">
        <v>5230</v>
      </c>
      <c r="C5010" t="str">
        <f>"9780226239514"</f>
        <v>9780226239514</v>
      </c>
      <c r="D5010" t="str">
        <f>"9780226239538"</f>
        <v>9780226239538</v>
      </c>
      <c r="E5010" t="s">
        <v>5187</v>
      </c>
      <c r="F5010" t="s">
        <v>5187</v>
      </c>
      <c r="G5010" s="1">
        <v>35551</v>
      </c>
      <c r="H5010" s="1">
        <v>39849</v>
      </c>
      <c r="I5010" t="s">
        <v>12</v>
      </c>
      <c r="J5010" t="s">
        <v>15780</v>
      </c>
    </row>
    <row r="5011" spans="1:10" x14ac:dyDescent="0.25">
      <c r="A5011">
        <v>408538</v>
      </c>
      <c r="B5011" t="s">
        <v>5231</v>
      </c>
      <c r="C5011" t="str">
        <f>"9780226356488"</f>
        <v>9780226356488</v>
      </c>
      <c r="D5011" t="str">
        <f>"9780226356501"</f>
        <v>9780226356501</v>
      </c>
      <c r="E5011" t="s">
        <v>5187</v>
      </c>
      <c r="F5011" t="s">
        <v>5187</v>
      </c>
      <c r="G5011" s="1">
        <v>39706</v>
      </c>
      <c r="H5011" s="1">
        <v>39849</v>
      </c>
      <c r="I5011" t="s">
        <v>12</v>
      </c>
      <c r="J5011" t="s">
        <v>15781</v>
      </c>
    </row>
    <row r="5012" spans="1:10" x14ac:dyDescent="0.25">
      <c r="A5012">
        <v>408566</v>
      </c>
      <c r="B5012" t="s">
        <v>5232</v>
      </c>
      <c r="C5012" t="str">
        <f>"9780226720159"</f>
        <v>9780226720159</v>
      </c>
      <c r="D5012" t="str">
        <f>"9780226720166"</f>
        <v>9780226720166</v>
      </c>
      <c r="E5012" t="s">
        <v>5187</v>
      </c>
      <c r="F5012" t="s">
        <v>5187</v>
      </c>
      <c r="G5012" s="1">
        <v>38122</v>
      </c>
      <c r="H5012" s="1">
        <v>39849</v>
      </c>
      <c r="I5012" t="s">
        <v>12</v>
      </c>
      <c r="J5012" t="s">
        <v>15782</v>
      </c>
    </row>
    <row r="5013" spans="1:10" x14ac:dyDescent="0.25">
      <c r="A5013">
        <v>408579</v>
      </c>
      <c r="B5013" t="s">
        <v>5233</v>
      </c>
      <c r="C5013" t="str">
        <f>"9780226092850"</f>
        <v>9780226092850</v>
      </c>
      <c r="D5013" t="str">
        <f>"9780226092980"</f>
        <v>9780226092980</v>
      </c>
      <c r="E5013" t="s">
        <v>5187</v>
      </c>
      <c r="F5013" t="s">
        <v>5187</v>
      </c>
      <c r="G5013" s="1">
        <v>39387</v>
      </c>
      <c r="H5013" s="1">
        <v>39849</v>
      </c>
      <c r="I5013" t="s">
        <v>12</v>
      </c>
      <c r="J5013" t="s">
        <v>15783</v>
      </c>
    </row>
    <row r="5014" spans="1:10" x14ac:dyDescent="0.25">
      <c r="A5014">
        <v>408614</v>
      </c>
      <c r="B5014" t="s">
        <v>5234</v>
      </c>
      <c r="C5014" t="str">
        <f>"9780226036076"</f>
        <v>9780226036076</v>
      </c>
      <c r="D5014" t="str">
        <f>"9780226036519"</f>
        <v>9780226036519</v>
      </c>
      <c r="E5014" t="s">
        <v>5187</v>
      </c>
      <c r="F5014" t="s">
        <v>5187</v>
      </c>
      <c r="G5014" s="1">
        <v>32384</v>
      </c>
      <c r="H5014" s="1">
        <v>39849</v>
      </c>
      <c r="I5014" t="s">
        <v>12</v>
      </c>
      <c r="J5014" t="s">
        <v>15784</v>
      </c>
    </row>
    <row r="5015" spans="1:10" x14ac:dyDescent="0.25">
      <c r="A5015">
        <v>408620</v>
      </c>
      <c r="B5015" t="s">
        <v>5235</v>
      </c>
      <c r="C5015" t="str">
        <f>"9780226048772"</f>
        <v>9780226048772</v>
      </c>
      <c r="D5015" t="str">
        <f>"9780226048796"</f>
        <v>9780226048796</v>
      </c>
      <c r="E5015" t="s">
        <v>5187</v>
      </c>
      <c r="F5015" t="s">
        <v>5187</v>
      </c>
      <c r="G5015" s="1">
        <v>38355</v>
      </c>
      <c r="H5015" s="1">
        <v>39849</v>
      </c>
      <c r="I5015" t="s">
        <v>12</v>
      </c>
      <c r="J5015" t="s">
        <v>15785</v>
      </c>
    </row>
    <row r="5016" spans="1:10" x14ac:dyDescent="0.25">
      <c r="A5016">
        <v>408631</v>
      </c>
      <c r="B5016" t="s">
        <v>5236</v>
      </c>
      <c r="C5016" t="str">
        <f>"9780226502595"</f>
        <v>9780226502595</v>
      </c>
      <c r="D5016" t="str">
        <f>"9780226502618"</f>
        <v>9780226502618</v>
      </c>
      <c r="E5016" t="s">
        <v>5187</v>
      </c>
      <c r="F5016" t="s">
        <v>5187</v>
      </c>
      <c r="G5016" s="1">
        <v>37605</v>
      </c>
      <c r="H5016" s="1">
        <v>39827</v>
      </c>
      <c r="I5016" t="s">
        <v>12</v>
      </c>
      <c r="J5016" t="s">
        <v>15786</v>
      </c>
    </row>
    <row r="5017" spans="1:10" x14ac:dyDescent="0.25">
      <c r="A5017">
        <v>408636</v>
      </c>
      <c r="B5017" t="s">
        <v>5237</v>
      </c>
      <c r="C5017" t="str">
        <f>"9780226468518"</f>
        <v>9780226468518</v>
      </c>
      <c r="D5017" t="str">
        <f>"9780226468440"</f>
        <v>9780226468440</v>
      </c>
      <c r="E5017" t="s">
        <v>5187</v>
      </c>
      <c r="F5017" t="s">
        <v>5187</v>
      </c>
      <c r="G5017" s="1">
        <v>38944</v>
      </c>
      <c r="H5017" s="1">
        <v>39827</v>
      </c>
      <c r="I5017" t="s">
        <v>12</v>
      </c>
      <c r="J5017" t="s">
        <v>15787</v>
      </c>
    </row>
    <row r="5018" spans="1:10" x14ac:dyDescent="0.25">
      <c r="A5018">
        <v>408661</v>
      </c>
      <c r="B5018" t="s">
        <v>5238</v>
      </c>
      <c r="C5018" t="str">
        <f>"9781556526824"</f>
        <v>9781556526824</v>
      </c>
      <c r="D5018" t="str">
        <f>"9781556529634"</f>
        <v>9781556529634</v>
      </c>
      <c r="E5018" t="s">
        <v>3090</v>
      </c>
      <c r="F5018" t="s">
        <v>3090</v>
      </c>
      <c r="G5018" s="1">
        <v>39661</v>
      </c>
      <c r="H5018" s="1">
        <v>39829</v>
      </c>
      <c r="I5018" t="s">
        <v>12</v>
      </c>
      <c r="J5018" t="s">
        <v>15788</v>
      </c>
    </row>
    <row r="5019" spans="1:10" x14ac:dyDescent="0.25">
      <c r="A5019">
        <v>408664</v>
      </c>
      <c r="B5019" t="s">
        <v>5239</v>
      </c>
      <c r="C5019" t="str">
        <f>"9780979731303"</f>
        <v>9780979731303</v>
      </c>
      <c r="D5019" t="str">
        <f>"9781556529665"</f>
        <v>9781556529665</v>
      </c>
      <c r="E5019" t="s">
        <v>3090</v>
      </c>
      <c r="F5019" t="s">
        <v>3090</v>
      </c>
      <c r="G5019" s="1">
        <v>39326</v>
      </c>
      <c r="H5019" s="1">
        <v>39829</v>
      </c>
      <c r="I5019" t="s">
        <v>12</v>
      </c>
      <c r="J5019" t="s">
        <v>15789</v>
      </c>
    </row>
    <row r="5020" spans="1:10" x14ac:dyDescent="0.25">
      <c r="A5020">
        <v>408671</v>
      </c>
      <c r="B5020" t="s">
        <v>5240</v>
      </c>
      <c r="C5020" t="str">
        <f>"9780749449711"</f>
        <v>9780749449711</v>
      </c>
      <c r="D5020" t="str">
        <f>"9780749455699"</f>
        <v>9780749455699</v>
      </c>
      <c r="E5020" t="s">
        <v>1770</v>
      </c>
      <c r="F5020" t="s">
        <v>1770</v>
      </c>
      <c r="G5020" s="1">
        <v>39783</v>
      </c>
      <c r="H5020" s="1">
        <v>39822</v>
      </c>
      <c r="I5020" t="s">
        <v>12</v>
      </c>
      <c r="J5020" t="s">
        <v>15790</v>
      </c>
    </row>
    <row r="5021" spans="1:10" x14ac:dyDescent="0.25">
      <c r="A5021">
        <v>408730</v>
      </c>
      <c r="B5021" t="s">
        <v>5241</v>
      </c>
      <c r="C5021" t="str">
        <f>"9780814400463"</f>
        <v>9780814400463</v>
      </c>
      <c r="D5021" t="str">
        <f>"9780814401767"</f>
        <v>9780814401767</v>
      </c>
      <c r="E5021" t="s">
        <v>1080</v>
      </c>
      <c r="F5021" t="s">
        <v>1080</v>
      </c>
      <c r="G5021" s="1">
        <v>39765</v>
      </c>
      <c r="H5021" s="1">
        <v>39849</v>
      </c>
      <c r="I5021" t="s">
        <v>12</v>
      </c>
      <c r="J5021" t="s">
        <v>15791</v>
      </c>
    </row>
    <row r="5022" spans="1:10" x14ac:dyDescent="0.25">
      <c r="A5022">
        <v>408732</v>
      </c>
      <c r="B5022" t="s">
        <v>5242</v>
      </c>
      <c r="C5022" t="str">
        <f>"9780814409824"</f>
        <v>9780814409824</v>
      </c>
      <c r="D5022" t="str">
        <f>"9780814410813"</f>
        <v>9780814410813</v>
      </c>
      <c r="E5022" t="s">
        <v>1080</v>
      </c>
      <c r="F5022" t="s">
        <v>1080</v>
      </c>
      <c r="G5022" s="1">
        <v>39540</v>
      </c>
      <c r="H5022" s="1">
        <v>39849</v>
      </c>
      <c r="I5022" t="s">
        <v>12</v>
      </c>
      <c r="J5022" t="s">
        <v>15792</v>
      </c>
    </row>
    <row r="5023" spans="1:10" x14ac:dyDescent="0.25">
      <c r="A5023">
        <v>408733</v>
      </c>
      <c r="B5023" t="s">
        <v>5243</v>
      </c>
      <c r="C5023" t="str">
        <f>"9780814401613"</f>
        <v>9780814401613</v>
      </c>
      <c r="D5023" t="str">
        <f>"9780814409527"</f>
        <v>9780814409527</v>
      </c>
      <c r="E5023" t="s">
        <v>1080</v>
      </c>
      <c r="F5023" t="s">
        <v>1080</v>
      </c>
      <c r="G5023" s="1">
        <v>39470</v>
      </c>
      <c r="H5023" s="1">
        <v>39849</v>
      </c>
      <c r="I5023" t="s">
        <v>12</v>
      </c>
      <c r="J5023" t="s">
        <v>15793</v>
      </c>
    </row>
    <row r="5024" spans="1:10" x14ac:dyDescent="0.25">
      <c r="A5024">
        <v>408736</v>
      </c>
      <c r="B5024" t="s">
        <v>5244</v>
      </c>
      <c r="C5024" t="str">
        <f>"9780814474037"</f>
        <v>9780814474037</v>
      </c>
      <c r="D5024" t="str">
        <f>"9780814409510"</f>
        <v>9780814409510</v>
      </c>
      <c r="E5024" t="s">
        <v>1080</v>
      </c>
      <c r="F5024" t="s">
        <v>1080</v>
      </c>
      <c r="G5024" s="1">
        <v>39477</v>
      </c>
      <c r="H5024" s="1">
        <v>39849</v>
      </c>
      <c r="I5024" t="s">
        <v>12</v>
      </c>
      <c r="J5024" t="s">
        <v>15794</v>
      </c>
    </row>
    <row r="5025" spans="1:10" x14ac:dyDescent="0.25">
      <c r="A5025">
        <v>408747</v>
      </c>
      <c r="B5025" t="s">
        <v>5245</v>
      </c>
      <c r="C5025" t="str">
        <f>"9780814401699"</f>
        <v>9780814401699</v>
      </c>
      <c r="D5025" t="str">
        <f>"9780814410479"</f>
        <v>9780814410479</v>
      </c>
      <c r="E5025" t="s">
        <v>1080</v>
      </c>
      <c r="F5025" t="s">
        <v>1080</v>
      </c>
      <c r="G5025" s="1">
        <v>39519</v>
      </c>
      <c r="H5025" s="1">
        <v>39849</v>
      </c>
      <c r="I5025" t="s">
        <v>12</v>
      </c>
      <c r="J5025" t="s">
        <v>15795</v>
      </c>
    </row>
    <row r="5026" spans="1:10" x14ac:dyDescent="0.25">
      <c r="A5026">
        <v>408749</v>
      </c>
      <c r="B5026" t="s">
        <v>5246</v>
      </c>
      <c r="C5026" t="str">
        <f>"9780814400470"</f>
        <v>9780814400470</v>
      </c>
      <c r="D5026" t="str">
        <f>"9780814401873"</f>
        <v>9780814401873</v>
      </c>
      <c r="E5026" t="s">
        <v>1080</v>
      </c>
      <c r="F5026" t="s">
        <v>1080</v>
      </c>
      <c r="G5026" s="1">
        <v>39519</v>
      </c>
      <c r="H5026" s="1">
        <v>39849</v>
      </c>
      <c r="I5026" t="s">
        <v>12</v>
      </c>
      <c r="J5026" t="s">
        <v>15796</v>
      </c>
    </row>
    <row r="5027" spans="1:10" x14ac:dyDescent="0.25">
      <c r="A5027">
        <v>408752</v>
      </c>
      <c r="B5027" t="s">
        <v>5247</v>
      </c>
      <c r="C5027" t="str">
        <f>"9780814480663"</f>
        <v>9780814480663</v>
      </c>
      <c r="D5027" t="str">
        <f>"9780814401958"</f>
        <v>9780814401958</v>
      </c>
      <c r="E5027" t="s">
        <v>1080</v>
      </c>
      <c r="F5027" t="s">
        <v>1080</v>
      </c>
      <c r="G5027" s="1">
        <v>39540</v>
      </c>
      <c r="H5027" s="1">
        <v>39849</v>
      </c>
      <c r="I5027" t="s">
        <v>12</v>
      </c>
      <c r="J5027" t="s">
        <v>15797</v>
      </c>
    </row>
    <row r="5028" spans="1:10" x14ac:dyDescent="0.25">
      <c r="A5028">
        <v>408758</v>
      </c>
      <c r="B5028" t="s">
        <v>5248</v>
      </c>
      <c r="C5028" t="str">
        <f>"9780814412749"</f>
        <v>9780814412749</v>
      </c>
      <c r="D5028" t="str">
        <f>"9780814412756"</f>
        <v>9780814412756</v>
      </c>
      <c r="E5028" t="s">
        <v>1080</v>
      </c>
      <c r="F5028" t="s">
        <v>1080</v>
      </c>
      <c r="G5028" s="1">
        <v>39783</v>
      </c>
      <c r="H5028" s="1">
        <v>39849</v>
      </c>
      <c r="I5028" t="s">
        <v>12</v>
      </c>
      <c r="J5028" t="s">
        <v>15798</v>
      </c>
    </row>
    <row r="5029" spans="1:10" x14ac:dyDescent="0.25">
      <c r="A5029">
        <v>408762</v>
      </c>
      <c r="B5029" t="s">
        <v>5249</v>
      </c>
      <c r="C5029" t="str">
        <f>"9780814480540"</f>
        <v>9780814480540</v>
      </c>
      <c r="D5029" t="str">
        <f>"9780814409695"</f>
        <v>9780814409695</v>
      </c>
      <c r="E5029" t="s">
        <v>1080</v>
      </c>
      <c r="F5029" t="s">
        <v>1080</v>
      </c>
      <c r="G5029" s="1">
        <v>39463</v>
      </c>
      <c r="H5029" s="1">
        <v>39849</v>
      </c>
      <c r="I5029" t="s">
        <v>12</v>
      </c>
      <c r="J5029" t="s">
        <v>15799</v>
      </c>
    </row>
    <row r="5030" spans="1:10" x14ac:dyDescent="0.25">
      <c r="A5030">
        <v>408764</v>
      </c>
      <c r="B5030" t="s">
        <v>5250</v>
      </c>
      <c r="C5030" t="str">
        <f>"9780814401972"</f>
        <v>9780814401972</v>
      </c>
      <c r="D5030" t="str">
        <f>"9780814412930"</f>
        <v>9780814412930</v>
      </c>
      <c r="E5030" t="s">
        <v>1080</v>
      </c>
      <c r="F5030" t="s">
        <v>1080</v>
      </c>
      <c r="G5030" s="1">
        <v>39548</v>
      </c>
      <c r="H5030" s="1">
        <v>39849</v>
      </c>
      <c r="I5030" t="s">
        <v>12</v>
      </c>
      <c r="J5030" t="s">
        <v>15800</v>
      </c>
    </row>
    <row r="5031" spans="1:10" x14ac:dyDescent="0.25">
      <c r="A5031">
        <v>408766</v>
      </c>
      <c r="B5031" t="s">
        <v>5251</v>
      </c>
      <c r="C5031" t="str">
        <f>"9780814401668"</f>
        <v>9780814401668</v>
      </c>
      <c r="D5031" t="str">
        <f>"9780814401835"</f>
        <v>9780814401835</v>
      </c>
      <c r="E5031" t="s">
        <v>1080</v>
      </c>
      <c r="F5031" t="s">
        <v>1080</v>
      </c>
      <c r="G5031" s="1">
        <v>39570</v>
      </c>
      <c r="H5031" s="1">
        <v>39849</v>
      </c>
      <c r="I5031" t="s">
        <v>12</v>
      </c>
      <c r="J5031" t="s">
        <v>15801</v>
      </c>
    </row>
    <row r="5032" spans="1:10" x14ac:dyDescent="0.25">
      <c r="A5032">
        <v>408768</v>
      </c>
      <c r="B5032" t="s">
        <v>5252</v>
      </c>
      <c r="C5032" t="str">
        <f>"9780814401651"</f>
        <v>9780814401651</v>
      </c>
      <c r="D5032" t="str">
        <f>"9780814401965"</f>
        <v>9780814401965</v>
      </c>
      <c r="E5032" t="s">
        <v>1080</v>
      </c>
      <c r="F5032" t="s">
        <v>1080</v>
      </c>
      <c r="G5032" s="1">
        <v>39783</v>
      </c>
      <c r="H5032" s="1">
        <v>39849</v>
      </c>
      <c r="I5032" t="s">
        <v>12</v>
      </c>
      <c r="J5032" t="s">
        <v>15802</v>
      </c>
    </row>
    <row r="5033" spans="1:10" x14ac:dyDescent="0.25">
      <c r="A5033">
        <v>408772</v>
      </c>
      <c r="B5033" t="s">
        <v>5253</v>
      </c>
      <c r="C5033" t="str">
        <f>"9780814409336"</f>
        <v>9780814409336</v>
      </c>
      <c r="D5033" t="str">
        <f>"9780814412848"</f>
        <v>9780814412848</v>
      </c>
      <c r="E5033" t="s">
        <v>1080</v>
      </c>
      <c r="F5033" t="s">
        <v>1080</v>
      </c>
      <c r="G5033" s="1">
        <v>39601</v>
      </c>
      <c r="H5033" s="1">
        <v>39849</v>
      </c>
      <c r="I5033" t="s">
        <v>12</v>
      </c>
      <c r="J5033" t="s">
        <v>15803</v>
      </c>
    </row>
    <row r="5034" spans="1:10" x14ac:dyDescent="0.25">
      <c r="A5034">
        <v>408774</v>
      </c>
      <c r="B5034" t="s">
        <v>5254</v>
      </c>
      <c r="C5034" t="str">
        <f>"9780814400302"</f>
        <v>9780814400302</v>
      </c>
      <c r="D5034" t="str">
        <f>"9780814401866"</f>
        <v>9780814401866</v>
      </c>
      <c r="E5034" t="s">
        <v>1080</v>
      </c>
      <c r="F5034" t="s">
        <v>1080</v>
      </c>
      <c r="G5034" s="1">
        <v>39470</v>
      </c>
      <c r="H5034" s="1">
        <v>39849</v>
      </c>
      <c r="I5034" t="s">
        <v>12</v>
      </c>
      <c r="J5034" t="s">
        <v>15804</v>
      </c>
    </row>
    <row r="5035" spans="1:10" x14ac:dyDescent="0.25">
      <c r="A5035">
        <v>408777</v>
      </c>
      <c r="B5035" t="s">
        <v>5255</v>
      </c>
      <c r="C5035" t="str">
        <f>"9780814400289"</f>
        <v>9780814400289</v>
      </c>
      <c r="D5035" t="str">
        <f>"9780814401941"</f>
        <v>9780814401941</v>
      </c>
      <c r="E5035" t="s">
        <v>1080</v>
      </c>
      <c r="F5035" t="s">
        <v>1080</v>
      </c>
      <c r="G5035" s="1">
        <v>39498</v>
      </c>
      <c r="H5035" s="1">
        <v>39849</v>
      </c>
      <c r="I5035" t="s">
        <v>12</v>
      </c>
      <c r="J5035" t="s">
        <v>15805</v>
      </c>
    </row>
    <row r="5036" spans="1:10" x14ac:dyDescent="0.25">
      <c r="A5036">
        <v>408778</v>
      </c>
      <c r="B5036" t="s">
        <v>5256</v>
      </c>
      <c r="C5036" t="str">
        <f>"9780814409084"</f>
        <v>9780814409084</v>
      </c>
      <c r="D5036" t="str">
        <f>"9780814409725"</f>
        <v>9780814409725</v>
      </c>
      <c r="E5036" t="s">
        <v>1080</v>
      </c>
      <c r="F5036" t="s">
        <v>1080</v>
      </c>
      <c r="G5036" s="1">
        <v>39456</v>
      </c>
      <c r="H5036" s="1">
        <v>39849</v>
      </c>
      <c r="I5036" t="s">
        <v>12</v>
      </c>
      <c r="J5036" t="s">
        <v>15806</v>
      </c>
    </row>
    <row r="5037" spans="1:10" x14ac:dyDescent="0.25">
      <c r="A5037">
        <v>408779</v>
      </c>
      <c r="B5037" t="s">
        <v>5257</v>
      </c>
      <c r="C5037" t="str">
        <f>"9780814474419"</f>
        <v>9780814474419</v>
      </c>
      <c r="D5037" t="str">
        <f>"9780814410196"</f>
        <v>9780814410196</v>
      </c>
      <c r="E5037" t="s">
        <v>1080</v>
      </c>
      <c r="F5037" t="s">
        <v>1080</v>
      </c>
      <c r="G5037" s="1">
        <v>39584</v>
      </c>
      <c r="H5037" s="1">
        <v>39849</v>
      </c>
      <c r="I5037" t="s">
        <v>12</v>
      </c>
      <c r="J5037" t="s">
        <v>15807</v>
      </c>
    </row>
    <row r="5038" spans="1:10" x14ac:dyDescent="0.25">
      <c r="A5038">
        <v>408780</v>
      </c>
      <c r="B5038" t="s">
        <v>5258</v>
      </c>
      <c r="C5038" t="str">
        <f>"9780814401576"</f>
        <v>9780814401576</v>
      </c>
      <c r="D5038" t="str">
        <f>"9780814401828"</f>
        <v>9780814401828</v>
      </c>
      <c r="E5038" t="s">
        <v>1080</v>
      </c>
      <c r="F5038" t="s">
        <v>1080</v>
      </c>
      <c r="G5038" s="1">
        <v>39478</v>
      </c>
      <c r="H5038" s="1">
        <v>39849</v>
      </c>
      <c r="I5038" t="s">
        <v>12</v>
      </c>
      <c r="J5038" t="s">
        <v>15808</v>
      </c>
    </row>
    <row r="5039" spans="1:10" x14ac:dyDescent="0.25">
      <c r="A5039">
        <v>408782</v>
      </c>
      <c r="B5039" t="s">
        <v>5259</v>
      </c>
      <c r="C5039" t="str">
        <f>"9780814433010"</f>
        <v>9780814433010</v>
      </c>
      <c r="D5039" t="str">
        <f>"9780814412824"</f>
        <v>9780814412824</v>
      </c>
      <c r="E5039" t="s">
        <v>1080</v>
      </c>
      <c r="F5039" t="s">
        <v>1080</v>
      </c>
      <c r="G5039" s="1">
        <v>39582</v>
      </c>
      <c r="H5039" s="1">
        <v>39849</v>
      </c>
      <c r="I5039" t="s">
        <v>12</v>
      </c>
      <c r="J5039" t="s">
        <v>15809</v>
      </c>
    </row>
    <row r="5040" spans="1:10" x14ac:dyDescent="0.25">
      <c r="A5040">
        <v>408783</v>
      </c>
      <c r="B5040" t="s">
        <v>5260</v>
      </c>
      <c r="C5040" t="str">
        <f>"9780814401620"</f>
        <v>9780814401620</v>
      </c>
      <c r="D5040" t="str">
        <f>"9780814401903"</f>
        <v>9780814401903</v>
      </c>
      <c r="E5040" t="s">
        <v>1080</v>
      </c>
      <c r="F5040" t="s">
        <v>1080</v>
      </c>
      <c r="G5040" s="1">
        <v>39596</v>
      </c>
      <c r="H5040" s="1">
        <v>39849</v>
      </c>
      <c r="I5040" t="s">
        <v>12</v>
      </c>
      <c r="J5040" t="s">
        <v>15810</v>
      </c>
    </row>
    <row r="5041" spans="1:10" x14ac:dyDescent="0.25">
      <c r="A5041">
        <v>408791</v>
      </c>
      <c r="B5041" t="s">
        <v>5261</v>
      </c>
      <c r="C5041" t="str">
        <f>"9780814410516"</f>
        <v>9780814410516</v>
      </c>
      <c r="D5041" t="str">
        <f>"9780814410523"</f>
        <v>9780814410523</v>
      </c>
      <c r="E5041" t="s">
        <v>1080</v>
      </c>
      <c r="F5041" t="s">
        <v>1080</v>
      </c>
      <c r="G5041" s="1">
        <v>39736</v>
      </c>
      <c r="H5041" s="1">
        <v>39849</v>
      </c>
      <c r="I5041" t="s">
        <v>12</v>
      </c>
      <c r="J5041" t="s">
        <v>15811</v>
      </c>
    </row>
    <row r="5042" spans="1:10" x14ac:dyDescent="0.25">
      <c r="A5042">
        <v>408793</v>
      </c>
      <c r="B5042" t="s">
        <v>5262</v>
      </c>
      <c r="C5042" t="str">
        <f>"9780814408896"</f>
        <v>9780814408896</v>
      </c>
      <c r="D5042" t="str">
        <f>"9780814409626"</f>
        <v>9780814409626</v>
      </c>
      <c r="E5042" t="s">
        <v>1080</v>
      </c>
      <c r="F5042" t="s">
        <v>1080</v>
      </c>
      <c r="G5042" s="1">
        <v>39783</v>
      </c>
      <c r="H5042" s="1">
        <v>39849</v>
      </c>
      <c r="I5042" t="s">
        <v>12</v>
      </c>
      <c r="J5042" t="s">
        <v>15812</v>
      </c>
    </row>
    <row r="5043" spans="1:10" x14ac:dyDescent="0.25">
      <c r="A5043">
        <v>408794</v>
      </c>
      <c r="B5043" t="s">
        <v>5263</v>
      </c>
      <c r="C5043" t="str">
        <f>"9780814409411"</f>
        <v>9780814409411</v>
      </c>
      <c r="D5043" t="str">
        <f>"9780814410899"</f>
        <v>9780814410899</v>
      </c>
      <c r="E5043" t="s">
        <v>1080</v>
      </c>
      <c r="F5043" t="s">
        <v>1080</v>
      </c>
      <c r="G5043" s="1">
        <v>39608</v>
      </c>
      <c r="H5043" s="1">
        <v>39849</v>
      </c>
      <c r="I5043" t="s">
        <v>12</v>
      </c>
      <c r="J5043" t="s">
        <v>15813</v>
      </c>
    </row>
    <row r="5044" spans="1:10" x14ac:dyDescent="0.25">
      <c r="A5044">
        <v>408795</v>
      </c>
      <c r="B5044" t="s">
        <v>5264</v>
      </c>
      <c r="C5044" t="str">
        <f>"9780814480564"</f>
        <v>9780814480564</v>
      </c>
      <c r="D5044" t="str">
        <f>"9780814412831"</f>
        <v>9780814412831</v>
      </c>
      <c r="E5044" t="s">
        <v>1080</v>
      </c>
      <c r="F5044" t="s">
        <v>1080</v>
      </c>
      <c r="G5044" s="1">
        <v>39575</v>
      </c>
      <c r="H5044" s="1">
        <v>39849</v>
      </c>
      <c r="I5044" t="s">
        <v>12</v>
      </c>
      <c r="J5044" t="s">
        <v>15814</v>
      </c>
    </row>
    <row r="5045" spans="1:10" x14ac:dyDescent="0.25">
      <c r="A5045">
        <v>408796</v>
      </c>
      <c r="B5045" t="s">
        <v>5265</v>
      </c>
      <c r="C5045" t="str">
        <f>"9780814474730"</f>
        <v>9780814474730</v>
      </c>
      <c r="D5045" t="str">
        <f>"9780814409732"</f>
        <v>9780814409732</v>
      </c>
      <c r="E5045" t="s">
        <v>1080</v>
      </c>
      <c r="F5045" t="s">
        <v>1080</v>
      </c>
      <c r="G5045" s="1">
        <v>39470</v>
      </c>
      <c r="H5045" s="1">
        <v>39849</v>
      </c>
      <c r="I5045" t="s">
        <v>12</v>
      </c>
      <c r="J5045" t="s">
        <v>15815</v>
      </c>
    </row>
    <row r="5046" spans="1:10" x14ac:dyDescent="0.25">
      <c r="A5046">
        <v>408800</v>
      </c>
      <c r="B5046" t="s">
        <v>5266</v>
      </c>
      <c r="C5046" t="str">
        <f>"9780814410134"</f>
        <v>9780814410134</v>
      </c>
      <c r="D5046" t="str">
        <f>"9780814410141"</f>
        <v>9780814410141</v>
      </c>
      <c r="E5046" t="s">
        <v>1080</v>
      </c>
      <c r="F5046" t="s">
        <v>1080</v>
      </c>
      <c r="G5046" s="1">
        <v>39608</v>
      </c>
      <c r="H5046" s="1">
        <v>39827</v>
      </c>
      <c r="I5046" t="s">
        <v>12</v>
      </c>
      <c r="J5046" t="s">
        <v>15816</v>
      </c>
    </row>
    <row r="5047" spans="1:10" x14ac:dyDescent="0.25">
      <c r="A5047">
        <v>408801</v>
      </c>
      <c r="B5047" t="s">
        <v>5267</v>
      </c>
      <c r="C5047" t="str">
        <f>"9780814480618"</f>
        <v>9780814480618</v>
      </c>
      <c r="D5047" t="str">
        <f>"9780814410448"</f>
        <v>9780814410448</v>
      </c>
      <c r="E5047" t="s">
        <v>1080</v>
      </c>
      <c r="F5047" t="s">
        <v>1080</v>
      </c>
      <c r="G5047" s="1">
        <v>39512</v>
      </c>
      <c r="H5047" s="1">
        <v>39827</v>
      </c>
      <c r="I5047" t="s">
        <v>12</v>
      </c>
      <c r="J5047" t="s">
        <v>15817</v>
      </c>
    </row>
    <row r="5048" spans="1:10" x14ac:dyDescent="0.25">
      <c r="A5048">
        <v>408806</v>
      </c>
      <c r="B5048" t="s">
        <v>5268</v>
      </c>
      <c r="C5048" t="str">
        <f>"9780814400265"</f>
        <v>9780814400265</v>
      </c>
      <c r="D5048" t="str">
        <f>"9780814409589"</f>
        <v>9780814409589</v>
      </c>
      <c r="E5048" t="s">
        <v>1080</v>
      </c>
      <c r="F5048" t="s">
        <v>1080</v>
      </c>
      <c r="G5048" s="1">
        <v>39561</v>
      </c>
      <c r="H5048" s="1">
        <v>39827</v>
      </c>
      <c r="I5048" t="s">
        <v>12</v>
      </c>
      <c r="J5048" t="s">
        <v>15818</v>
      </c>
    </row>
    <row r="5049" spans="1:10" x14ac:dyDescent="0.25">
      <c r="A5049">
        <v>408809</v>
      </c>
      <c r="B5049" t="s">
        <v>5269</v>
      </c>
      <c r="C5049" t="str">
        <f>"9780814400333"</f>
        <v>9780814400333</v>
      </c>
      <c r="D5049" t="str">
        <f>"9780814401927"</f>
        <v>9780814401927</v>
      </c>
      <c r="E5049" t="s">
        <v>1080</v>
      </c>
      <c r="F5049" t="s">
        <v>1080</v>
      </c>
      <c r="G5049" s="1">
        <v>39470</v>
      </c>
      <c r="H5049" s="1">
        <v>39827</v>
      </c>
      <c r="I5049" t="s">
        <v>12</v>
      </c>
      <c r="J5049" t="s">
        <v>15819</v>
      </c>
    </row>
    <row r="5050" spans="1:10" x14ac:dyDescent="0.25">
      <c r="A5050">
        <v>408815</v>
      </c>
      <c r="B5050" t="s">
        <v>5270</v>
      </c>
      <c r="C5050" t="str">
        <f>"9781847691286"</f>
        <v>9781847691286</v>
      </c>
      <c r="D5050" t="str">
        <f>"9781847691293"</f>
        <v>9781847691293</v>
      </c>
      <c r="E5050" t="s">
        <v>886</v>
      </c>
      <c r="F5050" t="s">
        <v>887</v>
      </c>
      <c r="G5050" s="1">
        <v>39825</v>
      </c>
      <c r="H5050" s="1">
        <v>39828</v>
      </c>
      <c r="I5050" t="s">
        <v>12</v>
      </c>
      <c r="J5050" t="s">
        <v>15820</v>
      </c>
    </row>
    <row r="5051" spans="1:10" x14ac:dyDescent="0.25">
      <c r="A5051">
        <v>408821</v>
      </c>
      <c r="B5051" t="s">
        <v>5271</v>
      </c>
      <c r="C5051" t="str">
        <f>"9781847691217"</f>
        <v>9781847691217</v>
      </c>
      <c r="D5051" t="str">
        <f>"9781847691231"</f>
        <v>9781847691231</v>
      </c>
      <c r="E5051" t="s">
        <v>886</v>
      </c>
      <c r="F5051" t="s">
        <v>887</v>
      </c>
      <c r="G5051" s="1">
        <v>39821</v>
      </c>
      <c r="H5051" s="1">
        <v>39828</v>
      </c>
      <c r="I5051" t="s">
        <v>12</v>
      </c>
      <c r="J5051" t="s">
        <v>15821</v>
      </c>
    </row>
    <row r="5052" spans="1:10" x14ac:dyDescent="0.25">
      <c r="A5052">
        <v>408994</v>
      </c>
      <c r="B5052" t="s">
        <v>5272</v>
      </c>
      <c r="C5052" t="str">
        <f>"9780761935605"</f>
        <v>9780761935605</v>
      </c>
      <c r="D5052" t="str">
        <f>"9788178299655"</f>
        <v>9788178299655</v>
      </c>
      <c r="E5052" t="s">
        <v>1569</v>
      </c>
      <c r="F5052" t="s">
        <v>5273</v>
      </c>
      <c r="G5052" s="1">
        <v>39119</v>
      </c>
      <c r="H5052" s="1">
        <v>39827</v>
      </c>
      <c r="I5052" t="s">
        <v>12</v>
      </c>
      <c r="J5052" t="s">
        <v>15822</v>
      </c>
    </row>
    <row r="5053" spans="1:10" x14ac:dyDescent="0.25">
      <c r="A5053">
        <v>408999</v>
      </c>
      <c r="B5053" t="s">
        <v>5274</v>
      </c>
      <c r="C5053" t="str">
        <f>"9780761936046"</f>
        <v>9780761936046</v>
      </c>
      <c r="D5053" t="str">
        <f>"9788178299853"</f>
        <v>9788178299853</v>
      </c>
      <c r="E5053" t="s">
        <v>1569</v>
      </c>
      <c r="F5053" t="s">
        <v>5273</v>
      </c>
      <c r="G5053" s="1">
        <v>39420</v>
      </c>
      <c r="H5053" s="1">
        <v>39827</v>
      </c>
      <c r="I5053" t="s">
        <v>12</v>
      </c>
      <c r="J5053" t="s">
        <v>15823</v>
      </c>
    </row>
    <row r="5054" spans="1:10" x14ac:dyDescent="0.25">
      <c r="A5054">
        <v>409007</v>
      </c>
      <c r="B5054" t="s">
        <v>5275</v>
      </c>
      <c r="C5054" t="str">
        <f>"9788178298771"</f>
        <v>9788178298771</v>
      </c>
      <c r="D5054" t="str">
        <f>"9788132100683"</f>
        <v>9788132100683</v>
      </c>
      <c r="E5054" t="s">
        <v>1569</v>
      </c>
      <c r="F5054" t="s">
        <v>5273</v>
      </c>
      <c r="G5054" s="1">
        <v>39785</v>
      </c>
      <c r="H5054" s="1">
        <v>39827</v>
      </c>
      <c r="I5054" t="s">
        <v>12</v>
      </c>
      <c r="J5054" t="s">
        <v>15824</v>
      </c>
    </row>
    <row r="5055" spans="1:10" x14ac:dyDescent="0.25">
      <c r="A5055">
        <v>409041</v>
      </c>
      <c r="B5055" t="s">
        <v>5276</v>
      </c>
      <c r="C5055" t="str">
        <f>"9780761936756"</f>
        <v>9780761936756</v>
      </c>
      <c r="D5055" t="str">
        <f>"9788132100324"</f>
        <v>9788132100324</v>
      </c>
      <c r="E5055" t="s">
        <v>1569</v>
      </c>
      <c r="F5055" t="s">
        <v>5273</v>
      </c>
      <c r="G5055" s="1">
        <v>39553</v>
      </c>
      <c r="H5055" s="1">
        <v>39933</v>
      </c>
      <c r="I5055" t="s">
        <v>12</v>
      </c>
      <c r="J5055" t="s">
        <v>15825</v>
      </c>
    </row>
    <row r="5056" spans="1:10" x14ac:dyDescent="0.25">
      <c r="A5056">
        <v>409056</v>
      </c>
      <c r="B5056" t="s">
        <v>5277</v>
      </c>
      <c r="C5056" t="str">
        <f>"9788178298726"</f>
        <v>9788178298726</v>
      </c>
      <c r="D5056" t="str">
        <f>"9788132100546"</f>
        <v>9788132100546</v>
      </c>
      <c r="E5056" t="s">
        <v>1569</v>
      </c>
      <c r="F5056" t="s">
        <v>5273</v>
      </c>
      <c r="G5056" s="1">
        <v>39707</v>
      </c>
      <c r="H5056" s="1">
        <v>39933</v>
      </c>
      <c r="I5056" t="s">
        <v>12</v>
      </c>
      <c r="J5056" t="s">
        <v>15826</v>
      </c>
    </row>
    <row r="5057" spans="1:10" x14ac:dyDescent="0.25">
      <c r="A5057">
        <v>409117</v>
      </c>
      <c r="B5057" t="s">
        <v>5278</v>
      </c>
      <c r="C5057" t="str">
        <f>"9781556522758"</f>
        <v>9781556522758</v>
      </c>
      <c r="D5057" t="str">
        <f>"9781556529801"</f>
        <v>9781556529801</v>
      </c>
      <c r="E5057" t="s">
        <v>3090</v>
      </c>
      <c r="F5057" t="s">
        <v>3090</v>
      </c>
      <c r="G5057" s="1">
        <v>36586</v>
      </c>
      <c r="H5057" s="1">
        <v>39829</v>
      </c>
      <c r="I5057" t="s">
        <v>12</v>
      </c>
      <c r="J5057" t="s">
        <v>15827</v>
      </c>
    </row>
    <row r="5058" spans="1:10" x14ac:dyDescent="0.25">
      <c r="A5058">
        <v>409118</v>
      </c>
      <c r="B5058" t="s">
        <v>5279</v>
      </c>
      <c r="C5058" t="str">
        <f>"9781556524936"</f>
        <v>9781556524936</v>
      </c>
      <c r="D5058" t="str">
        <f>"9781556529856"</f>
        <v>9781556529856</v>
      </c>
      <c r="E5058" t="s">
        <v>3090</v>
      </c>
      <c r="F5058" t="s">
        <v>3090</v>
      </c>
      <c r="G5058" s="1">
        <v>37742</v>
      </c>
      <c r="H5058" s="1">
        <v>39829</v>
      </c>
      <c r="I5058" t="s">
        <v>12</v>
      </c>
      <c r="J5058" t="s">
        <v>15828</v>
      </c>
    </row>
    <row r="5059" spans="1:10" x14ac:dyDescent="0.25">
      <c r="A5059">
        <v>409119</v>
      </c>
      <c r="B5059" t="s">
        <v>5280</v>
      </c>
      <c r="C5059" t="str">
        <f>"9781556525957"</f>
        <v>9781556525957</v>
      </c>
      <c r="D5059" t="str">
        <f>"9781556529900"</f>
        <v>9781556529900</v>
      </c>
      <c r="E5059" t="s">
        <v>3090</v>
      </c>
      <c r="F5059" t="s">
        <v>3090</v>
      </c>
      <c r="G5059" s="1">
        <v>38657</v>
      </c>
      <c r="H5059" s="1">
        <v>39829</v>
      </c>
      <c r="I5059" t="s">
        <v>12</v>
      </c>
      <c r="J5059" t="s">
        <v>15829</v>
      </c>
    </row>
    <row r="5060" spans="1:10" x14ac:dyDescent="0.25">
      <c r="A5060">
        <v>409120</v>
      </c>
      <c r="B5060" t="s">
        <v>5281</v>
      </c>
      <c r="C5060" t="str">
        <f>"9781556524066"</f>
        <v>9781556524066</v>
      </c>
      <c r="D5060" t="str">
        <f>"9781556529924"</f>
        <v>9781556529924</v>
      </c>
      <c r="E5060" t="s">
        <v>3090</v>
      </c>
      <c r="F5060" t="s">
        <v>3090</v>
      </c>
      <c r="G5060" s="1">
        <v>37438</v>
      </c>
      <c r="H5060" s="1">
        <v>39829</v>
      </c>
      <c r="I5060" t="s">
        <v>12</v>
      </c>
      <c r="J5060" t="s">
        <v>15830</v>
      </c>
    </row>
    <row r="5061" spans="1:10" x14ac:dyDescent="0.25">
      <c r="A5061">
        <v>410643</v>
      </c>
      <c r="B5061" t="s">
        <v>5282</v>
      </c>
      <c r="C5061" t="str">
        <f>"9781605500966"</f>
        <v>9781605500966</v>
      </c>
      <c r="D5061" t="str">
        <f>"9781440501753"</f>
        <v>9781440501753</v>
      </c>
      <c r="E5061" t="s">
        <v>5150</v>
      </c>
      <c r="F5061" t="s">
        <v>5151</v>
      </c>
      <c r="G5061" s="1">
        <v>39799</v>
      </c>
      <c r="H5061" s="1">
        <v>39843</v>
      </c>
      <c r="I5061" t="s">
        <v>12</v>
      </c>
      <c r="J5061" t="s">
        <v>15831</v>
      </c>
    </row>
    <row r="5062" spans="1:10" x14ac:dyDescent="0.25">
      <c r="A5062">
        <v>410649</v>
      </c>
      <c r="B5062" t="s">
        <v>5283</v>
      </c>
      <c r="C5062" t="str">
        <f>"9789053567128"</f>
        <v>9789053567128</v>
      </c>
      <c r="D5062" t="str">
        <f>"9789048505371"</f>
        <v>9789048505371</v>
      </c>
      <c r="E5062" t="s">
        <v>5284</v>
      </c>
      <c r="F5062" t="s">
        <v>5284</v>
      </c>
      <c r="G5062" s="1">
        <v>37987</v>
      </c>
      <c r="H5062" s="1">
        <v>39843</v>
      </c>
      <c r="I5062" t="s">
        <v>12</v>
      </c>
      <c r="J5062" t="s">
        <v>15832</v>
      </c>
    </row>
    <row r="5063" spans="1:10" x14ac:dyDescent="0.25">
      <c r="A5063">
        <v>410676</v>
      </c>
      <c r="B5063" t="s">
        <v>5285</v>
      </c>
      <c r="C5063" t="str">
        <f>"9781606230725"</f>
        <v>9781606230725</v>
      </c>
      <c r="D5063" t="str">
        <f>"9781606232736"</f>
        <v>9781606232736</v>
      </c>
      <c r="E5063" t="s">
        <v>3740</v>
      </c>
      <c r="F5063" t="s">
        <v>3741</v>
      </c>
      <c r="G5063" s="1">
        <v>39792</v>
      </c>
      <c r="H5063" s="1">
        <v>39842</v>
      </c>
      <c r="I5063" t="s">
        <v>12</v>
      </c>
      <c r="J5063" t="s">
        <v>15833</v>
      </c>
    </row>
    <row r="5064" spans="1:10" x14ac:dyDescent="0.25">
      <c r="A5064">
        <v>412846</v>
      </c>
      <c r="B5064" t="s">
        <v>5286</v>
      </c>
      <c r="C5064" t="str">
        <f>"9781843105534"</f>
        <v>9781843105534</v>
      </c>
      <c r="D5064" t="str">
        <f>"9781846428845"</f>
        <v>9781846428845</v>
      </c>
      <c r="E5064" t="s">
        <v>2950</v>
      </c>
      <c r="F5064" t="s">
        <v>2950</v>
      </c>
      <c r="G5064" s="1">
        <v>39797</v>
      </c>
      <c r="H5064" s="1">
        <v>39851</v>
      </c>
      <c r="I5064" t="s">
        <v>12</v>
      </c>
      <c r="J5064" t="s">
        <v>15834</v>
      </c>
    </row>
    <row r="5065" spans="1:10" x14ac:dyDescent="0.25">
      <c r="A5065">
        <v>412849</v>
      </c>
      <c r="B5065" t="s">
        <v>5287</v>
      </c>
      <c r="C5065" t="str">
        <f>"9781843106838"</f>
        <v>9781843106838</v>
      </c>
      <c r="D5065" t="str">
        <f>"9781846428654"</f>
        <v>9781846428654</v>
      </c>
      <c r="E5065" t="s">
        <v>2950</v>
      </c>
      <c r="F5065" t="s">
        <v>2950</v>
      </c>
      <c r="G5065" s="1">
        <v>39767</v>
      </c>
      <c r="H5065" s="1">
        <v>39851</v>
      </c>
      <c r="I5065" t="s">
        <v>12</v>
      </c>
      <c r="J5065" t="s">
        <v>15835</v>
      </c>
    </row>
    <row r="5066" spans="1:10" x14ac:dyDescent="0.25">
      <c r="A5066">
        <v>412855</v>
      </c>
      <c r="B5066" t="s">
        <v>5288</v>
      </c>
      <c r="C5066" t="str">
        <f>"9781843109402"</f>
        <v>9781843109402</v>
      </c>
      <c r="D5066" t="str">
        <f>"9781846428685"</f>
        <v>9781846428685</v>
      </c>
      <c r="E5066" t="s">
        <v>2950</v>
      </c>
      <c r="F5066" t="s">
        <v>2950</v>
      </c>
      <c r="G5066" s="1">
        <v>39767</v>
      </c>
      <c r="H5066" s="1">
        <v>39851</v>
      </c>
      <c r="I5066" t="s">
        <v>12</v>
      </c>
      <c r="J5066" t="s">
        <v>15836</v>
      </c>
    </row>
    <row r="5067" spans="1:10" x14ac:dyDescent="0.25">
      <c r="A5067">
        <v>412859</v>
      </c>
      <c r="B5067" t="s">
        <v>5289</v>
      </c>
      <c r="C5067" t="str">
        <f>"9781843109006"</f>
        <v>9781843109006</v>
      </c>
      <c r="D5067" t="str">
        <f>"9781846428746"</f>
        <v>9781846428746</v>
      </c>
      <c r="E5067" t="s">
        <v>2950</v>
      </c>
      <c r="F5067" t="s">
        <v>2950</v>
      </c>
      <c r="G5067" s="1">
        <v>39767</v>
      </c>
      <c r="H5067" s="1">
        <v>39851</v>
      </c>
      <c r="I5067" t="s">
        <v>12</v>
      </c>
      <c r="J5067" t="s">
        <v>15837</v>
      </c>
    </row>
    <row r="5068" spans="1:10" x14ac:dyDescent="0.25">
      <c r="A5068">
        <v>412866</v>
      </c>
      <c r="B5068" t="s">
        <v>5290</v>
      </c>
      <c r="C5068" t="str">
        <f>"9781843106418"</f>
        <v>9781843106418</v>
      </c>
      <c r="D5068" t="str">
        <f>"9781846428548"</f>
        <v>9781846428548</v>
      </c>
      <c r="E5068" t="s">
        <v>2950</v>
      </c>
      <c r="F5068" t="s">
        <v>2950</v>
      </c>
      <c r="G5068" s="1">
        <v>39736</v>
      </c>
      <c r="H5068" s="1">
        <v>39794</v>
      </c>
      <c r="I5068" t="s">
        <v>12</v>
      </c>
      <c r="J5068" t="s">
        <v>15838</v>
      </c>
    </row>
    <row r="5069" spans="1:10" x14ac:dyDescent="0.25">
      <c r="A5069">
        <v>412873</v>
      </c>
      <c r="B5069" t="s">
        <v>5291</v>
      </c>
      <c r="C5069" t="str">
        <f>"9781843106852"</f>
        <v>9781843106852</v>
      </c>
      <c r="D5069" t="str">
        <f>"9781846428630"</f>
        <v>9781846428630</v>
      </c>
      <c r="E5069" t="s">
        <v>2950</v>
      </c>
      <c r="F5069" t="s">
        <v>2950</v>
      </c>
      <c r="G5069" s="1">
        <v>39767</v>
      </c>
      <c r="H5069" s="1">
        <v>39851</v>
      </c>
      <c r="I5069" t="s">
        <v>12</v>
      </c>
      <c r="J5069" t="s">
        <v>15839</v>
      </c>
    </row>
    <row r="5070" spans="1:10" x14ac:dyDescent="0.25">
      <c r="A5070">
        <v>412874</v>
      </c>
      <c r="B5070" t="s">
        <v>5292</v>
      </c>
      <c r="C5070" t="str">
        <f>"9781843109044"</f>
        <v>9781843109044</v>
      </c>
      <c r="D5070" t="str">
        <f>"9781846428708"</f>
        <v>9781846428708</v>
      </c>
      <c r="E5070" t="s">
        <v>2950</v>
      </c>
      <c r="F5070" t="s">
        <v>2950</v>
      </c>
      <c r="G5070" s="1">
        <v>39767</v>
      </c>
      <c r="H5070" s="1">
        <v>39851</v>
      </c>
      <c r="I5070" t="s">
        <v>12</v>
      </c>
      <c r="J5070" t="s">
        <v>15840</v>
      </c>
    </row>
    <row r="5071" spans="1:10" x14ac:dyDescent="0.25">
      <c r="A5071">
        <v>413472</v>
      </c>
      <c r="B5071" t="s">
        <v>5293</v>
      </c>
      <c r="C5071" t="str">
        <f>"9781592135516"</f>
        <v>9781592135516</v>
      </c>
      <c r="D5071" t="str">
        <f>"9781592135530"</f>
        <v>9781592135530</v>
      </c>
      <c r="E5071" t="s">
        <v>3604</v>
      </c>
      <c r="F5071" t="s">
        <v>3604</v>
      </c>
      <c r="G5071" s="1">
        <v>39719</v>
      </c>
      <c r="H5071" s="1">
        <v>40218</v>
      </c>
      <c r="I5071" t="s">
        <v>12</v>
      </c>
      <c r="J5071" t="s">
        <v>15841</v>
      </c>
    </row>
    <row r="5072" spans="1:10" x14ac:dyDescent="0.25">
      <c r="A5072">
        <v>413877</v>
      </c>
      <c r="B5072" t="s">
        <v>5294</v>
      </c>
      <c r="C5072" t="str">
        <f>"9780813544144"</f>
        <v>9780813544144</v>
      </c>
      <c r="D5072" t="str">
        <f>"9780813546438"</f>
        <v>9780813546438</v>
      </c>
      <c r="E5072" t="s">
        <v>4859</v>
      </c>
      <c r="F5072" t="s">
        <v>4859</v>
      </c>
      <c r="G5072" s="1">
        <v>39780</v>
      </c>
      <c r="H5072" s="1">
        <v>39869</v>
      </c>
      <c r="I5072" t="s">
        <v>12</v>
      </c>
      <c r="J5072" t="s">
        <v>15842</v>
      </c>
    </row>
    <row r="5073" spans="1:10" x14ac:dyDescent="0.25">
      <c r="A5073">
        <v>414238</v>
      </c>
      <c r="B5073" t="s">
        <v>5295</v>
      </c>
      <c r="C5073" t="str">
        <f>"9788122419757"</f>
        <v>9788122419757</v>
      </c>
      <c r="D5073" t="str">
        <f>"9788122425581"</f>
        <v>9788122425581</v>
      </c>
      <c r="E5073" t="s">
        <v>4636</v>
      </c>
      <c r="F5073" t="s">
        <v>4637</v>
      </c>
      <c r="G5073" s="1">
        <v>39203</v>
      </c>
      <c r="H5073" s="1">
        <v>39902</v>
      </c>
      <c r="I5073" t="s">
        <v>12</v>
      </c>
      <c r="J5073" t="s">
        <v>15843</v>
      </c>
    </row>
    <row r="5074" spans="1:10" x14ac:dyDescent="0.25">
      <c r="A5074">
        <v>414248</v>
      </c>
      <c r="B5074" t="s">
        <v>5296</v>
      </c>
      <c r="C5074" t="str">
        <f>"9788122421026"</f>
        <v>9788122421026</v>
      </c>
      <c r="D5074" t="str">
        <f>"9788122425499"</f>
        <v>9788122425499</v>
      </c>
      <c r="E5074" t="s">
        <v>4636</v>
      </c>
      <c r="F5074" t="s">
        <v>4637</v>
      </c>
      <c r="G5074" s="1">
        <v>39203</v>
      </c>
      <c r="H5074" s="1">
        <v>39902</v>
      </c>
      <c r="I5074" t="s">
        <v>12</v>
      </c>
      <c r="J5074" t="s">
        <v>15844</v>
      </c>
    </row>
    <row r="5075" spans="1:10" x14ac:dyDescent="0.25">
      <c r="A5075">
        <v>415058</v>
      </c>
      <c r="B5075" t="s">
        <v>5297</v>
      </c>
      <c r="C5075" t="str">
        <f>"9780195320442"</f>
        <v>9780195320442</v>
      </c>
      <c r="D5075" t="str">
        <f>"9780198043256"</f>
        <v>9780198043256</v>
      </c>
      <c r="E5075" t="s">
        <v>1268</v>
      </c>
      <c r="F5075" t="s">
        <v>1268</v>
      </c>
      <c r="G5075" s="1">
        <v>39251</v>
      </c>
      <c r="H5075" s="1">
        <v>39871</v>
      </c>
      <c r="I5075" t="s">
        <v>12</v>
      </c>
      <c r="J5075" t="s">
        <v>15845</v>
      </c>
    </row>
    <row r="5076" spans="1:10" x14ac:dyDescent="0.25">
      <c r="A5076">
        <v>415069</v>
      </c>
      <c r="B5076" t="s">
        <v>5298</v>
      </c>
      <c r="C5076" t="str">
        <f>"9780195181210"</f>
        <v>9780195181210</v>
      </c>
      <c r="D5076" t="str">
        <f>"9780198040057"</f>
        <v>9780198040057</v>
      </c>
      <c r="E5076" t="s">
        <v>1268</v>
      </c>
      <c r="F5076" t="s">
        <v>1268</v>
      </c>
      <c r="G5076" s="1">
        <v>39906</v>
      </c>
      <c r="H5076" s="1">
        <v>39871</v>
      </c>
      <c r="I5076" t="s">
        <v>12</v>
      </c>
      <c r="J5076" t="s">
        <v>15846</v>
      </c>
    </row>
    <row r="5077" spans="1:10" x14ac:dyDescent="0.25">
      <c r="A5077">
        <v>415080</v>
      </c>
      <c r="B5077" t="s">
        <v>5299</v>
      </c>
      <c r="C5077" t="str">
        <f>"9780198570004"</f>
        <v>9780198570004</v>
      </c>
      <c r="D5077" t="str">
        <f>"9780191524615"</f>
        <v>9780191524615</v>
      </c>
      <c r="E5077" t="s">
        <v>1270</v>
      </c>
      <c r="F5077" t="s">
        <v>1270</v>
      </c>
      <c r="G5077" s="1">
        <v>39100</v>
      </c>
      <c r="H5077" s="1">
        <v>39872</v>
      </c>
      <c r="I5077" t="s">
        <v>12</v>
      </c>
      <c r="J5077" t="s">
        <v>15847</v>
      </c>
    </row>
    <row r="5078" spans="1:10" x14ac:dyDescent="0.25">
      <c r="A5078">
        <v>415093</v>
      </c>
      <c r="B5078" t="s">
        <v>5300</v>
      </c>
      <c r="C5078" t="str">
        <f>"9780199206605"</f>
        <v>9780199206605</v>
      </c>
      <c r="D5078" t="str">
        <f>"9780191525728"</f>
        <v>9780191525728</v>
      </c>
      <c r="E5078" t="s">
        <v>1270</v>
      </c>
      <c r="F5078" t="s">
        <v>1270</v>
      </c>
      <c r="G5078" s="1">
        <v>39205</v>
      </c>
      <c r="H5078" s="1">
        <v>39872</v>
      </c>
      <c r="I5078" t="s">
        <v>12</v>
      </c>
      <c r="J5078" t="s">
        <v>15848</v>
      </c>
    </row>
    <row r="5079" spans="1:10" x14ac:dyDescent="0.25">
      <c r="A5079">
        <v>415100</v>
      </c>
      <c r="B5079" t="s">
        <v>5301</v>
      </c>
      <c r="C5079" t="str">
        <f>"9780199208418"</f>
        <v>9780199208418</v>
      </c>
      <c r="D5079" t="str">
        <f>"9780191526015"</f>
        <v>9780191526015</v>
      </c>
      <c r="E5079" t="s">
        <v>1270</v>
      </c>
      <c r="F5079" t="s">
        <v>5302</v>
      </c>
      <c r="G5079" s="1">
        <v>39261</v>
      </c>
      <c r="H5079" s="1">
        <v>39872</v>
      </c>
      <c r="I5079" t="s">
        <v>12</v>
      </c>
      <c r="J5079" t="s">
        <v>15849</v>
      </c>
    </row>
    <row r="5080" spans="1:10" x14ac:dyDescent="0.25">
      <c r="A5080">
        <v>415104</v>
      </c>
      <c r="B5080" t="s">
        <v>5303</v>
      </c>
      <c r="C5080" t="str">
        <f>"9780195305722"</f>
        <v>9780195305722</v>
      </c>
      <c r="D5080" t="str">
        <f>"9780198041641"</f>
        <v>9780198041641</v>
      </c>
      <c r="E5080" t="s">
        <v>1268</v>
      </c>
      <c r="F5080" t="s">
        <v>1268</v>
      </c>
      <c r="G5080" s="1">
        <v>39079</v>
      </c>
      <c r="H5080" s="1">
        <v>39871</v>
      </c>
      <c r="I5080" t="s">
        <v>12</v>
      </c>
      <c r="J5080" t="s">
        <v>15850</v>
      </c>
    </row>
    <row r="5081" spans="1:10" x14ac:dyDescent="0.25">
      <c r="A5081">
        <v>415122</v>
      </c>
      <c r="B5081" t="s">
        <v>5304</v>
      </c>
      <c r="C5081" t="str">
        <f>"9780195311747"</f>
        <v>9780195311747</v>
      </c>
      <c r="D5081" t="str">
        <f>"9780195345506"</f>
        <v>9780195345506</v>
      </c>
      <c r="E5081" t="s">
        <v>1270</v>
      </c>
      <c r="F5081" t="s">
        <v>1270</v>
      </c>
      <c r="G5081" s="1">
        <v>39086</v>
      </c>
      <c r="H5081" s="1">
        <v>39871</v>
      </c>
      <c r="I5081" t="s">
        <v>12</v>
      </c>
      <c r="J5081" t="s">
        <v>15851</v>
      </c>
    </row>
    <row r="5082" spans="1:10" x14ac:dyDescent="0.25">
      <c r="A5082">
        <v>415123</v>
      </c>
      <c r="B5082" t="s">
        <v>5305</v>
      </c>
      <c r="C5082" t="str">
        <f>"9780195300932"</f>
        <v>9780195300932</v>
      </c>
      <c r="D5082" t="str">
        <f>"9780198041245"</f>
        <v>9780198041245</v>
      </c>
      <c r="E5082" t="s">
        <v>1268</v>
      </c>
      <c r="F5082" t="s">
        <v>1268</v>
      </c>
      <c r="G5082" s="1">
        <v>39079</v>
      </c>
      <c r="H5082" s="1">
        <v>39871</v>
      </c>
      <c r="I5082" t="s">
        <v>12</v>
      </c>
      <c r="J5082" t="s">
        <v>15852</v>
      </c>
    </row>
    <row r="5083" spans="1:10" x14ac:dyDescent="0.25">
      <c r="A5083">
        <v>415126</v>
      </c>
      <c r="B5083" t="s">
        <v>5306</v>
      </c>
      <c r="C5083" t="str">
        <f>"9780199255160"</f>
        <v>9780199255160</v>
      </c>
      <c r="D5083" t="str">
        <f>"9780191531200"</f>
        <v>9780191531200</v>
      </c>
      <c r="E5083" t="s">
        <v>1133</v>
      </c>
      <c r="F5083" t="s">
        <v>1133</v>
      </c>
      <c r="G5083" s="1">
        <v>39324</v>
      </c>
      <c r="H5083" s="1">
        <v>39872</v>
      </c>
      <c r="I5083" t="s">
        <v>12</v>
      </c>
      <c r="J5083" t="s">
        <v>15853</v>
      </c>
    </row>
    <row r="5084" spans="1:10" x14ac:dyDescent="0.25">
      <c r="A5084">
        <v>415149</v>
      </c>
      <c r="B5084" t="s">
        <v>5307</v>
      </c>
      <c r="C5084" t="str">
        <f>"9780199278190"</f>
        <v>9780199278190</v>
      </c>
      <c r="D5084" t="str">
        <f>"9780191515484"</f>
        <v>9780191515484</v>
      </c>
      <c r="E5084" t="s">
        <v>1270</v>
      </c>
      <c r="F5084" t="s">
        <v>5302</v>
      </c>
      <c r="G5084" s="1">
        <v>39191</v>
      </c>
      <c r="H5084" s="1">
        <v>39872</v>
      </c>
      <c r="I5084" t="s">
        <v>12</v>
      </c>
      <c r="J5084" t="s">
        <v>15854</v>
      </c>
    </row>
    <row r="5085" spans="1:10" x14ac:dyDescent="0.25">
      <c r="A5085">
        <v>415150</v>
      </c>
      <c r="B5085" t="s">
        <v>5308</v>
      </c>
      <c r="C5085" t="str">
        <f>"9780192853783"</f>
        <v>9780192853783</v>
      </c>
      <c r="D5085" t="str">
        <f>"9780191518072"</f>
        <v>9780191518072</v>
      </c>
      <c r="E5085" t="s">
        <v>1133</v>
      </c>
      <c r="F5085" t="s">
        <v>5309</v>
      </c>
      <c r="G5085" s="1">
        <v>39135</v>
      </c>
      <c r="H5085" s="1">
        <v>39871</v>
      </c>
      <c r="I5085" t="s">
        <v>12</v>
      </c>
      <c r="J5085" t="s">
        <v>15855</v>
      </c>
    </row>
    <row r="5086" spans="1:10" x14ac:dyDescent="0.25">
      <c r="A5086">
        <v>415151</v>
      </c>
      <c r="B5086" t="s">
        <v>5310</v>
      </c>
      <c r="C5086" t="str">
        <f>"9780199270699"</f>
        <v>9780199270699</v>
      </c>
      <c r="D5086" t="str">
        <f>"9780191533716"</f>
        <v>9780191533716</v>
      </c>
      <c r="E5086" t="s">
        <v>1270</v>
      </c>
      <c r="F5086" t="s">
        <v>1270</v>
      </c>
      <c r="G5086" s="1">
        <v>39487</v>
      </c>
      <c r="H5086" s="1">
        <v>39872</v>
      </c>
      <c r="I5086" t="s">
        <v>12</v>
      </c>
      <c r="J5086" t="s">
        <v>15856</v>
      </c>
    </row>
    <row r="5087" spans="1:10" x14ac:dyDescent="0.25">
      <c r="A5087">
        <v>415154</v>
      </c>
      <c r="B5087" t="s">
        <v>5311</v>
      </c>
      <c r="C5087" t="str">
        <f>"9780199296699"</f>
        <v>9780199296699</v>
      </c>
      <c r="D5087" t="str">
        <f>"9780191537974"</f>
        <v>9780191537974</v>
      </c>
      <c r="E5087" t="s">
        <v>1133</v>
      </c>
      <c r="F5087" t="s">
        <v>1133</v>
      </c>
      <c r="G5087" s="1">
        <v>39296</v>
      </c>
      <c r="H5087" s="1">
        <v>39872</v>
      </c>
      <c r="I5087" t="s">
        <v>12</v>
      </c>
      <c r="J5087" t="s">
        <v>15857</v>
      </c>
    </row>
    <row r="5088" spans="1:10" x14ac:dyDescent="0.25">
      <c r="A5088">
        <v>415163</v>
      </c>
      <c r="B5088" t="s">
        <v>5312</v>
      </c>
      <c r="C5088" t="str">
        <f>"9780199290741"</f>
        <v>9780199290741</v>
      </c>
      <c r="D5088" t="str">
        <f>"9780191537448"</f>
        <v>9780191537448</v>
      </c>
      <c r="E5088" t="s">
        <v>1133</v>
      </c>
      <c r="F5088" t="s">
        <v>1133</v>
      </c>
      <c r="G5088" s="1">
        <v>39410</v>
      </c>
      <c r="H5088" s="1">
        <v>39872</v>
      </c>
      <c r="I5088" t="s">
        <v>12</v>
      </c>
      <c r="J5088" t="s">
        <v>15858</v>
      </c>
    </row>
    <row r="5089" spans="1:10" x14ac:dyDescent="0.25">
      <c r="A5089">
        <v>415166</v>
      </c>
      <c r="B5089" t="s">
        <v>5313</v>
      </c>
      <c r="C5089" t="str">
        <f>"9780199296101"</f>
        <v>9780199296101</v>
      </c>
      <c r="D5089" t="str">
        <f>"9780191537844"</f>
        <v>9780191537844</v>
      </c>
      <c r="E5089" t="s">
        <v>1270</v>
      </c>
      <c r="F5089" t="s">
        <v>1270</v>
      </c>
      <c r="G5089" s="1">
        <v>39410</v>
      </c>
      <c r="H5089" s="1">
        <v>39872</v>
      </c>
      <c r="I5089" t="s">
        <v>12</v>
      </c>
      <c r="J5089" t="s">
        <v>15859</v>
      </c>
    </row>
    <row r="5090" spans="1:10" x14ac:dyDescent="0.25">
      <c r="A5090">
        <v>415169</v>
      </c>
      <c r="B5090" t="s">
        <v>5314</v>
      </c>
      <c r="C5090" t="str">
        <f>"9780195137637"</f>
        <v>9780195137637</v>
      </c>
      <c r="D5090" t="str">
        <f>"9780198031475"</f>
        <v>9780198031475</v>
      </c>
      <c r="E5090" t="s">
        <v>1270</v>
      </c>
      <c r="F5090" t="s">
        <v>1270</v>
      </c>
      <c r="G5090" s="1">
        <v>39454</v>
      </c>
      <c r="H5090" s="1">
        <v>39871</v>
      </c>
      <c r="I5090" t="s">
        <v>12</v>
      </c>
      <c r="J5090" t="s">
        <v>15860</v>
      </c>
    </row>
    <row r="5091" spans="1:10" x14ac:dyDescent="0.25">
      <c r="A5091">
        <v>415188</v>
      </c>
      <c r="B5091" t="s">
        <v>5315</v>
      </c>
      <c r="C5091" t="str">
        <f>"9780199274772"</f>
        <v>9780199274772</v>
      </c>
      <c r="D5091" t="str">
        <f>"9780191534515"</f>
        <v>9780191534515</v>
      </c>
      <c r="E5091" t="s">
        <v>1133</v>
      </c>
      <c r="F5091" t="s">
        <v>1133</v>
      </c>
      <c r="G5091" s="1">
        <v>39352</v>
      </c>
      <c r="H5091" s="1">
        <v>39872</v>
      </c>
      <c r="I5091" t="s">
        <v>12</v>
      </c>
      <c r="J5091" t="s">
        <v>15861</v>
      </c>
    </row>
    <row r="5092" spans="1:10" x14ac:dyDescent="0.25">
      <c r="A5092">
        <v>415219</v>
      </c>
      <c r="B5092" t="s">
        <v>5316</v>
      </c>
      <c r="C5092" t="str">
        <f>"9780195310030"</f>
        <v>9780195310030</v>
      </c>
      <c r="D5092" t="str">
        <f>"9780198042358"</f>
        <v>9780198042358</v>
      </c>
      <c r="E5092" t="s">
        <v>1270</v>
      </c>
      <c r="F5092" t="s">
        <v>1270</v>
      </c>
      <c r="G5092" s="1">
        <v>39128</v>
      </c>
      <c r="H5092" s="1">
        <v>39871</v>
      </c>
      <c r="I5092" t="s">
        <v>12</v>
      </c>
      <c r="J5092" t="s">
        <v>15862</v>
      </c>
    </row>
    <row r="5093" spans="1:10" x14ac:dyDescent="0.25">
      <c r="A5093">
        <v>415225</v>
      </c>
      <c r="B5093" t="s">
        <v>5317</v>
      </c>
      <c r="C5093" t="str">
        <f>"9780195045789"</f>
        <v>9780195045789</v>
      </c>
      <c r="D5093" t="str">
        <f>"9780198021452"</f>
        <v>9780198021452</v>
      </c>
      <c r="E5093" t="s">
        <v>1270</v>
      </c>
      <c r="F5093" t="s">
        <v>5318</v>
      </c>
      <c r="G5093" s="1">
        <v>39006</v>
      </c>
      <c r="H5093" s="1">
        <v>39871</v>
      </c>
      <c r="I5093" t="s">
        <v>12</v>
      </c>
      <c r="J5093" t="s">
        <v>15863</v>
      </c>
    </row>
    <row r="5094" spans="1:10" x14ac:dyDescent="0.25">
      <c r="A5094">
        <v>415239</v>
      </c>
      <c r="B5094" t="s">
        <v>5319</v>
      </c>
      <c r="C5094" t="str">
        <f>"9780199296194"</f>
        <v>9780199296194</v>
      </c>
      <c r="D5094" t="str">
        <f>"9780191516290"</f>
        <v>9780191516290</v>
      </c>
      <c r="E5094" t="s">
        <v>1270</v>
      </c>
      <c r="F5094" t="s">
        <v>1270</v>
      </c>
      <c r="G5094" s="1">
        <v>39093</v>
      </c>
      <c r="H5094" s="1">
        <v>39872</v>
      </c>
      <c r="I5094" t="s">
        <v>12</v>
      </c>
      <c r="J5094" t="s">
        <v>15864</v>
      </c>
    </row>
    <row r="5095" spans="1:10" x14ac:dyDescent="0.25">
      <c r="A5095">
        <v>415263</v>
      </c>
      <c r="B5095" t="s">
        <v>5320</v>
      </c>
      <c r="C5095" t="str">
        <f>"9780199296439"</f>
        <v>9780199296439</v>
      </c>
      <c r="D5095" t="str">
        <f>"9780191516320"</f>
        <v>9780191516320</v>
      </c>
      <c r="E5095" t="s">
        <v>1270</v>
      </c>
      <c r="F5095" t="s">
        <v>5302</v>
      </c>
      <c r="G5095" s="1">
        <v>39116</v>
      </c>
      <c r="H5095" s="1">
        <v>39872</v>
      </c>
      <c r="I5095" t="s">
        <v>12</v>
      </c>
      <c r="J5095" t="s">
        <v>15865</v>
      </c>
    </row>
    <row r="5096" spans="1:10" x14ac:dyDescent="0.25">
      <c r="A5096">
        <v>415270</v>
      </c>
      <c r="B5096" t="s">
        <v>5321</v>
      </c>
      <c r="C5096" t="str">
        <f>"9780195175769"</f>
        <v>9780195175769</v>
      </c>
      <c r="D5096" t="str">
        <f>"9780195343601"</f>
        <v>9780195343601</v>
      </c>
      <c r="E5096" t="s">
        <v>1268</v>
      </c>
      <c r="F5096" t="s">
        <v>1268</v>
      </c>
      <c r="G5096" s="1">
        <v>39191</v>
      </c>
      <c r="H5096" s="1">
        <v>39871</v>
      </c>
      <c r="I5096" t="s">
        <v>12</v>
      </c>
      <c r="J5096" t="s">
        <v>15866</v>
      </c>
    </row>
    <row r="5097" spans="1:10" x14ac:dyDescent="0.25">
      <c r="A5097">
        <v>415272</v>
      </c>
      <c r="B5097" t="s">
        <v>5322</v>
      </c>
      <c r="C5097" t="str">
        <f>"9780199202782"</f>
        <v>9780199202782</v>
      </c>
      <c r="D5097" t="str">
        <f>"9780191513954"</f>
        <v>9780191513954</v>
      </c>
      <c r="E5097" t="s">
        <v>1133</v>
      </c>
      <c r="F5097" t="s">
        <v>1133</v>
      </c>
      <c r="G5097" s="1">
        <v>39121</v>
      </c>
      <c r="H5097" s="1">
        <v>39872</v>
      </c>
      <c r="I5097" t="s">
        <v>12</v>
      </c>
      <c r="J5097" t="s">
        <v>15867</v>
      </c>
    </row>
    <row r="5098" spans="1:10" x14ac:dyDescent="0.25">
      <c r="A5098">
        <v>415275</v>
      </c>
      <c r="B5098" t="s">
        <v>5323</v>
      </c>
      <c r="C5098" t="str">
        <f>"9780195168020"</f>
        <v>9780195168020</v>
      </c>
      <c r="D5098" t="str">
        <f>"9780199724352"</f>
        <v>9780199724352</v>
      </c>
      <c r="E5098" t="s">
        <v>1270</v>
      </c>
      <c r="F5098" t="s">
        <v>1270</v>
      </c>
      <c r="G5098" s="1">
        <v>39130</v>
      </c>
      <c r="H5098" s="1">
        <v>39871</v>
      </c>
      <c r="I5098" t="s">
        <v>12</v>
      </c>
      <c r="J5098" t="s">
        <v>15868</v>
      </c>
    </row>
    <row r="5099" spans="1:10" x14ac:dyDescent="0.25">
      <c r="A5099">
        <v>415278</v>
      </c>
      <c r="B5099" t="s">
        <v>5324</v>
      </c>
      <c r="C5099" t="str">
        <f>"9780195122589"</f>
        <v>9780195122589</v>
      </c>
      <c r="D5099" t="str">
        <f>"9780195352740"</f>
        <v>9780195352740</v>
      </c>
      <c r="E5099" t="s">
        <v>1270</v>
      </c>
      <c r="F5099" t="s">
        <v>1270</v>
      </c>
      <c r="G5099" s="1">
        <v>39109</v>
      </c>
      <c r="H5099" s="1">
        <v>39871</v>
      </c>
      <c r="I5099" t="s">
        <v>12</v>
      </c>
      <c r="J5099" t="s">
        <v>15869</v>
      </c>
    </row>
    <row r="5100" spans="1:10" x14ac:dyDescent="0.25">
      <c r="A5100">
        <v>415283</v>
      </c>
      <c r="B5100" t="s">
        <v>5325</v>
      </c>
      <c r="C5100" t="str">
        <f>"9780199214341"</f>
        <v>9780199214341</v>
      </c>
      <c r="D5100" t="str">
        <f>"9780191526800"</f>
        <v>9780191526800</v>
      </c>
      <c r="E5100" t="s">
        <v>1133</v>
      </c>
      <c r="F5100" t="s">
        <v>1133</v>
      </c>
      <c r="G5100" s="1">
        <v>39170</v>
      </c>
      <c r="H5100" s="1">
        <v>39872</v>
      </c>
      <c r="I5100" t="s">
        <v>12</v>
      </c>
      <c r="J5100" t="s">
        <v>15870</v>
      </c>
    </row>
    <row r="5101" spans="1:10" x14ac:dyDescent="0.25">
      <c r="A5101">
        <v>415301</v>
      </c>
      <c r="B5101" t="s">
        <v>5326</v>
      </c>
      <c r="C5101" t="str">
        <f>"9780195314748"</f>
        <v>9780195314748</v>
      </c>
      <c r="D5101" t="str">
        <f>"9780198042976"</f>
        <v>9780198042976</v>
      </c>
      <c r="E5101" t="s">
        <v>1268</v>
      </c>
      <c r="F5101" t="s">
        <v>1268</v>
      </c>
      <c r="G5101" s="1">
        <v>39300</v>
      </c>
      <c r="H5101" s="1">
        <v>39871</v>
      </c>
      <c r="I5101" t="s">
        <v>12</v>
      </c>
      <c r="J5101" t="s">
        <v>15871</v>
      </c>
    </row>
    <row r="5102" spans="1:10" x14ac:dyDescent="0.25">
      <c r="A5102">
        <v>415304</v>
      </c>
      <c r="B5102" t="s">
        <v>5327</v>
      </c>
      <c r="C5102" t="str">
        <f>"9780195098891"</f>
        <v>9780195098891</v>
      </c>
      <c r="D5102" t="str">
        <f>"9780198025917"</f>
        <v>9780198025917</v>
      </c>
      <c r="E5102" t="s">
        <v>1270</v>
      </c>
      <c r="F5102" t="s">
        <v>1270</v>
      </c>
      <c r="G5102" s="1">
        <v>39093</v>
      </c>
      <c r="H5102" s="1">
        <v>39871</v>
      </c>
      <c r="I5102" t="s">
        <v>12</v>
      </c>
      <c r="J5102" t="s">
        <v>15872</v>
      </c>
    </row>
    <row r="5103" spans="1:10" x14ac:dyDescent="0.25">
      <c r="A5103">
        <v>415305</v>
      </c>
      <c r="B5103" t="s">
        <v>5328</v>
      </c>
      <c r="C5103" t="str">
        <f>"9780199213702"</f>
        <v>9780199213702</v>
      </c>
      <c r="D5103" t="str">
        <f>"9780191536366"</f>
        <v>9780191536366</v>
      </c>
      <c r="E5103" t="s">
        <v>1270</v>
      </c>
      <c r="F5103" t="s">
        <v>1270</v>
      </c>
      <c r="G5103" s="1">
        <v>39156</v>
      </c>
      <c r="H5103" s="1">
        <v>39872</v>
      </c>
      <c r="I5103" t="s">
        <v>12</v>
      </c>
      <c r="J5103" t="s">
        <v>15873</v>
      </c>
    </row>
    <row r="5104" spans="1:10" x14ac:dyDescent="0.25">
      <c r="A5104">
        <v>415316</v>
      </c>
      <c r="B5104" t="s">
        <v>5329</v>
      </c>
      <c r="C5104" t="str">
        <f>"9780195128253"</f>
        <v>9780195128253</v>
      </c>
      <c r="D5104" t="str">
        <f>"9780198029403"</f>
        <v>9780198029403</v>
      </c>
      <c r="E5104" t="s">
        <v>1270</v>
      </c>
      <c r="F5104" t="s">
        <v>1270</v>
      </c>
      <c r="G5104" s="1">
        <v>39373</v>
      </c>
      <c r="H5104" s="1">
        <v>39871</v>
      </c>
      <c r="I5104" t="s">
        <v>12</v>
      </c>
      <c r="J5104" t="s">
        <v>15874</v>
      </c>
    </row>
    <row r="5105" spans="1:10" x14ac:dyDescent="0.25">
      <c r="A5105">
        <v>415321</v>
      </c>
      <c r="B5105" t="s">
        <v>5330</v>
      </c>
      <c r="C5105" t="str">
        <f>"9780195301564"</f>
        <v>9780195301564</v>
      </c>
      <c r="D5105" t="str">
        <f>"9780198041290"</f>
        <v>9780198041290</v>
      </c>
      <c r="E5105" t="s">
        <v>1270</v>
      </c>
      <c r="F5105" t="s">
        <v>1270</v>
      </c>
      <c r="G5105" s="1">
        <v>39058</v>
      </c>
      <c r="H5105" s="1">
        <v>39871</v>
      </c>
      <c r="I5105" t="s">
        <v>12</v>
      </c>
      <c r="J5105" t="s">
        <v>15875</v>
      </c>
    </row>
    <row r="5106" spans="1:10" x14ac:dyDescent="0.25">
      <c r="A5106">
        <v>415338</v>
      </c>
      <c r="B5106" t="s">
        <v>5331</v>
      </c>
      <c r="C5106" t="str">
        <f>"9780199206582"</f>
        <v>9780199206582</v>
      </c>
      <c r="D5106" t="str">
        <f>"9780191525704"</f>
        <v>9780191525704</v>
      </c>
      <c r="E5106" t="s">
        <v>1133</v>
      </c>
      <c r="F5106" t="s">
        <v>5309</v>
      </c>
      <c r="G5106" s="1">
        <v>39380</v>
      </c>
      <c r="H5106" s="1">
        <v>39872</v>
      </c>
      <c r="I5106" t="s">
        <v>12</v>
      </c>
      <c r="J5106" t="s">
        <v>15876</v>
      </c>
    </row>
    <row r="5107" spans="1:10" x14ac:dyDescent="0.25">
      <c r="A5107">
        <v>415351</v>
      </c>
      <c r="B5107" t="s">
        <v>5332</v>
      </c>
      <c r="C5107" t="str">
        <f>"9781841502090"</f>
        <v>9781841502090</v>
      </c>
      <c r="D5107" t="str">
        <f>"9781841502854"</f>
        <v>9781841502854</v>
      </c>
      <c r="E5107" t="s">
        <v>2646</v>
      </c>
      <c r="F5107" t="s">
        <v>2647</v>
      </c>
      <c r="G5107" s="1">
        <v>39783</v>
      </c>
      <c r="H5107" s="1">
        <v>39870</v>
      </c>
      <c r="I5107" t="s">
        <v>12</v>
      </c>
      <c r="J5107" t="s">
        <v>15877</v>
      </c>
    </row>
    <row r="5108" spans="1:10" x14ac:dyDescent="0.25">
      <c r="A5108">
        <v>415391</v>
      </c>
      <c r="B5108" t="s">
        <v>5333</v>
      </c>
      <c r="C5108" t="str">
        <f>"9780199207831"</f>
        <v>9780199207831</v>
      </c>
      <c r="D5108" t="str">
        <f>"9780191514128"</f>
        <v>9780191514128</v>
      </c>
      <c r="E5108" t="s">
        <v>1133</v>
      </c>
      <c r="F5108" t="s">
        <v>1133</v>
      </c>
      <c r="G5108" s="1">
        <v>39142</v>
      </c>
      <c r="H5108" s="1">
        <v>39872</v>
      </c>
      <c r="I5108" t="s">
        <v>12</v>
      </c>
      <c r="J5108" t="s">
        <v>15878</v>
      </c>
    </row>
    <row r="5109" spans="1:10" x14ac:dyDescent="0.25">
      <c r="A5109">
        <v>415415</v>
      </c>
      <c r="B5109" t="s">
        <v>5334</v>
      </c>
      <c r="C5109" t="str">
        <f>"9780199215492"</f>
        <v>9780199215492</v>
      </c>
      <c r="D5109" t="str">
        <f>"9780191526954"</f>
        <v>9780191526954</v>
      </c>
      <c r="E5109" t="s">
        <v>1270</v>
      </c>
      <c r="F5109" t="s">
        <v>1270</v>
      </c>
      <c r="G5109" s="1">
        <v>39317</v>
      </c>
      <c r="H5109" s="1">
        <v>39872</v>
      </c>
      <c r="I5109" t="s">
        <v>12</v>
      </c>
      <c r="J5109" t="s">
        <v>15879</v>
      </c>
    </row>
    <row r="5110" spans="1:10" x14ac:dyDescent="0.25">
      <c r="A5110">
        <v>415436</v>
      </c>
      <c r="B5110" t="s">
        <v>5335</v>
      </c>
      <c r="C5110" t="str">
        <f>"9780195173321"</f>
        <v>9780195173321</v>
      </c>
      <c r="D5110" t="str">
        <f>"9780195346664"</f>
        <v>9780195346664</v>
      </c>
      <c r="E5110" t="s">
        <v>1270</v>
      </c>
      <c r="F5110" t="s">
        <v>5318</v>
      </c>
      <c r="G5110" s="1">
        <v>39184</v>
      </c>
      <c r="H5110" s="1">
        <v>39871</v>
      </c>
      <c r="I5110" t="s">
        <v>12</v>
      </c>
      <c r="J5110" t="s">
        <v>15880</v>
      </c>
    </row>
    <row r="5111" spans="1:10" x14ac:dyDescent="0.25">
      <c r="A5111">
        <v>415437</v>
      </c>
      <c r="B5111" t="s">
        <v>5336</v>
      </c>
      <c r="C5111" t="str">
        <f>"9780199262588"</f>
        <v>9780199262588</v>
      </c>
      <c r="D5111" t="str">
        <f>"9780191532290"</f>
        <v>9780191532290</v>
      </c>
      <c r="E5111" t="s">
        <v>1270</v>
      </c>
      <c r="F5111" t="s">
        <v>1270</v>
      </c>
      <c r="G5111" s="1">
        <v>39149</v>
      </c>
      <c r="H5111" s="1">
        <v>39872</v>
      </c>
      <c r="I5111" t="s">
        <v>12</v>
      </c>
      <c r="J5111" t="s">
        <v>15881</v>
      </c>
    </row>
    <row r="5112" spans="1:10" x14ac:dyDescent="0.25">
      <c r="A5112">
        <v>415438</v>
      </c>
      <c r="B5112" t="s">
        <v>5337</v>
      </c>
      <c r="C5112" t="str">
        <f>"9780199268825"</f>
        <v>9780199268825</v>
      </c>
      <c r="D5112" t="str">
        <f>"9780191533365"</f>
        <v>9780191533365</v>
      </c>
      <c r="E5112" t="s">
        <v>1270</v>
      </c>
      <c r="F5112" t="s">
        <v>1270</v>
      </c>
      <c r="G5112" s="1">
        <v>39289</v>
      </c>
      <c r="H5112" s="1">
        <v>39872</v>
      </c>
      <c r="I5112" t="s">
        <v>12</v>
      </c>
      <c r="J5112" t="s">
        <v>15882</v>
      </c>
    </row>
    <row r="5113" spans="1:10" x14ac:dyDescent="0.25">
      <c r="A5113">
        <v>415439</v>
      </c>
      <c r="B5113" t="s">
        <v>5338</v>
      </c>
      <c r="C5113" t="str">
        <f>"9780199299195"</f>
        <v>9780199299195</v>
      </c>
      <c r="D5113" t="str">
        <f>"9780191516443"</f>
        <v>9780191516443</v>
      </c>
      <c r="E5113" t="s">
        <v>1133</v>
      </c>
      <c r="F5113" t="s">
        <v>1133</v>
      </c>
      <c r="G5113" s="1">
        <v>39079</v>
      </c>
      <c r="H5113" s="1">
        <v>39872</v>
      </c>
      <c r="I5113" t="s">
        <v>12</v>
      </c>
      <c r="J5113" t="s">
        <v>15883</v>
      </c>
    </row>
    <row r="5114" spans="1:10" x14ac:dyDescent="0.25">
      <c r="A5114">
        <v>415450</v>
      </c>
      <c r="B5114" t="s">
        <v>5339</v>
      </c>
      <c r="C5114" t="str">
        <f>"9780195310634"</f>
        <v>9780195310634</v>
      </c>
      <c r="D5114" t="str">
        <f>"9780198042440"</f>
        <v>9780198042440</v>
      </c>
      <c r="E5114" t="s">
        <v>1270</v>
      </c>
      <c r="F5114" t="s">
        <v>1270</v>
      </c>
      <c r="G5114" s="1">
        <v>39121</v>
      </c>
      <c r="H5114" s="1">
        <v>39871</v>
      </c>
      <c r="I5114" t="s">
        <v>12</v>
      </c>
      <c r="J5114" t="s">
        <v>15884</v>
      </c>
    </row>
    <row r="5115" spans="1:10" x14ac:dyDescent="0.25">
      <c r="A5115">
        <v>415467</v>
      </c>
      <c r="B5115" t="s">
        <v>5340</v>
      </c>
      <c r="C5115" t="str">
        <f>"9780195159622"</f>
        <v>9780195159622</v>
      </c>
      <c r="D5115" t="str">
        <f>"9780198036197"</f>
        <v>9780198036197</v>
      </c>
      <c r="E5115" t="s">
        <v>1268</v>
      </c>
      <c r="F5115" t="s">
        <v>1268</v>
      </c>
      <c r="G5115" s="1">
        <v>39058</v>
      </c>
      <c r="H5115" s="1">
        <v>39871</v>
      </c>
      <c r="I5115" t="s">
        <v>12</v>
      </c>
      <c r="J5115" t="s">
        <v>15885</v>
      </c>
    </row>
    <row r="5116" spans="1:10" x14ac:dyDescent="0.25">
      <c r="A5116">
        <v>415471</v>
      </c>
      <c r="B5116" t="s">
        <v>5341</v>
      </c>
      <c r="C5116" t="str">
        <f>"9780195148916"</f>
        <v>9780195148916</v>
      </c>
      <c r="D5116" t="str">
        <f>"9780199724314"</f>
        <v>9780199724314</v>
      </c>
      <c r="E5116" t="s">
        <v>1268</v>
      </c>
      <c r="F5116" t="s">
        <v>1268</v>
      </c>
      <c r="G5116" s="1">
        <v>39251</v>
      </c>
      <c r="H5116" s="1">
        <v>39871</v>
      </c>
      <c r="I5116" t="s">
        <v>12</v>
      </c>
      <c r="J5116" t="s">
        <v>15886</v>
      </c>
    </row>
    <row r="5117" spans="1:10" x14ac:dyDescent="0.25">
      <c r="A5117">
        <v>415480</v>
      </c>
      <c r="B5117" t="s">
        <v>5342</v>
      </c>
      <c r="C5117" t="str">
        <f>"9780199225927"</f>
        <v>9780199225927</v>
      </c>
      <c r="D5117" t="str">
        <f>"9780191527555"</f>
        <v>9780191527555</v>
      </c>
      <c r="E5117" t="s">
        <v>1270</v>
      </c>
      <c r="F5117" t="s">
        <v>5302</v>
      </c>
      <c r="G5117" s="1">
        <v>39317</v>
      </c>
      <c r="H5117" s="1">
        <v>39872</v>
      </c>
      <c r="I5117" t="s">
        <v>12</v>
      </c>
      <c r="J5117" t="s">
        <v>15887</v>
      </c>
    </row>
    <row r="5118" spans="1:10" x14ac:dyDescent="0.25">
      <c r="A5118">
        <v>415481</v>
      </c>
      <c r="B5118" t="s">
        <v>5343</v>
      </c>
      <c r="C5118" t="str">
        <f>"9780199267309"</f>
        <v>9780199267309</v>
      </c>
      <c r="D5118" t="str">
        <f>"9780191514845"</f>
        <v>9780191514845</v>
      </c>
      <c r="E5118" t="s">
        <v>1133</v>
      </c>
      <c r="F5118" t="s">
        <v>1133</v>
      </c>
      <c r="G5118" s="1">
        <v>39116</v>
      </c>
      <c r="H5118" s="1">
        <v>39872</v>
      </c>
      <c r="I5118" t="s">
        <v>12</v>
      </c>
      <c r="J5118" t="s">
        <v>15888</v>
      </c>
    </row>
    <row r="5119" spans="1:10" x14ac:dyDescent="0.25">
      <c r="A5119">
        <v>415490</v>
      </c>
      <c r="B5119" t="s">
        <v>5344</v>
      </c>
      <c r="C5119" t="str">
        <f>"9780199248810"</f>
        <v>9780199248810</v>
      </c>
      <c r="D5119" t="str">
        <f>"9780191530265"</f>
        <v>9780191530265</v>
      </c>
      <c r="E5119" t="s">
        <v>1268</v>
      </c>
      <c r="F5119" t="s">
        <v>1268</v>
      </c>
      <c r="G5119" s="1">
        <v>39767</v>
      </c>
      <c r="H5119" s="1">
        <v>39872</v>
      </c>
      <c r="I5119" t="s">
        <v>12</v>
      </c>
      <c r="J5119" t="s">
        <v>15889</v>
      </c>
    </row>
    <row r="5120" spans="1:10" x14ac:dyDescent="0.25">
      <c r="A5120">
        <v>415515</v>
      </c>
      <c r="B5120" t="s">
        <v>5345</v>
      </c>
      <c r="C5120" t="str">
        <f>"9780199296743"</f>
        <v>9780199296743</v>
      </c>
      <c r="D5120" t="str">
        <f>"9780191538001"</f>
        <v>9780191538001</v>
      </c>
      <c r="E5120" t="s">
        <v>1270</v>
      </c>
      <c r="F5120" t="s">
        <v>1270</v>
      </c>
      <c r="G5120" s="1">
        <v>39156</v>
      </c>
      <c r="H5120" s="1">
        <v>39872</v>
      </c>
      <c r="I5120" t="s">
        <v>12</v>
      </c>
      <c r="J5120" t="s">
        <v>15890</v>
      </c>
    </row>
    <row r="5121" spans="1:10" x14ac:dyDescent="0.25">
      <c r="A5121">
        <v>415544</v>
      </c>
      <c r="B5121" t="s">
        <v>5346</v>
      </c>
      <c r="C5121" t="str">
        <f>"9780195187984"</f>
        <v>9780195187984</v>
      </c>
      <c r="D5121" t="str">
        <f>"9780198040637"</f>
        <v>9780198040637</v>
      </c>
      <c r="E5121" t="s">
        <v>1270</v>
      </c>
      <c r="F5121" t="s">
        <v>1270</v>
      </c>
      <c r="G5121" s="1">
        <v>39335</v>
      </c>
      <c r="H5121" s="1">
        <v>39871</v>
      </c>
      <c r="I5121" t="s">
        <v>12</v>
      </c>
      <c r="J5121" t="s">
        <v>15891</v>
      </c>
    </row>
    <row r="5122" spans="1:10" x14ac:dyDescent="0.25">
      <c r="A5122">
        <v>415552</v>
      </c>
      <c r="B5122" t="s">
        <v>5347</v>
      </c>
      <c r="C5122" t="str">
        <f>"9780199267040"</f>
        <v>9780199267040</v>
      </c>
      <c r="D5122" t="str">
        <f>"9780191514821"</f>
        <v>9780191514821</v>
      </c>
      <c r="E5122" t="s">
        <v>1133</v>
      </c>
      <c r="F5122" t="s">
        <v>1133</v>
      </c>
      <c r="G5122" s="1">
        <v>39142</v>
      </c>
      <c r="H5122" s="1">
        <v>39872</v>
      </c>
      <c r="I5122" t="s">
        <v>12</v>
      </c>
      <c r="J5122" t="s">
        <v>15892</v>
      </c>
    </row>
    <row r="5123" spans="1:10" x14ac:dyDescent="0.25">
      <c r="A5123">
        <v>415558</v>
      </c>
      <c r="B5123" t="s">
        <v>5348</v>
      </c>
      <c r="C5123" t="str">
        <f>"9780199280407"</f>
        <v>9780199280407</v>
      </c>
      <c r="D5123" t="str">
        <f>"9780191535680"</f>
        <v>9780191535680</v>
      </c>
      <c r="E5123" t="s">
        <v>1270</v>
      </c>
      <c r="F5123" t="s">
        <v>1270</v>
      </c>
      <c r="G5123" s="1">
        <v>39345</v>
      </c>
      <c r="H5123" s="1">
        <v>39872</v>
      </c>
      <c r="I5123" t="s">
        <v>12</v>
      </c>
      <c r="J5123" t="s">
        <v>15893</v>
      </c>
    </row>
    <row r="5124" spans="1:10" x14ac:dyDescent="0.25">
      <c r="A5124">
        <v>415574</v>
      </c>
      <c r="B5124" t="s">
        <v>5349</v>
      </c>
      <c r="C5124" t="str">
        <f>"9780195305869"</f>
        <v>9780195305869</v>
      </c>
      <c r="D5124" t="str">
        <f>"9780195345667"</f>
        <v>9780195345667</v>
      </c>
      <c r="E5124" t="s">
        <v>1270</v>
      </c>
      <c r="F5124" t="s">
        <v>1270</v>
      </c>
      <c r="G5124" s="1">
        <v>39125</v>
      </c>
      <c r="H5124" s="1">
        <v>39871</v>
      </c>
      <c r="I5124" t="s">
        <v>12</v>
      </c>
      <c r="J5124" t="s">
        <v>15894</v>
      </c>
    </row>
    <row r="5125" spans="1:10" x14ac:dyDescent="0.25">
      <c r="A5125">
        <v>415590</v>
      </c>
      <c r="B5125" t="s">
        <v>5350</v>
      </c>
      <c r="C5125" t="str">
        <f>"9780199285938"</f>
        <v>9780199285938</v>
      </c>
      <c r="D5125" t="str">
        <f>"9780191515934"</f>
        <v>9780191515934</v>
      </c>
      <c r="E5125" t="s">
        <v>1270</v>
      </c>
      <c r="F5125" t="s">
        <v>5302</v>
      </c>
      <c r="G5125" s="1">
        <v>39184</v>
      </c>
      <c r="H5125" s="1">
        <v>39872</v>
      </c>
      <c r="I5125" t="s">
        <v>12</v>
      </c>
      <c r="J5125" t="s">
        <v>15895</v>
      </c>
    </row>
    <row r="5126" spans="1:10" x14ac:dyDescent="0.25">
      <c r="A5126">
        <v>415608</v>
      </c>
      <c r="B5126" t="s">
        <v>5351</v>
      </c>
      <c r="C5126" t="str">
        <f>"9780199208098"</f>
        <v>9780199208098</v>
      </c>
      <c r="D5126" t="str">
        <f>"9780191525971"</f>
        <v>9780191525971</v>
      </c>
      <c r="E5126" t="s">
        <v>1270</v>
      </c>
      <c r="F5126" t="s">
        <v>1270</v>
      </c>
      <c r="G5126" s="1">
        <v>39268</v>
      </c>
      <c r="H5126" s="1">
        <v>39872</v>
      </c>
      <c r="I5126" t="s">
        <v>12</v>
      </c>
      <c r="J5126" t="s">
        <v>15896</v>
      </c>
    </row>
    <row r="5127" spans="1:10" x14ac:dyDescent="0.25">
      <c r="A5127">
        <v>415614</v>
      </c>
      <c r="B5127" t="s">
        <v>5352</v>
      </c>
      <c r="C5127" t="str">
        <f>"9780199253944"</f>
        <v>9780199253944</v>
      </c>
      <c r="D5127" t="str">
        <f>"9780191531149"</f>
        <v>9780191531149</v>
      </c>
      <c r="E5127" t="s">
        <v>1133</v>
      </c>
      <c r="F5127" t="s">
        <v>1133</v>
      </c>
      <c r="G5127" s="1">
        <v>39282</v>
      </c>
      <c r="H5127" s="1">
        <v>39872</v>
      </c>
      <c r="I5127" t="s">
        <v>12</v>
      </c>
      <c r="J5127" t="s">
        <v>15897</v>
      </c>
    </row>
    <row r="5128" spans="1:10" x14ac:dyDescent="0.25">
      <c r="A5128">
        <v>415656</v>
      </c>
      <c r="B5128" t="s">
        <v>5353</v>
      </c>
      <c r="C5128" t="str">
        <f>"9780199285556"</f>
        <v>9780199285556</v>
      </c>
      <c r="D5128" t="str">
        <f>"9780191536540"</f>
        <v>9780191536540</v>
      </c>
      <c r="E5128" t="s">
        <v>1270</v>
      </c>
      <c r="F5128" t="s">
        <v>5302</v>
      </c>
      <c r="G5128" s="1">
        <v>39219</v>
      </c>
      <c r="H5128" s="1">
        <v>39872</v>
      </c>
      <c r="I5128" t="s">
        <v>12</v>
      </c>
      <c r="J5128" t="s">
        <v>15898</v>
      </c>
    </row>
    <row r="5129" spans="1:10" x14ac:dyDescent="0.25">
      <c r="A5129">
        <v>415707</v>
      </c>
      <c r="B5129" t="s">
        <v>5354</v>
      </c>
      <c r="C5129" t="str">
        <f>"9780199266111"</f>
        <v>9780199266111</v>
      </c>
      <c r="D5129" t="str">
        <f>"9780191532818"</f>
        <v>9780191532818</v>
      </c>
      <c r="E5129" t="s">
        <v>1270</v>
      </c>
      <c r="F5129" t="s">
        <v>1270</v>
      </c>
      <c r="G5129" s="1">
        <v>39205</v>
      </c>
      <c r="H5129" s="1">
        <v>39872</v>
      </c>
      <c r="I5129" t="s">
        <v>12</v>
      </c>
      <c r="J5129" t="s">
        <v>15899</v>
      </c>
    </row>
    <row r="5130" spans="1:10" x14ac:dyDescent="0.25">
      <c r="A5130">
        <v>415714</v>
      </c>
      <c r="B5130" t="s">
        <v>5355</v>
      </c>
      <c r="C5130" t="str">
        <f>"9780195327656"</f>
        <v>9780195327656</v>
      </c>
      <c r="D5130" t="str">
        <f>"9780198043843"</f>
        <v>9780198043843</v>
      </c>
      <c r="E5130" t="s">
        <v>1268</v>
      </c>
      <c r="F5130" t="s">
        <v>1268</v>
      </c>
      <c r="G5130" s="1">
        <v>39412</v>
      </c>
      <c r="H5130" s="1">
        <v>39872</v>
      </c>
      <c r="I5130" t="s">
        <v>12</v>
      </c>
      <c r="J5130" t="s">
        <v>15900</v>
      </c>
    </row>
    <row r="5131" spans="1:10" x14ac:dyDescent="0.25">
      <c r="A5131">
        <v>415721</v>
      </c>
      <c r="B5131" t="s">
        <v>5356</v>
      </c>
      <c r="C5131" t="str">
        <f>"9780199277681"</f>
        <v>9780199277681</v>
      </c>
      <c r="D5131" t="str">
        <f>"9780191535123"</f>
        <v>9780191535123</v>
      </c>
      <c r="E5131" t="s">
        <v>1133</v>
      </c>
      <c r="F5131" t="s">
        <v>1133</v>
      </c>
      <c r="G5131" s="1">
        <v>39268</v>
      </c>
      <c r="H5131" s="1">
        <v>39872</v>
      </c>
      <c r="I5131" t="s">
        <v>12</v>
      </c>
      <c r="J5131" t="s">
        <v>15901</v>
      </c>
    </row>
    <row r="5132" spans="1:10" x14ac:dyDescent="0.25">
      <c r="A5132">
        <v>415743</v>
      </c>
      <c r="B5132" t="s">
        <v>5357</v>
      </c>
      <c r="C5132" t="str">
        <f>"9780199211517"</f>
        <v>9780199211517</v>
      </c>
      <c r="D5132" t="str">
        <f>"9780191526343"</f>
        <v>9780191526343</v>
      </c>
      <c r="E5132" t="s">
        <v>1270</v>
      </c>
      <c r="F5132" t="s">
        <v>1270</v>
      </c>
      <c r="G5132" s="1">
        <v>39254</v>
      </c>
      <c r="H5132" s="1">
        <v>39872</v>
      </c>
      <c r="I5132" t="s">
        <v>12</v>
      </c>
      <c r="J5132" t="s">
        <v>15902</v>
      </c>
    </row>
    <row r="5133" spans="1:10" x14ac:dyDescent="0.25">
      <c r="A5133">
        <v>415763</v>
      </c>
      <c r="B5133" t="s">
        <v>5358</v>
      </c>
      <c r="C5133" t="str">
        <f>"9780199212101"</f>
        <v>9780199212101</v>
      </c>
      <c r="D5133" t="str">
        <f>"9780191526411"</f>
        <v>9780191526411</v>
      </c>
      <c r="E5133" t="s">
        <v>1270</v>
      </c>
      <c r="F5133" t="s">
        <v>1270</v>
      </c>
      <c r="G5133" s="1">
        <v>39226</v>
      </c>
      <c r="H5133" s="1">
        <v>39872</v>
      </c>
      <c r="I5133" t="s">
        <v>12</v>
      </c>
      <c r="J5133" t="s">
        <v>15903</v>
      </c>
    </row>
    <row r="5134" spans="1:10" x14ac:dyDescent="0.25">
      <c r="A5134">
        <v>415813</v>
      </c>
      <c r="B5134" t="s">
        <v>5359</v>
      </c>
      <c r="C5134" t="str">
        <f>"9780195306651"</f>
        <v>9780195306651</v>
      </c>
      <c r="D5134" t="str">
        <f>"9780198041870"</f>
        <v>9780198041870</v>
      </c>
      <c r="E5134" t="s">
        <v>1268</v>
      </c>
      <c r="F5134" t="s">
        <v>1268</v>
      </c>
      <c r="G5134" s="1">
        <v>39275</v>
      </c>
      <c r="H5134" s="1">
        <v>39871</v>
      </c>
      <c r="I5134" t="s">
        <v>12</v>
      </c>
      <c r="J5134" t="s">
        <v>15904</v>
      </c>
    </row>
    <row r="5135" spans="1:10" x14ac:dyDescent="0.25">
      <c r="A5135">
        <v>415819</v>
      </c>
      <c r="B5135" t="s">
        <v>5360</v>
      </c>
      <c r="C5135" t="str">
        <f>"9780199215874"</f>
        <v>9780199215874</v>
      </c>
      <c r="D5135" t="str">
        <f>"9780191527029"</f>
        <v>9780191527029</v>
      </c>
      <c r="E5135" t="s">
        <v>1133</v>
      </c>
      <c r="F5135" t="s">
        <v>1133</v>
      </c>
      <c r="G5135" s="1">
        <v>39247</v>
      </c>
      <c r="H5135" s="1">
        <v>39872</v>
      </c>
      <c r="I5135" t="s">
        <v>12</v>
      </c>
      <c r="J5135" t="s">
        <v>15905</v>
      </c>
    </row>
    <row r="5136" spans="1:10" x14ac:dyDescent="0.25">
      <c r="A5136">
        <v>415857</v>
      </c>
      <c r="B5136" t="s">
        <v>5361</v>
      </c>
      <c r="C5136" t="str">
        <f>"9780199279951"</f>
        <v>9780199279951</v>
      </c>
      <c r="D5136" t="str">
        <f>"9780191515590"</f>
        <v>9780191515590</v>
      </c>
      <c r="E5136" t="s">
        <v>1133</v>
      </c>
      <c r="F5136" t="s">
        <v>1133</v>
      </c>
      <c r="G5136" s="1">
        <v>39121</v>
      </c>
      <c r="H5136" s="1">
        <v>39872</v>
      </c>
      <c r="I5136" t="s">
        <v>12</v>
      </c>
      <c r="J5136" t="s">
        <v>15906</v>
      </c>
    </row>
    <row r="5137" spans="1:10" x14ac:dyDescent="0.25">
      <c r="A5137">
        <v>415867</v>
      </c>
      <c r="B5137" t="s">
        <v>5362</v>
      </c>
      <c r="C5137" t="str">
        <f>"9780195189872"</f>
        <v>9780195189872</v>
      </c>
      <c r="D5137" t="str">
        <f>"9780198040941"</f>
        <v>9780198040941</v>
      </c>
      <c r="E5137" t="s">
        <v>1270</v>
      </c>
      <c r="F5137" t="s">
        <v>1270</v>
      </c>
      <c r="G5137" s="1">
        <v>39283</v>
      </c>
      <c r="H5137" s="1">
        <v>39871</v>
      </c>
      <c r="I5137" t="s">
        <v>12</v>
      </c>
      <c r="J5137" t="s">
        <v>15907</v>
      </c>
    </row>
    <row r="5138" spans="1:10" x14ac:dyDescent="0.25">
      <c r="A5138">
        <v>415889</v>
      </c>
      <c r="B5138" t="s">
        <v>5363</v>
      </c>
      <c r="C5138" t="str">
        <f>"9780199213368"</f>
        <v>9780199213368</v>
      </c>
      <c r="D5138" t="str">
        <f>"9780191526664"</f>
        <v>9780191526664</v>
      </c>
      <c r="E5138" t="s">
        <v>1270</v>
      </c>
      <c r="F5138" t="s">
        <v>1270</v>
      </c>
      <c r="G5138" s="1">
        <v>39261</v>
      </c>
      <c r="H5138" s="1">
        <v>39872</v>
      </c>
      <c r="I5138" t="s">
        <v>12</v>
      </c>
      <c r="J5138" t="s">
        <v>15908</v>
      </c>
    </row>
    <row r="5139" spans="1:10" x14ac:dyDescent="0.25">
      <c r="A5139">
        <v>415911</v>
      </c>
      <c r="B5139" t="s">
        <v>5364</v>
      </c>
      <c r="C5139" t="str">
        <f>"9780195314359"</f>
        <v>9780195314359</v>
      </c>
      <c r="D5139" t="str">
        <f>"9780198042891"</f>
        <v>9780198042891</v>
      </c>
      <c r="E5139" t="s">
        <v>1270</v>
      </c>
      <c r="F5139" t="s">
        <v>1270</v>
      </c>
      <c r="G5139" s="1">
        <v>39400</v>
      </c>
      <c r="H5139" s="1">
        <v>39871</v>
      </c>
      <c r="I5139" t="s">
        <v>12</v>
      </c>
      <c r="J5139" t="s">
        <v>15909</v>
      </c>
    </row>
    <row r="5140" spans="1:10" x14ac:dyDescent="0.25">
      <c r="A5140">
        <v>415917</v>
      </c>
      <c r="B5140" t="s">
        <v>5365</v>
      </c>
      <c r="C5140" t="str">
        <f>"9780199210701"</f>
        <v>9780199210701</v>
      </c>
      <c r="D5140" t="str">
        <f>"9780191526213"</f>
        <v>9780191526213</v>
      </c>
      <c r="E5140" t="s">
        <v>1133</v>
      </c>
      <c r="F5140" t="s">
        <v>5309</v>
      </c>
      <c r="G5140" s="1">
        <v>39135</v>
      </c>
      <c r="H5140" s="1">
        <v>39872</v>
      </c>
      <c r="I5140" t="s">
        <v>12</v>
      </c>
      <c r="J5140" t="s">
        <v>15910</v>
      </c>
    </row>
    <row r="5141" spans="1:10" x14ac:dyDescent="0.25">
      <c r="A5141">
        <v>415932</v>
      </c>
      <c r="B5141" t="s">
        <v>5366</v>
      </c>
      <c r="C5141" t="str">
        <f>"9780199206612"</f>
        <v>9780199206612</v>
      </c>
      <c r="D5141" t="str">
        <f>"9780191525735"</f>
        <v>9780191525735</v>
      </c>
      <c r="E5141" t="s">
        <v>1270</v>
      </c>
      <c r="F5141" t="s">
        <v>1270</v>
      </c>
      <c r="G5141" s="1">
        <v>39177</v>
      </c>
      <c r="H5141" s="1">
        <v>39872</v>
      </c>
      <c r="I5141" t="s">
        <v>12</v>
      </c>
      <c r="J5141" t="s">
        <v>15911</v>
      </c>
    </row>
    <row r="5142" spans="1:10" x14ac:dyDescent="0.25">
      <c r="A5142">
        <v>415933</v>
      </c>
      <c r="B5142" t="s">
        <v>5367</v>
      </c>
      <c r="C5142" t="str">
        <f>"9780199207855"</f>
        <v>9780199207855</v>
      </c>
      <c r="D5142" t="str">
        <f>"9780191525926"</f>
        <v>9780191525926</v>
      </c>
      <c r="E5142" t="s">
        <v>1270</v>
      </c>
      <c r="F5142" t="s">
        <v>1270</v>
      </c>
      <c r="G5142" s="1">
        <v>39366</v>
      </c>
      <c r="H5142" s="1">
        <v>39872</v>
      </c>
      <c r="I5142" t="s">
        <v>12</v>
      </c>
      <c r="J5142" t="s">
        <v>15912</v>
      </c>
    </row>
    <row r="5143" spans="1:10" x14ac:dyDescent="0.25">
      <c r="A5143">
        <v>415944</v>
      </c>
      <c r="B5143" t="s">
        <v>5368</v>
      </c>
      <c r="C5143" t="str">
        <f>"9780199208968"</f>
        <v>9780199208968</v>
      </c>
      <c r="D5143" t="str">
        <f>"9780191526114"</f>
        <v>9780191526114</v>
      </c>
      <c r="E5143" t="s">
        <v>1270</v>
      </c>
      <c r="F5143" t="s">
        <v>1270</v>
      </c>
      <c r="G5143" s="1">
        <v>39397</v>
      </c>
      <c r="H5143" s="1">
        <v>39872</v>
      </c>
      <c r="I5143" t="s">
        <v>12</v>
      </c>
      <c r="J5143" t="s">
        <v>15913</v>
      </c>
    </row>
    <row r="5144" spans="1:10" x14ac:dyDescent="0.25">
      <c r="A5144">
        <v>415985</v>
      </c>
      <c r="B5144" t="s">
        <v>5369</v>
      </c>
      <c r="C5144" t="str">
        <f>"9780195311761"</f>
        <v>9780195311761</v>
      </c>
      <c r="D5144" t="str">
        <f>"9780198042600"</f>
        <v>9780198042600</v>
      </c>
      <c r="E5144" t="s">
        <v>1270</v>
      </c>
      <c r="F5144" t="s">
        <v>1270</v>
      </c>
      <c r="G5144" s="1">
        <v>39366</v>
      </c>
      <c r="H5144" s="1">
        <v>39871</v>
      </c>
      <c r="I5144" t="s">
        <v>12</v>
      </c>
      <c r="J5144" t="s">
        <v>15914</v>
      </c>
    </row>
    <row r="5145" spans="1:10" x14ac:dyDescent="0.25">
      <c r="A5145">
        <v>416045</v>
      </c>
      <c r="B5145" t="s">
        <v>5370</v>
      </c>
      <c r="C5145" t="str">
        <f>"9780195174946"</f>
        <v>9780195174946</v>
      </c>
      <c r="D5145" t="str">
        <f>"9780195346572"</f>
        <v>9780195346572</v>
      </c>
      <c r="E5145" t="s">
        <v>1270</v>
      </c>
      <c r="F5145" t="s">
        <v>1270</v>
      </c>
      <c r="G5145" s="1">
        <v>39023</v>
      </c>
      <c r="H5145" s="1">
        <v>39871</v>
      </c>
      <c r="I5145" t="s">
        <v>12</v>
      </c>
      <c r="J5145" t="s">
        <v>15915</v>
      </c>
    </row>
    <row r="5146" spans="1:10" x14ac:dyDescent="0.25">
      <c r="A5146">
        <v>416046</v>
      </c>
      <c r="B5146" t="s">
        <v>5371</v>
      </c>
      <c r="C5146" t="str">
        <f>"9780195181920"</f>
        <v>9780195181920</v>
      </c>
      <c r="D5146" t="str">
        <f>"9780198040170"</f>
        <v>9780198040170</v>
      </c>
      <c r="E5146" t="s">
        <v>1270</v>
      </c>
      <c r="F5146" t="s">
        <v>5318</v>
      </c>
      <c r="G5146" s="1">
        <v>39114</v>
      </c>
      <c r="H5146" s="1">
        <v>39871</v>
      </c>
      <c r="I5146" t="s">
        <v>12</v>
      </c>
      <c r="J5146" t="s">
        <v>15916</v>
      </c>
    </row>
    <row r="5147" spans="1:10" x14ac:dyDescent="0.25">
      <c r="A5147">
        <v>416048</v>
      </c>
      <c r="B5147" t="s">
        <v>5372</v>
      </c>
      <c r="C5147" t="str">
        <f>"9780195300680"</f>
        <v>9780195300680</v>
      </c>
      <c r="D5147" t="str">
        <f>"9780198041177"</f>
        <v>9780198041177</v>
      </c>
      <c r="E5147" t="s">
        <v>1270</v>
      </c>
      <c r="F5147" t="s">
        <v>1270</v>
      </c>
      <c r="G5147" s="1">
        <v>39260</v>
      </c>
      <c r="H5147" s="1">
        <v>39871</v>
      </c>
      <c r="I5147" t="s">
        <v>12</v>
      </c>
      <c r="J5147" t="s">
        <v>15917</v>
      </c>
    </row>
    <row r="5148" spans="1:10" x14ac:dyDescent="0.25">
      <c r="A5148">
        <v>418811</v>
      </c>
      <c r="B5148" t="s">
        <v>5373</v>
      </c>
      <c r="C5148" t="str">
        <f>"9788122419474"</f>
        <v>9788122419474</v>
      </c>
      <c r="D5148" t="str">
        <f>"9788122425529"</f>
        <v>9788122425529</v>
      </c>
      <c r="E5148" t="s">
        <v>4636</v>
      </c>
      <c r="F5148" t="s">
        <v>4637</v>
      </c>
      <c r="G5148" s="1">
        <v>38718</v>
      </c>
      <c r="H5148" s="1">
        <v>39902</v>
      </c>
      <c r="I5148" t="s">
        <v>12</v>
      </c>
      <c r="J5148" t="s">
        <v>15918</v>
      </c>
    </row>
    <row r="5149" spans="1:10" x14ac:dyDescent="0.25">
      <c r="A5149">
        <v>419242</v>
      </c>
      <c r="B5149" t="s">
        <v>5374</v>
      </c>
      <c r="C5149" t="str">
        <f>"9781861346940"</f>
        <v>9781861346940</v>
      </c>
      <c r="D5149" t="str">
        <f>"9781847422378"</f>
        <v>9781847422378</v>
      </c>
      <c r="E5149" t="s">
        <v>5375</v>
      </c>
      <c r="F5149" t="s">
        <v>5375</v>
      </c>
      <c r="G5149" s="1">
        <v>39218</v>
      </c>
      <c r="H5149" s="1">
        <v>39897</v>
      </c>
      <c r="I5149" t="s">
        <v>12</v>
      </c>
      <c r="J5149" t="s">
        <v>15919</v>
      </c>
    </row>
    <row r="5150" spans="1:10" x14ac:dyDescent="0.25">
      <c r="A5150">
        <v>419252</v>
      </c>
      <c r="B5150" t="s">
        <v>5376</v>
      </c>
      <c r="C5150" t="str">
        <f>"9781861346636"</f>
        <v>9781861346636</v>
      </c>
      <c r="D5150" t="str">
        <f>"9781847421708"</f>
        <v>9781847421708</v>
      </c>
      <c r="E5150" t="s">
        <v>5375</v>
      </c>
      <c r="F5150" t="s">
        <v>5375</v>
      </c>
      <c r="G5150" s="1">
        <v>39022</v>
      </c>
      <c r="H5150" s="1">
        <v>39897</v>
      </c>
      <c r="I5150" t="s">
        <v>12</v>
      </c>
      <c r="J5150" t="s">
        <v>15920</v>
      </c>
    </row>
    <row r="5151" spans="1:10" x14ac:dyDescent="0.25">
      <c r="A5151">
        <v>419257</v>
      </c>
      <c r="B5151" t="s">
        <v>5377</v>
      </c>
      <c r="C5151" t="str">
        <f>"9781861349507"</f>
        <v>9781861349507</v>
      </c>
      <c r="D5151" t="str">
        <f>"9781847423009"</f>
        <v>9781847423009</v>
      </c>
      <c r="E5151" t="s">
        <v>5375</v>
      </c>
      <c r="F5151" t="s">
        <v>5375</v>
      </c>
      <c r="G5151" s="1">
        <v>39407</v>
      </c>
      <c r="H5151" s="1">
        <v>39897</v>
      </c>
      <c r="I5151" t="s">
        <v>12</v>
      </c>
      <c r="J5151" t="s">
        <v>15921</v>
      </c>
    </row>
    <row r="5152" spans="1:10" x14ac:dyDescent="0.25">
      <c r="A5152">
        <v>419258</v>
      </c>
      <c r="B5152" t="s">
        <v>5378</v>
      </c>
      <c r="C5152" t="str">
        <f>"9781861348500"</f>
        <v>9781861348500</v>
      </c>
      <c r="D5152" t="str">
        <f>"9781847422439"</f>
        <v>9781847422439</v>
      </c>
      <c r="E5152" t="s">
        <v>5375</v>
      </c>
      <c r="F5152" t="s">
        <v>5375</v>
      </c>
      <c r="G5152" s="1">
        <v>39273</v>
      </c>
      <c r="H5152" s="1">
        <v>39897</v>
      </c>
      <c r="I5152" t="s">
        <v>12</v>
      </c>
      <c r="J5152" t="s">
        <v>15922</v>
      </c>
    </row>
    <row r="5153" spans="1:10" x14ac:dyDescent="0.25">
      <c r="A5153">
        <v>419268</v>
      </c>
      <c r="B5153" t="s">
        <v>5379</v>
      </c>
      <c r="C5153" t="str">
        <f>"9781861348951"</f>
        <v>9781861348951</v>
      </c>
      <c r="D5153" t="str">
        <f>"9781847422514"</f>
        <v>9781847422514</v>
      </c>
      <c r="E5153" t="s">
        <v>5375</v>
      </c>
      <c r="F5153" t="s">
        <v>5375</v>
      </c>
      <c r="G5153" s="1">
        <v>39288</v>
      </c>
      <c r="H5153" s="1">
        <v>39897</v>
      </c>
      <c r="I5153" t="s">
        <v>12</v>
      </c>
      <c r="J5153" t="s">
        <v>15923</v>
      </c>
    </row>
    <row r="5154" spans="1:10" x14ac:dyDescent="0.25">
      <c r="A5154">
        <v>419275</v>
      </c>
      <c r="B5154" t="s">
        <v>5380</v>
      </c>
      <c r="C5154" t="str">
        <f>"9781861346063"</f>
        <v>9781861346063</v>
      </c>
      <c r="D5154" t="str">
        <f>"9781847421210"</f>
        <v>9781847421210</v>
      </c>
      <c r="E5154" t="s">
        <v>5375</v>
      </c>
      <c r="F5154" t="s">
        <v>5375</v>
      </c>
      <c r="G5154" s="1">
        <v>38371</v>
      </c>
      <c r="H5154" s="1">
        <v>39897</v>
      </c>
      <c r="I5154" t="s">
        <v>12</v>
      </c>
      <c r="J5154" t="s">
        <v>15924</v>
      </c>
    </row>
    <row r="5155" spans="1:10" x14ac:dyDescent="0.25">
      <c r="A5155">
        <v>419278</v>
      </c>
      <c r="B5155" t="s">
        <v>5381</v>
      </c>
      <c r="C5155" t="str">
        <f>"9781861344311"</f>
        <v>9781861344311</v>
      </c>
      <c r="D5155" t="str">
        <f>"9781847421425"</f>
        <v>9781847421425</v>
      </c>
      <c r="E5155" t="s">
        <v>5375</v>
      </c>
      <c r="F5155" t="s">
        <v>5375</v>
      </c>
      <c r="G5155" s="1">
        <v>38644</v>
      </c>
      <c r="H5155" s="1">
        <v>39897</v>
      </c>
      <c r="I5155" t="s">
        <v>12</v>
      </c>
      <c r="J5155" t="s">
        <v>15925</v>
      </c>
    </row>
    <row r="5156" spans="1:10" x14ac:dyDescent="0.25">
      <c r="A5156">
        <v>419286</v>
      </c>
      <c r="B5156" t="s">
        <v>5382</v>
      </c>
      <c r="C5156" t="str">
        <f>"9781861346520"</f>
        <v>9781861346520</v>
      </c>
      <c r="D5156" t="str">
        <f>"9781847421531"</f>
        <v>9781847421531</v>
      </c>
      <c r="E5156" t="s">
        <v>5375</v>
      </c>
      <c r="F5156" t="s">
        <v>5375</v>
      </c>
      <c r="G5156" s="1">
        <v>38798</v>
      </c>
      <c r="H5156" s="1">
        <v>39897</v>
      </c>
      <c r="I5156" t="s">
        <v>12</v>
      </c>
      <c r="J5156" t="s">
        <v>15926</v>
      </c>
    </row>
    <row r="5157" spans="1:10" x14ac:dyDescent="0.25">
      <c r="A5157">
        <v>419294</v>
      </c>
      <c r="B5157" t="s">
        <v>5383</v>
      </c>
      <c r="C5157" t="str">
        <f>"9781861346896"</f>
        <v>9781861346896</v>
      </c>
      <c r="D5157" t="str">
        <f>"9781847421418"</f>
        <v>9781847421418</v>
      </c>
      <c r="E5157" t="s">
        <v>5375</v>
      </c>
      <c r="F5157" t="s">
        <v>5375</v>
      </c>
      <c r="G5157" s="1">
        <v>38637</v>
      </c>
      <c r="H5157" s="1">
        <v>39897</v>
      </c>
      <c r="I5157" t="s">
        <v>12</v>
      </c>
      <c r="J5157" t="s">
        <v>15927</v>
      </c>
    </row>
    <row r="5158" spans="1:10" x14ac:dyDescent="0.25">
      <c r="A5158">
        <v>419295</v>
      </c>
      <c r="B5158" t="s">
        <v>5384</v>
      </c>
      <c r="C5158" t="str">
        <f>"9781861348579"</f>
        <v>9781861348579</v>
      </c>
      <c r="D5158" t="str">
        <f>"9781847421661"</f>
        <v>9781847421661</v>
      </c>
      <c r="E5158" t="s">
        <v>5375</v>
      </c>
      <c r="F5158" t="s">
        <v>5375</v>
      </c>
      <c r="G5158" s="1">
        <v>38985</v>
      </c>
      <c r="H5158" s="1">
        <v>39897</v>
      </c>
      <c r="I5158" t="s">
        <v>12</v>
      </c>
      <c r="J5158" t="s">
        <v>15928</v>
      </c>
    </row>
    <row r="5159" spans="1:10" x14ac:dyDescent="0.25">
      <c r="A5159">
        <v>419302</v>
      </c>
      <c r="B5159" t="s">
        <v>5385</v>
      </c>
      <c r="C5159" t="str">
        <f>"9781861347190"</f>
        <v>9781861347190</v>
      </c>
      <c r="D5159" t="str">
        <f>"9781847421579"</f>
        <v>9781847421579</v>
      </c>
      <c r="E5159" t="s">
        <v>5375</v>
      </c>
      <c r="F5159" t="s">
        <v>5375</v>
      </c>
      <c r="G5159" s="1">
        <v>38835</v>
      </c>
      <c r="H5159" s="1">
        <v>39897</v>
      </c>
      <c r="I5159" t="s">
        <v>12</v>
      </c>
      <c r="J5159" t="s">
        <v>15929</v>
      </c>
    </row>
    <row r="5160" spans="1:10" x14ac:dyDescent="0.25">
      <c r="A5160">
        <v>419313</v>
      </c>
      <c r="B5160" t="s">
        <v>5386</v>
      </c>
      <c r="C5160" t="str">
        <f>"9781861345516"</f>
        <v>9781861345516</v>
      </c>
      <c r="D5160" t="str">
        <f>"9781847421241"</f>
        <v>9781847421241</v>
      </c>
      <c r="E5160" t="s">
        <v>5375</v>
      </c>
      <c r="F5160" t="s">
        <v>5375</v>
      </c>
      <c r="G5160" s="1">
        <v>38441</v>
      </c>
      <c r="H5160" s="1">
        <v>39897</v>
      </c>
      <c r="I5160" t="s">
        <v>12</v>
      </c>
      <c r="J5160" t="s">
        <v>15930</v>
      </c>
    </row>
    <row r="5161" spans="1:10" x14ac:dyDescent="0.25">
      <c r="A5161">
        <v>419315</v>
      </c>
      <c r="B5161" t="s">
        <v>5387</v>
      </c>
      <c r="C5161" t="str">
        <f>"9781847420657"</f>
        <v>9781847420657</v>
      </c>
      <c r="D5161" t="str">
        <f>"9781847423399"</f>
        <v>9781847423399</v>
      </c>
      <c r="E5161" t="s">
        <v>5375</v>
      </c>
      <c r="F5161" t="s">
        <v>5375</v>
      </c>
      <c r="G5161" s="1">
        <v>39518</v>
      </c>
      <c r="H5161" s="1">
        <v>40510</v>
      </c>
      <c r="I5161" t="s">
        <v>12</v>
      </c>
      <c r="J5161" t="s">
        <v>15931</v>
      </c>
    </row>
    <row r="5162" spans="1:10" x14ac:dyDescent="0.25">
      <c r="A5162">
        <v>419319</v>
      </c>
      <c r="B5162" t="s">
        <v>5388</v>
      </c>
      <c r="C5162" t="str">
        <f>"9781861347503"</f>
        <v>9781861347503</v>
      </c>
      <c r="D5162" t="str">
        <f>"9781847422972"</f>
        <v>9781847422972</v>
      </c>
      <c r="E5162" t="s">
        <v>5375</v>
      </c>
      <c r="F5162" t="s">
        <v>5375</v>
      </c>
      <c r="G5162" s="1">
        <v>39407</v>
      </c>
      <c r="H5162" s="1">
        <v>40510</v>
      </c>
      <c r="I5162" t="s">
        <v>12</v>
      </c>
      <c r="J5162" t="s">
        <v>15932</v>
      </c>
    </row>
    <row r="5163" spans="1:10" x14ac:dyDescent="0.25">
      <c r="A5163">
        <v>419337</v>
      </c>
      <c r="B5163" t="s">
        <v>5389</v>
      </c>
      <c r="C5163" t="str">
        <f>"9781861347848"</f>
        <v>9781861347848</v>
      </c>
      <c r="D5163" t="str">
        <f>"9781847421517"</f>
        <v>9781847421517</v>
      </c>
      <c r="E5163" t="s">
        <v>5375</v>
      </c>
      <c r="F5163" t="s">
        <v>5375</v>
      </c>
      <c r="G5163" s="1">
        <v>38749</v>
      </c>
      <c r="H5163" s="1">
        <v>40218</v>
      </c>
      <c r="I5163" t="s">
        <v>12</v>
      </c>
      <c r="J5163" t="s">
        <v>15933</v>
      </c>
    </row>
    <row r="5164" spans="1:10" x14ac:dyDescent="0.25">
      <c r="A5164">
        <v>419338</v>
      </c>
      <c r="B5164" t="s">
        <v>5390</v>
      </c>
      <c r="C5164" t="str">
        <f>"9781847420459"</f>
        <v>9781847420459</v>
      </c>
      <c r="D5164" t="str">
        <f>"9781847423559"</f>
        <v>9781847423559</v>
      </c>
      <c r="E5164" t="s">
        <v>5375</v>
      </c>
      <c r="F5164" t="s">
        <v>5375</v>
      </c>
      <c r="G5164" s="1">
        <v>39630</v>
      </c>
      <c r="H5164" s="1">
        <v>39897</v>
      </c>
      <c r="I5164" t="s">
        <v>12</v>
      </c>
      <c r="J5164" t="s">
        <v>15934</v>
      </c>
    </row>
    <row r="5165" spans="1:10" x14ac:dyDescent="0.25">
      <c r="A5165">
        <v>419339</v>
      </c>
      <c r="B5165" t="s">
        <v>5391</v>
      </c>
      <c r="C5165" t="str">
        <f>"9781847420466"</f>
        <v>9781847420466</v>
      </c>
      <c r="D5165" t="str">
        <f>"9781847423542"</f>
        <v>9781847423542</v>
      </c>
      <c r="E5165" t="s">
        <v>5375</v>
      </c>
      <c r="F5165" t="s">
        <v>5375</v>
      </c>
      <c r="G5165" s="1">
        <v>39619</v>
      </c>
      <c r="H5165" s="1">
        <v>39897</v>
      </c>
      <c r="I5165" t="s">
        <v>12</v>
      </c>
      <c r="J5165" t="s">
        <v>15935</v>
      </c>
    </row>
    <row r="5166" spans="1:10" x14ac:dyDescent="0.25">
      <c r="A5166">
        <v>419346</v>
      </c>
      <c r="B5166" t="s">
        <v>5392</v>
      </c>
      <c r="C5166" t="str">
        <f>"9781861345837"</f>
        <v>9781861345837</v>
      </c>
      <c r="D5166" t="str">
        <f>"9781847421227"</f>
        <v>9781847421227</v>
      </c>
      <c r="E5166" t="s">
        <v>5375</v>
      </c>
      <c r="F5166" t="s">
        <v>5375</v>
      </c>
      <c r="G5166" s="1">
        <v>38371</v>
      </c>
      <c r="H5166" s="1">
        <v>39897</v>
      </c>
      <c r="I5166" t="s">
        <v>12</v>
      </c>
      <c r="J5166" t="s">
        <v>15936</v>
      </c>
    </row>
    <row r="5167" spans="1:10" x14ac:dyDescent="0.25">
      <c r="A5167">
        <v>419348</v>
      </c>
      <c r="B5167" t="s">
        <v>5393</v>
      </c>
      <c r="C5167" t="str">
        <f>"9781847420503"</f>
        <v>9781847420503</v>
      </c>
      <c r="D5167" t="str">
        <f>"9781847423016"</f>
        <v>9781847423016</v>
      </c>
      <c r="E5167" t="s">
        <v>5375</v>
      </c>
      <c r="F5167" t="s">
        <v>5375</v>
      </c>
      <c r="G5167" s="1">
        <v>39408</v>
      </c>
      <c r="H5167" s="1">
        <v>39897</v>
      </c>
      <c r="I5167" t="s">
        <v>12</v>
      </c>
      <c r="J5167" t="s">
        <v>15937</v>
      </c>
    </row>
    <row r="5168" spans="1:10" x14ac:dyDescent="0.25">
      <c r="A5168">
        <v>419351</v>
      </c>
      <c r="B5168" t="s">
        <v>5394</v>
      </c>
      <c r="C5168" t="str">
        <f>"9781861347442"</f>
        <v>9781861347442</v>
      </c>
      <c r="D5168" t="str">
        <f>"9781847421760"</f>
        <v>9781847421760</v>
      </c>
      <c r="E5168" t="s">
        <v>5375</v>
      </c>
      <c r="F5168" t="s">
        <v>5375</v>
      </c>
      <c r="G5168" s="1">
        <v>39092</v>
      </c>
      <c r="H5168" s="1">
        <v>39897</v>
      </c>
      <c r="I5168" t="s">
        <v>12</v>
      </c>
      <c r="J5168" t="s">
        <v>15938</v>
      </c>
    </row>
    <row r="5169" spans="1:10" x14ac:dyDescent="0.25">
      <c r="A5169">
        <v>419357</v>
      </c>
      <c r="B5169" t="s">
        <v>5395</v>
      </c>
      <c r="C5169" t="str">
        <f>"9781861346018"</f>
        <v>9781861346018</v>
      </c>
      <c r="D5169" t="str">
        <f>"9781847421364"</f>
        <v>9781847421364</v>
      </c>
      <c r="E5169" t="s">
        <v>5375</v>
      </c>
      <c r="F5169" t="s">
        <v>5375</v>
      </c>
      <c r="G5169" s="1">
        <v>38616</v>
      </c>
      <c r="H5169" s="1">
        <v>39897</v>
      </c>
      <c r="I5169" t="s">
        <v>12</v>
      </c>
      <c r="J5169" t="s">
        <v>15939</v>
      </c>
    </row>
    <row r="5170" spans="1:10" x14ac:dyDescent="0.25">
      <c r="A5170">
        <v>419359</v>
      </c>
      <c r="B5170" t="s">
        <v>5396</v>
      </c>
      <c r="C5170" t="str">
        <f>"9781861348418"</f>
        <v>9781861348418</v>
      </c>
      <c r="D5170" t="str">
        <f>"9781847421647"</f>
        <v>9781847421647</v>
      </c>
      <c r="E5170" t="s">
        <v>5375</v>
      </c>
      <c r="F5170" t="s">
        <v>5375</v>
      </c>
      <c r="G5170" s="1">
        <v>38966</v>
      </c>
      <c r="H5170" s="1">
        <v>39897</v>
      </c>
      <c r="I5170" t="s">
        <v>12</v>
      </c>
      <c r="J5170" t="s">
        <v>15940</v>
      </c>
    </row>
    <row r="5171" spans="1:10" x14ac:dyDescent="0.25">
      <c r="A5171">
        <v>419748</v>
      </c>
      <c r="B5171" t="s">
        <v>5397</v>
      </c>
      <c r="C5171" t="str">
        <f>"9789056294335"</f>
        <v>9789056294335</v>
      </c>
      <c r="D5171" t="str">
        <f>"9789048505616"</f>
        <v>9789048505616</v>
      </c>
      <c r="E5171" t="s">
        <v>5284</v>
      </c>
      <c r="F5171" t="s">
        <v>5398</v>
      </c>
      <c r="G5171" s="1">
        <v>38718</v>
      </c>
      <c r="H5171" s="1">
        <v>40329</v>
      </c>
      <c r="I5171" t="s">
        <v>12</v>
      </c>
      <c r="J5171" t="s">
        <v>15941</v>
      </c>
    </row>
    <row r="5172" spans="1:10" x14ac:dyDescent="0.25">
      <c r="A5172">
        <v>419749</v>
      </c>
      <c r="B5172" t="s">
        <v>5399</v>
      </c>
      <c r="C5172" t="str">
        <f>"9789056292577"</f>
        <v>9789056292577</v>
      </c>
      <c r="D5172" t="str">
        <f>"9789048508952"</f>
        <v>9789048508952</v>
      </c>
      <c r="E5172" t="s">
        <v>5284</v>
      </c>
      <c r="F5172" t="s">
        <v>5398</v>
      </c>
      <c r="G5172" s="1">
        <v>37591</v>
      </c>
      <c r="H5172" s="1">
        <v>40245</v>
      </c>
      <c r="I5172" t="s">
        <v>12</v>
      </c>
      <c r="J5172" t="s">
        <v>15942</v>
      </c>
    </row>
    <row r="5173" spans="1:10" x14ac:dyDescent="0.25">
      <c r="A5173">
        <v>419751</v>
      </c>
      <c r="B5173" t="s">
        <v>5400</v>
      </c>
      <c r="C5173" t="str">
        <f>"9789053569337"</f>
        <v>9789053569337</v>
      </c>
      <c r="D5173" t="str">
        <f>"9789048501601"</f>
        <v>9789048501601</v>
      </c>
      <c r="E5173" t="s">
        <v>5284</v>
      </c>
      <c r="F5173" t="s">
        <v>5284</v>
      </c>
      <c r="G5173" s="1">
        <v>39142</v>
      </c>
      <c r="H5173" s="1">
        <v>39891</v>
      </c>
      <c r="I5173" t="s">
        <v>12</v>
      </c>
      <c r="J5173" t="s">
        <v>15943</v>
      </c>
    </row>
    <row r="5174" spans="1:10" x14ac:dyDescent="0.25">
      <c r="A5174">
        <v>419755</v>
      </c>
      <c r="B5174" t="s">
        <v>5401</v>
      </c>
      <c r="C5174" t="str">
        <f>"9789053569474"</f>
        <v>9789053569474</v>
      </c>
      <c r="D5174" t="str">
        <f>"9789048505548"</f>
        <v>9789048505548</v>
      </c>
      <c r="E5174" t="s">
        <v>5284</v>
      </c>
      <c r="F5174" t="s">
        <v>5284</v>
      </c>
      <c r="G5174" s="1">
        <v>39083</v>
      </c>
      <c r="H5174" s="1">
        <v>39891</v>
      </c>
      <c r="I5174" t="s">
        <v>12</v>
      </c>
      <c r="J5174" t="s">
        <v>15944</v>
      </c>
    </row>
    <row r="5175" spans="1:10" x14ac:dyDescent="0.25">
      <c r="A5175">
        <v>419759</v>
      </c>
      <c r="B5175" t="s">
        <v>5402</v>
      </c>
      <c r="C5175" t="str">
        <f>"9789053569801"</f>
        <v>9789053569801</v>
      </c>
      <c r="D5175" t="str">
        <f>"9789048501755"</f>
        <v>9789048501755</v>
      </c>
      <c r="E5175" t="s">
        <v>5284</v>
      </c>
      <c r="F5175" t="s">
        <v>5284</v>
      </c>
      <c r="G5175" s="1">
        <v>39295</v>
      </c>
      <c r="H5175" s="1">
        <v>39891</v>
      </c>
      <c r="I5175" t="s">
        <v>12</v>
      </c>
      <c r="J5175" t="s">
        <v>15945</v>
      </c>
    </row>
    <row r="5176" spans="1:10" x14ac:dyDescent="0.25">
      <c r="A5176">
        <v>419760</v>
      </c>
      <c r="B5176" t="s">
        <v>5403</v>
      </c>
      <c r="C5176" t="str">
        <f>"9789053561928"</f>
        <v>9789053561928</v>
      </c>
      <c r="D5176" t="str">
        <f>"9789048506729"</f>
        <v>9789048506729</v>
      </c>
      <c r="E5176" t="s">
        <v>5284</v>
      </c>
      <c r="F5176" t="s">
        <v>5284</v>
      </c>
      <c r="G5176" s="1">
        <v>39083</v>
      </c>
      <c r="H5176" s="1">
        <v>40244</v>
      </c>
      <c r="I5176" t="s">
        <v>12</v>
      </c>
      <c r="J5176" t="s">
        <v>15946</v>
      </c>
    </row>
    <row r="5177" spans="1:10" x14ac:dyDescent="0.25">
      <c r="A5177">
        <v>419761</v>
      </c>
      <c r="B5177" t="s">
        <v>5404</v>
      </c>
      <c r="C5177" t="str">
        <f>"9789053565940"</f>
        <v>9789053565940</v>
      </c>
      <c r="D5177" t="str">
        <f>"9789048505173"</f>
        <v>9789048505173</v>
      </c>
      <c r="E5177" t="s">
        <v>5284</v>
      </c>
      <c r="F5177" t="s">
        <v>5284</v>
      </c>
      <c r="G5177" s="1">
        <v>38353</v>
      </c>
      <c r="H5177" s="1">
        <v>40244</v>
      </c>
      <c r="I5177" t="s">
        <v>12</v>
      </c>
      <c r="J5177" t="s">
        <v>15947</v>
      </c>
    </row>
    <row r="5178" spans="1:10" x14ac:dyDescent="0.25">
      <c r="A5178">
        <v>419763</v>
      </c>
      <c r="B5178" t="s">
        <v>5405</v>
      </c>
      <c r="C5178" t="str">
        <f>"9789053569610"</f>
        <v>9789053569610</v>
      </c>
      <c r="D5178" t="str">
        <f>"9789048501670"</f>
        <v>9789048501670</v>
      </c>
      <c r="E5178" t="s">
        <v>5284</v>
      </c>
      <c r="F5178" t="s">
        <v>5284</v>
      </c>
      <c r="G5178" s="1">
        <v>39295</v>
      </c>
      <c r="H5178" s="1">
        <v>40202</v>
      </c>
      <c r="I5178" t="s">
        <v>12</v>
      </c>
      <c r="J5178" t="s">
        <v>15948</v>
      </c>
    </row>
    <row r="5179" spans="1:10" x14ac:dyDescent="0.25">
      <c r="A5179">
        <v>419766</v>
      </c>
      <c r="B5179" t="s">
        <v>5406</v>
      </c>
      <c r="C5179" t="str">
        <f>"9789085553915"</f>
        <v>9789085553915</v>
      </c>
      <c r="D5179" t="str">
        <f>"9789048502080"</f>
        <v>9789048502080</v>
      </c>
      <c r="E5179" t="s">
        <v>5284</v>
      </c>
      <c r="F5179" t="s">
        <v>5407</v>
      </c>
      <c r="G5179" s="1">
        <v>39083</v>
      </c>
      <c r="H5179" s="1">
        <v>39891</v>
      </c>
      <c r="I5179" t="s">
        <v>12</v>
      </c>
      <c r="J5179" t="s">
        <v>15949</v>
      </c>
    </row>
    <row r="5180" spans="1:10" x14ac:dyDescent="0.25">
      <c r="A5180">
        <v>419767</v>
      </c>
      <c r="B5180" t="s">
        <v>5408</v>
      </c>
      <c r="C5180" t="str">
        <f>"9789053569795"</f>
        <v>9789053569795</v>
      </c>
      <c r="D5180" t="str">
        <f>"9789048501748"</f>
        <v>9789048501748</v>
      </c>
      <c r="E5180" t="s">
        <v>5284</v>
      </c>
      <c r="F5180" t="s">
        <v>5284</v>
      </c>
      <c r="G5180" s="1">
        <v>39295</v>
      </c>
      <c r="H5180" s="1">
        <v>39891</v>
      </c>
      <c r="I5180" t="s">
        <v>12</v>
      </c>
      <c r="J5180" t="s">
        <v>15950</v>
      </c>
    </row>
    <row r="5181" spans="1:10" x14ac:dyDescent="0.25">
      <c r="A5181">
        <v>419768</v>
      </c>
      <c r="B5181" t="s">
        <v>5409</v>
      </c>
      <c r="C5181" t="str">
        <f>"9789053569450"</f>
        <v>9789053569450</v>
      </c>
      <c r="D5181" t="str">
        <f>"9789048505531"</f>
        <v>9789048505531</v>
      </c>
      <c r="E5181" t="s">
        <v>5284</v>
      </c>
      <c r="F5181" t="s">
        <v>5284</v>
      </c>
      <c r="G5181" s="1">
        <v>39052</v>
      </c>
      <c r="H5181" s="1">
        <v>39891</v>
      </c>
      <c r="I5181" t="s">
        <v>12</v>
      </c>
      <c r="J5181" t="s">
        <v>15951</v>
      </c>
    </row>
    <row r="5182" spans="1:10" x14ac:dyDescent="0.25">
      <c r="A5182">
        <v>419773</v>
      </c>
      <c r="B5182" t="s">
        <v>5410</v>
      </c>
      <c r="C5182" t="str">
        <f>"9789053561379"</f>
        <v>9789053561379</v>
      </c>
      <c r="D5182" t="str">
        <f>"9789048505654"</f>
        <v>9789048505654</v>
      </c>
      <c r="E5182" t="s">
        <v>5284</v>
      </c>
      <c r="F5182" t="s">
        <v>5284</v>
      </c>
      <c r="G5182" s="1">
        <v>35065</v>
      </c>
      <c r="H5182" s="1">
        <v>40245</v>
      </c>
      <c r="I5182" t="s">
        <v>12</v>
      </c>
      <c r="J5182" t="s">
        <v>15952</v>
      </c>
    </row>
    <row r="5183" spans="1:10" x14ac:dyDescent="0.25">
      <c r="A5183">
        <v>419775</v>
      </c>
      <c r="B5183" t="s">
        <v>5411</v>
      </c>
      <c r="C5183" t="str">
        <f>"9789056294427"</f>
        <v>9789056294427</v>
      </c>
      <c r="D5183" t="str">
        <f>"9789048503414"</f>
        <v>9789048503414</v>
      </c>
      <c r="E5183" t="s">
        <v>5284</v>
      </c>
      <c r="F5183" t="s">
        <v>5398</v>
      </c>
      <c r="G5183" s="1">
        <v>38718</v>
      </c>
      <c r="H5183" s="1">
        <v>39891</v>
      </c>
      <c r="I5183" t="s">
        <v>12</v>
      </c>
      <c r="J5183" t="s">
        <v>15953</v>
      </c>
    </row>
    <row r="5184" spans="1:10" x14ac:dyDescent="0.25">
      <c r="A5184">
        <v>419844</v>
      </c>
      <c r="B5184" t="s">
        <v>5412</v>
      </c>
      <c r="C5184" t="str">
        <f>"9789056294168"</f>
        <v>9789056294168</v>
      </c>
      <c r="D5184" t="str">
        <f>"9789048501939"</f>
        <v>9789048501939</v>
      </c>
      <c r="E5184" t="s">
        <v>5284</v>
      </c>
      <c r="F5184" t="s">
        <v>5398</v>
      </c>
      <c r="G5184" s="1">
        <v>39083</v>
      </c>
      <c r="H5184" s="1">
        <v>39891</v>
      </c>
      <c r="I5184" t="s">
        <v>12</v>
      </c>
      <c r="J5184" t="s">
        <v>15954</v>
      </c>
    </row>
    <row r="5185" spans="1:10" x14ac:dyDescent="0.25">
      <c r="A5185">
        <v>419858</v>
      </c>
      <c r="B5185" t="s">
        <v>5413</v>
      </c>
      <c r="C5185" t="str">
        <f>"9789053569832"</f>
        <v>9789053569832</v>
      </c>
      <c r="D5185" t="str">
        <f>"9789048501786"</f>
        <v>9789048501786</v>
      </c>
      <c r="E5185" t="s">
        <v>5284</v>
      </c>
      <c r="F5185" t="s">
        <v>5284</v>
      </c>
      <c r="G5185" s="1">
        <v>39203</v>
      </c>
      <c r="H5185" s="1">
        <v>40112</v>
      </c>
      <c r="I5185" t="s">
        <v>12</v>
      </c>
      <c r="J5185" t="s">
        <v>15955</v>
      </c>
    </row>
    <row r="5186" spans="1:10" x14ac:dyDescent="0.25">
      <c r="A5186">
        <v>419860</v>
      </c>
      <c r="B5186" t="s">
        <v>5414</v>
      </c>
      <c r="C5186" t="str">
        <f>"9789056293321"</f>
        <v>9789056293321</v>
      </c>
      <c r="D5186" t="str">
        <f>"9789048505562"</f>
        <v>9789048505562</v>
      </c>
      <c r="E5186" t="s">
        <v>5284</v>
      </c>
      <c r="F5186" t="s">
        <v>5398</v>
      </c>
      <c r="G5186" s="1">
        <v>37987</v>
      </c>
      <c r="H5186" s="1">
        <v>39891</v>
      </c>
      <c r="I5186" t="s">
        <v>12</v>
      </c>
      <c r="J5186" t="s">
        <v>15956</v>
      </c>
    </row>
    <row r="5187" spans="1:10" x14ac:dyDescent="0.25">
      <c r="A5187">
        <v>419939</v>
      </c>
      <c r="B5187" t="s">
        <v>5415</v>
      </c>
      <c r="C5187" t="str">
        <f>"9789053569757"</f>
        <v>9789053569757</v>
      </c>
      <c r="D5187" t="str">
        <f>"9789048501724"</f>
        <v>9789048501724</v>
      </c>
      <c r="E5187" t="s">
        <v>5284</v>
      </c>
      <c r="F5187" t="s">
        <v>5284</v>
      </c>
      <c r="G5187" s="1">
        <v>39326</v>
      </c>
      <c r="H5187" s="1">
        <v>39891</v>
      </c>
      <c r="I5187" t="s">
        <v>12</v>
      </c>
      <c r="J5187" t="s">
        <v>15957</v>
      </c>
    </row>
    <row r="5188" spans="1:10" x14ac:dyDescent="0.25">
      <c r="A5188">
        <v>419996</v>
      </c>
      <c r="B5188" t="s">
        <v>5416</v>
      </c>
      <c r="C5188" t="str">
        <f>"9789056294700"</f>
        <v>9789056294700</v>
      </c>
      <c r="D5188" t="str">
        <f>"9789048507573"</f>
        <v>9789048507573</v>
      </c>
      <c r="E5188" t="s">
        <v>5284</v>
      </c>
      <c r="F5188" t="s">
        <v>5398</v>
      </c>
      <c r="G5188" s="1">
        <v>39083</v>
      </c>
      <c r="H5188" s="1">
        <v>40112</v>
      </c>
      <c r="I5188" t="s">
        <v>12</v>
      </c>
      <c r="J5188" t="s">
        <v>15958</v>
      </c>
    </row>
    <row r="5189" spans="1:10" x14ac:dyDescent="0.25">
      <c r="A5189">
        <v>420067</v>
      </c>
      <c r="B5189" t="s">
        <v>5417</v>
      </c>
      <c r="C5189" t="str">
        <f>"9789053569733"</f>
        <v>9789053569733</v>
      </c>
      <c r="D5189" t="str">
        <f>"9789048501700"</f>
        <v>9789048501700</v>
      </c>
      <c r="E5189" t="s">
        <v>5284</v>
      </c>
      <c r="F5189" t="s">
        <v>5284</v>
      </c>
      <c r="G5189" s="1">
        <v>39173</v>
      </c>
      <c r="H5189" s="1">
        <v>39891</v>
      </c>
      <c r="I5189" t="s">
        <v>12</v>
      </c>
      <c r="J5189" t="s">
        <v>15959</v>
      </c>
    </row>
    <row r="5190" spans="1:10" x14ac:dyDescent="0.25">
      <c r="A5190">
        <v>420068</v>
      </c>
      <c r="B5190" t="s">
        <v>5418</v>
      </c>
      <c r="C5190" t="str">
        <f>"9789053560334"</f>
        <v>9789053560334</v>
      </c>
      <c r="D5190" t="str">
        <f>"9789048501045"</f>
        <v>9789048501045</v>
      </c>
      <c r="E5190" t="s">
        <v>5284</v>
      </c>
      <c r="F5190" t="s">
        <v>5284</v>
      </c>
      <c r="G5190" s="1">
        <v>39083</v>
      </c>
      <c r="H5190" s="1">
        <v>40244</v>
      </c>
      <c r="I5190" t="s">
        <v>12</v>
      </c>
      <c r="J5190" t="s">
        <v>15960</v>
      </c>
    </row>
    <row r="5191" spans="1:10" x14ac:dyDescent="0.25">
      <c r="A5191">
        <v>420077</v>
      </c>
      <c r="B5191" t="s">
        <v>5419</v>
      </c>
      <c r="C5191" t="str">
        <f>"9789056294434"</f>
        <v>9789056294434</v>
      </c>
      <c r="D5191" t="str">
        <f>"9789048509881"</f>
        <v>9789048509881</v>
      </c>
      <c r="E5191" t="s">
        <v>5284</v>
      </c>
      <c r="F5191" t="s">
        <v>5398</v>
      </c>
      <c r="G5191" s="1">
        <v>38718</v>
      </c>
      <c r="H5191" s="1">
        <v>39891</v>
      </c>
      <c r="I5191" t="s">
        <v>12</v>
      </c>
      <c r="J5191" t="s">
        <v>15961</v>
      </c>
    </row>
    <row r="5192" spans="1:10" x14ac:dyDescent="0.25">
      <c r="A5192">
        <v>420088</v>
      </c>
      <c r="B5192" t="s">
        <v>5420</v>
      </c>
      <c r="C5192" t="str">
        <f>"9789056293932"</f>
        <v>9789056293932</v>
      </c>
      <c r="D5192" t="str">
        <f>"9789048505593"</f>
        <v>9789048505593</v>
      </c>
      <c r="E5192" t="s">
        <v>5284</v>
      </c>
      <c r="F5192" t="s">
        <v>5398</v>
      </c>
      <c r="G5192" s="1">
        <v>38353</v>
      </c>
      <c r="H5192" s="1">
        <v>40112</v>
      </c>
      <c r="I5192" t="s">
        <v>12</v>
      </c>
      <c r="J5192" t="s">
        <v>15962</v>
      </c>
    </row>
    <row r="5193" spans="1:10" x14ac:dyDescent="0.25">
      <c r="A5193">
        <v>420130</v>
      </c>
      <c r="B5193" t="s">
        <v>5421</v>
      </c>
      <c r="C5193" t="str">
        <f>"9789089640321"</f>
        <v>9789089640321</v>
      </c>
      <c r="D5193" t="str">
        <f>"9789048502370"</f>
        <v>9789048502370</v>
      </c>
      <c r="E5193" t="s">
        <v>5284</v>
      </c>
      <c r="F5193" t="s">
        <v>5284</v>
      </c>
      <c r="G5193" s="1">
        <v>39448</v>
      </c>
      <c r="H5193" s="1">
        <v>39894</v>
      </c>
      <c r="I5193" t="s">
        <v>12</v>
      </c>
      <c r="J5193" t="s">
        <v>15963</v>
      </c>
    </row>
    <row r="5194" spans="1:10" x14ac:dyDescent="0.25">
      <c r="A5194">
        <v>420247</v>
      </c>
      <c r="B5194" t="s">
        <v>5422</v>
      </c>
      <c r="C5194" t="str">
        <f>"9789053568859"</f>
        <v>9789053568859</v>
      </c>
      <c r="D5194" t="str">
        <f>"9789048504251"</f>
        <v>9789048504251</v>
      </c>
      <c r="E5194" t="s">
        <v>5284</v>
      </c>
      <c r="F5194" t="s">
        <v>5284</v>
      </c>
      <c r="G5194" s="1">
        <v>38718</v>
      </c>
      <c r="H5194" s="1">
        <v>39891</v>
      </c>
      <c r="I5194" t="s">
        <v>12</v>
      </c>
      <c r="J5194" t="s">
        <v>15964</v>
      </c>
    </row>
    <row r="5195" spans="1:10" x14ac:dyDescent="0.25">
      <c r="A5195">
        <v>420250</v>
      </c>
      <c r="B5195" t="s">
        <v>5423</v>
      </c>
      <c r="C5195" t="str">
        <f>"9789053566145"</f>
        <v>9789053566145</v>
      </c>
      <c r="D5195" t="str">
        <f>"9789048505227"</f>
        <v>9789048505227</v>
      </c>
      <c r="E5195" t="s">
        <v>5284</v>
      </c>
      <c r="F5195" t="s">
        <v>5284</v>
      </c>
      <c r="G5195" s="1">
        <v>37987</v>
      </c>
      <c r="H5195" s="1">
        <v>39891</v>
      </c>
      <c r="I5195" t="s">
        <v>12</v>
      </c>
      <c r="J5195" t="s">
        <v>15965</v>
      </c>
    </row>
    <row r="5196" spans="1:10" x14ac:dyDescent="0.25">
      <c r="A5196">
        <v>420268</v>
      </c>
      <c r="B5196" t="s">
        <v>5424</v>
      </c>
      <c r="C5196" t="str">
        <f>"9789053568781"</f>
        <v>9789053568781</v>
      </c>
      <c r="D5196" t="str">
        <f>"9789048504220"</f>
        <v>9789048504220</v>
      </c>
      <c r="E5196" t="s">
        <v>5284</v>
      </c>
      <c r="F5196" t="s">
        <v>5284</v>
      </c>
      <c r="G5196" s="1">
        <v>38718</v>
      </c>
      <c r="H5196" s="1">
        <v>39891</v>
      </c>
      <c r="I5196" t="s">
        <v>12</v>
      </c>
      <c r="J5196" t="s">
        <v>15966</v>
      </c>
    </row>
    <row r="5197" spans="1:10" x14ac:dyDescent="0.25">
      <c r="A5197">
        <v>420273</v>
      </c>
      <c r="B5197" t="s">
        <v>5425</v>
      </c>
      <c r="C5197" t="str">
        <f>"9789053566091"</f>
        <v>9789053566091</v>
      </c>
      <c r="D5197" t="str">
        <f>"9789048505210"</f>
        <v>9789048505210</v>
      </c>
      <c r="E5197" t="s">
        <v>5284</v>
      </c>
      <c r="F5197" t="s">
        <v>5284</v>
      </c>
      <c r="G5197" s="1">
        <v>37622</v>
      </c>
      <c r="H5197" s="1">
        <v>39891</v>
      </c>
      <c r="I5197" t="s">
        <v>12</v>
      </c>
      <c r="J5197" t="s">
        <v>15967</v>
      </c>
    </row>
    <row r="5198" spans="1:10" x14ac:dyDescent="0.25">
      <c r="A5198">
        <v>420283</v>
      </c>
      <c r="B5198" t="s">
        <v>5426</v>
      </c>
      <c r="C5198" t="str">
        <f>"9789053567654"</f>
        <v>9789053567654</v>
      </c>
      <c r="D5198" t="str">
        <f>"9789048505425"</f>
        <v>9789048505425</v>
      </c>
      <c r="E5198" t="s">
        <v>5284</v>
      </c>
      <c r="F5198" t="s">
        <v>5284</v>
      </c>
      <c r="G5198" s="1">
        <v>38353</v>
      </c>
      <c r="H5198" s="1">
        <v>39891</v>
      </c>
      <c r="I5198" t="s">
        <v>12</v>
      </c>
      <c r="J5198" t="s">
        <v>15968</v>
      </c>
    </row>
    <row r="5199" spans="1:10" x14ac:dyDescent="0.25">
      <c r="A5199">
        <v>420297</v>
      </c>
      <c r="B5199" t="s">
        <v>5427</v>
      </c>
      <c r="C5199" t="str">
        <f>"9789053568262"</f>
        <v>9789053568262</v>
      </c>
      <c r="D5199" t="str">
        <f>"9789048503964"</f>
        <v>9789048503964</v>
      </c>
      <c r="E5199" t="s">
        <v>5284</v>
      </c>
      <c r="F5199" t="s">
        <v>5284</v>
      </c>
      <c r="G5199" s="1">
        <v>38353</v>
      </c>
      <c r="H5199" s="1">
        <v>39891</v>
      </c>
      <c r="I5199" t="s">
        <v>12</v>
      </c>
      <c r="J5199" t="s">
        <v>15969</v>
      </c>
    </row>
    <row r="5200" spans="1:10" x14ac:dyDescent="0.25">
      <c r="A5200">
        <v>420301</v>
      </c>
      <c r="B5200" t="s">
        <v>5428</v>
      </c>
      <c r="C5200" t="str">
        <f>"9789053568118"</f>
        <v>9789053568118</v>
      </c>
      <c r="D5200" t="str">
        <f>"9789048503438"</f>
        <v>9789048503438</v>
      </c>
      <c r="E5200" t="s">
        <v>5284</v>
      </c>
      <c r="F5200" t="s">
        <v>5284</v>
      </c>
      <c r="G5200" s="1">
        <v>38718</v>
      </c>
      <c r="H5200" s="1">
        <v>39891</v>
      </c>
      <c r="I5200" t="s">
        <v>12</v>
      </c>
      <c r="J5200" t="s">
        <v>15970</v>
      </c>
    </row>
    <row r="5201" spans="1:10" x14ac:dyDescent="0.25">
      <c r="A5201">
        <v>420303</v>
      </c>
      <c r="B5201" t="s">
        <v>5429</v>
      </c>
      <c r="C5201" t="str">
        <f>"9789053568316"</f>
        <v>9789053568316</v>
      </c>
      <c r="D5201" t="str">
        <f>"9789048509744"</f>
        <v>9789048509744</v>
      </c>
      <c r="E5201" t="s">
        <v>5284</v>
      </c>
      <c r="F5201" t="s">
        <v>5284</v>
      </c>
      <c r="G5201" s="1">
        <v>38718</v>
      </c>
      <c r="H5201" s="1">
        <v>39891</v>
      </c>
      <c r="I5201" t="s">
        <v>12</v>
      </c>
      <c r="J5201" t="s">
        <v>15971</v>
      </c>
    </row>
    <row r="5202" spans="1:10" x14ac:dyDescent="0.25">
      <c r="A5202">
        <v>420304</v>
      </c>
      <c r="B5202" t="s">
        <v>5430</v>
      </c>
      <c r="C5202" t="str">
        <f>"9789053568750"</f>
        <v>9789053568750</v>
      </c>
      <c r="D5202" t="str">
        <f>"9789048504206"</f>
        <v>9789048504206</v>
      </c>
      <c r="E5202" t="s">
        <v>5284</v>
      </c>
      <c r="F5202" t="s">
        <v>5284</v>
      </c>
      <c r="G5202" s="1">
        <v>38718</v>
      </c>
      <c r="H5202" s="1">
        <v>39891</v>
      </c>
      <c r="I5202" t="s">
        <v>12</v>
      </c>
      <c r="J5202" t="s">
        <v>15972</v>
      </c>
    </row>
    <row r="5203" spans="1:10" x14ac:dyDescent="0.25">
      <c r="A5203">
        <v>420305</v>
      </c>
      <c r="B5203" t="s">
        <v>5431</v>
      </c>
      <c r="C5203" t="str">
        <f>"9789053567739"</f>
        <v>9789053567739</v>
      </c>
      <c r="D5203" t="str">
        <f>"9789048505456"</f>
        <v>9789048505456</v>
      </c>
      <c r="E5203" t="s">
        <v>5284</v>
      </c>
      <c r="F5203" t="s">
        <v>5284</v>
      </c>
      <c r="G5203" s="1">
        <v>38353</v>
      </c>
      <c r="H5203" s="1">
        <v>39891</v>
      </c>
      <c r="I5203" t="s">
        <v>12</v>
      </c>
      <c r="J5203" t="s">
        <v>15973</v>
      </c>
    </row>
    <row r="5204" spans="1:10" x14ac:dyDescent="0.25">
      <c r="A5204">
        <v>420308</v>
      </c>
      <c r="B5204" t="s">
        <v>5432</v>
      </c>
      <c r="C5204" t="str">
        <f>"9789053567845"</f>
        <v>9789053567845</v>
      </c>
      <c r="D5204" t="str">
        <f>"9789048509706"</f>
        <v>9789048509706</v>
      </c>
      <c r="E5204" t="s">
        <v>5284</v>
      </c>
      <c r="F5204" t="s">
        <v>5284</v>
      </c>
      <c r="G5204" s="1">
        <v>38718</v>
      </c>
      <c r="H5204" s="1">
        <v>39891</v>
      </c>
      <c r="I5204" t="s">
        <v>12</v>
      </c>
      <c r="J5204" t="s">
        <v>15974</v>
      </c>
    </row>
    <row r="5205" spans="1:10" x14ac:dyDescent="0.25">
      <c r="A5205">
        <v>420674</v>
      </c>
      <c r="B5205" t="s">
        <v>5433</v>
      </c>
      <c r="C5205" t="str">
        <f>"9780748634392"</f>
        <v>9780748634392</v>
      </c>
      <c r="D5205" t="str">
        <f>"9780748634408"</f>
        <v>9780748634408</v>
      </c>
      <c r="E5205" t="s">
        <v>1942</v>
      </c>
      <c r="F5205" t="s">
        <v>1942</v>
      </c>
      <c r="G5205" s="1">
        <v>39798</v>
      </c>
      <c r="H5205" s="1">
        <v>39892</v>
      </c>
      <c r="I5205" t="s">
        <v>12</v>
      </c>
      <c r="J5205" t="s">
        <v>15975</v>
      </c>
    </row>
    <row r="5206" spans="1:10" x14ac:dyDescent="0.25">
      <c r="A5206">
        <v>420675</v>
      </c>
      <c r="B5206" t="s">
        <v>5434</v>
      </c>
      <c r="C5206" t="str">
        <f>"9780748616275"</f>
        <v>9780748616275</v>
      </c>
      <c r="D5206" t="str">
        <f>"9780748628643"</f>
        <v>9780748628643</v>
      </c>
      <c r="E5206" t="s">
        <v>1942</v>
      </c>
      <c r="F5206" t="s">
        <v>1942</v>
      </c>
      <c r="G5206" s="1">
        <v>39797</v>
      </c>
      <c r="H5206" s="1">
        <v>39892</v>
      </c>
      <c r="I5206" t="s">
        <v>12</v>
      </c>
      <c r="J5206" t="s">
        <v>15976</v>
      </c>
    </row>
    <row r="5207" spans="1:10" x14ac:dyDescent="0.25">
      <c r="A5207">
        <v>420676</v>
      </c>
      <c r="B5207" t="s">
        <v>5435</v>
      </c>
      <c r="C5207" t="str">
        <f>"9780748623655"</f>
        <v>9780748623655</v>
      </c>
      <c r="D5207" t="str">
        <f>"9780748632541"</f>
        <v>9780748632541</v>
      </c>
      <c r="E5207" t="s">
        <v>1942</v>
      </c>
      <c r="F5207" t="s">
        <v>1942</v>
      </c>
      <c r="G5207" s="1">
        <v>39798</v>
      </c>
      <c r="H5207" s="1">
        <v>39892</v>
      </c>
      <c r="I5207" t="s">
        <v>12</v>
      </c>
      <c r="J5207" t="s">
        <v>15977</v>
      </c>
    </row>
    <row r="5208" spans="1:10" x14ac:dyDescent="0.25">
      <c r="A5208">
        <v>420680</v>
      </c>
      <c r="B5208" t="s">
        <v>5436</v>
      </c>
      <c r="C5208" t="str">
        <f>"9780748635184"</f>
        <v>9780748635184</v>
      </c>
      <c r="D5208" t="str">
        <f>"9780748636679"</f>
        <v>9780748636679</v>
      </c>
      <c r="E5208" t="s">
        <v>1942</v>
      </c>
      <c r="F5208" t="s">
        <v>1942</v>
      </c>
      <c r="G5208" s="1">
        <v>39783</v>
      </c>
      <c r="H5208" s="1">
        <v>39892</v>
      </c>
      <c r="I5208" t="s">
        <v>12</v>
      </c>
      <c r="J5208" t="s">
        <v>15978</v>
      </c>
    </row>
    <row r="5209" spans="1:10" x14ac:dyDescent="0.25">
      <c r="A5209">
        <v>420798</v>
      </c>
      <c r="B5209" t="s">
        <v>5437</v>
      </c>
      <c r="C5209" t="str">
        <f>"9781861893888"</f>
        <v>9781861893888</v>
      </c>
      <c r="D5209" t="str">
        <f>"9781861895608"</f>
        <v>9781861895608</v>
      </c>
      <c r="E5209" t="s">
        <v>5129</v>
      </c>
      <c r="F5209" t="s">
        <v>5129</v>
      </c>
      <c r="G5209" s="1">
        <v>39828</v>
      </c>
      <c r="H5209" s="1">
        <v>39892</v>
      </c>
      <c r="I5209" t="s">
        <v>12</v>
      </c>
      <c r="J5209" t="s">
        <v>15979</v>
      </c>
    </row>
    <row r="5210" spans="1:10" x14ac:dyDescent="0.25">
      <c r="A5210">
        <v>420800</v>
      </c>
      <c r="B5210" t="s">
        <v>5438</v>
      </c>
      <c r="C5210" t="str">
        <f>"9781861893918"</f>
        <v>9781861893918</v>
      </c>
      <c r="D5210" t="str">
        <f>"9781861896308"</f>
        <v>9781861896308</v>
      </c>
      <c r="E5210" t="s">
        <v>5129</v>
      </c>
      <c r="F5210" t="s">
        <v>5129</v>
      </c>
      <c r="G5210" s="1">
        <v>39736</v>
      </c>
      <c r="H5210" s="1">
        <v>40214</v>
      </c>
      <c r="I5210" t="s">
        <v>12</v>
      </c>
      <c r="J5210" t="s">
        <v>15980</v>
      </c>
    </row>
    <row r="5211" spans="1:10" x14ac:dyDescent="0.25">
      <c r="A5211">
        <v>420812</v>
      </c>
      <c r="B5211" t="s">
        <v>5439</v>
      </c>
      <c r="C5211" t="str">
        <f>"9781861893901"</f>
        <v>9781861893901</v>
      </c>
      <c r="D5211" t="str">
        <f>"9781861896315"</f>
        <v>9781861896315</v>
      </c>
      <c r="E5211" t="s">
        <v>5129</v>
      </c>
      <c r="F5211" t="s">
        <v>5129</v>
      </c>
      <c r="G5211" s="1">
        <v>39736</v>
      </c>
      <c r="H5211" s="1">
        <v>40214</v>
      </c>
      <c r="I5211" t="s">
        <v>12</v>
      </c>
      <c r="J5211" t="s">
        <v>15981</v>
      </c>
    </row>
    <row r="5212" spans="1:10" x14ac:dyDescent="0.25">
      <c r="A5212">
        <v>420842</v>
      </c>
      <c r="B5212" t="s">
        <v>5440</v>
      </c>
      <c r="C5212" t="str">
        <f>"9780761935537"</f>
        <v>9780761935537</v>
      </c>
      <c r="D5212" t="str">
        <f>"9788132101376"</f>
        <v>9788132101376</v>
      </c>
      <c r="E5212" t="s">
        <v>1569</v>
      </c>
      <c r="F5212" t="s">
        <v>5273</v>
      </c>
      <c r="G5212" s="1">
        <v>39266</v>
      </c>
      <c r="H5212" s="1">
        <v>39892</v>
      </c>
      <c r="I5212" t="s">
        <v>12</v>
      </c>
      <c r="J5212" t="s">
        <v>15982</v>
      </c>
    </row>
    <row r="5213" spans="1:10" x14ac:dyDescent="0.25">
      <c r="A5213">
        <v>420851</v>
      </c>
      <c r="B5213" t="s">
        <v>5441</v>
      </c>
      <c r="C5213" t="str">
        <f>"9788178298955"</f>
        <v>9788178298955</v>
      </c>
      <c r="D5213" t="str">
        <f>"9788132101024"</f>
        <v>9788132101024</v>
      </c>
      <c r="E5213" t="s">
        <v>1569</v>
      </c>
      <c r="F5213" t="s">
        <v>5273</v>
      </c>
      <c r="G5213" s="1">
        <v>39827</v>
      </c>
      <c r="H5213" s="1">
        <v>39892</v>
      </c>
      <c r="I5213" t="s">
        <v>12</v>
      </c>
      <c r="J5213" t="s">
        <v>15983</v>
      </c>
    </row>
    <row r="5214" spans="1:10" x14ac:dyDescent="0.25">
      <c r="A5214">
        <v>420855</v>
      </c>
      <c r="B5214" t="s">
        <v>5442</v>
      </c>
      <c r="C5214" t="str">
        <f>"9788178299358"</f>
        <v>9788178299358</v>
      </c>
      <c r="D5214" t="str">
        <f>"9788132101413"</f>
        <v>9788132101413</v>
      </c>
      <c r="E5214" t="s">
        <v>1569</v>
      </c>
      <c r="F5214" t="s">
        <v>5273</v>
      </c>
      <c r="G5214" s="1">
        <v>39889</v>
      </c>
      <c r="H5214" s="1">
        <v>39892</v>
      </c>
      <c r="I5214" t="s">
        <v>12</v>
      </c>
      <c r="J5214" t="s">
        <v>15984</v>
      </c>
    </row>
    <row r="5215" spans="1:10" x14ac:dyDescent="0.25">
      <c r="A5215">
        <v>420857</v>
      </c>
      <c r="B5215" t="s">
        <v>5443</v>
      </c>
      <c r="C5215" t="str">
        <f>"9788178299433"</f>
        <v>9788178299433</v>
      </c>
      <c r="D5215" t="str">
        <f>"9788132101048"</f>
        <v>9788132101048</v>
      </c>
      <c r="E5215" t="s">
        <v>5444</v>
      </c>
      <c r="F5215" t="s">
        <v>5444</v>
      </c>
      <c r="G5215" s="1">
        <v>39843</v>
      </c>
      <c r="H5215" s="1">
        <v>39892</v>
      </c>
      <c r="I5215" t="s">
        <v>12</v>
      </c>
      <c r="J5215" t="s">
        <v>15985</v>
      </c>
    </row>
    <row r="5216" spans="1:10" x14ac:dyDescent="0.25">
      <c r="A5216">
        <v>420865</v>
      </c>
      <c r="B5216" t="s">
        <v>5445</v>
      </c>
      <c r="C5216" t="str">
        <f>"9780761935612"</f>
        <v>9780761935612</v>
      </c>
      <c r="D5216" t="str">
        <f>"9788132101185"</f>
        <v>9788132101185</v>
      </c>
      <c r="E5216" t="s">
        <v>1569</v>
      </c>
      <c r="F5216" t="s">
        <v>5273</v>
      </c>
      <c r="G5216" s="1">
        <v>39148</v>
      </c>
      <c r="H5216" s="1">
        <v>39892</v>
      </c>
      <c r="I5216" t="s">
        <v>12</v>
      </c>
      <c r="J5216" t="s">
        <v>15986</v>
      </c>
    </row>
    <row r="5217" spans="1:10" x14ac:dyDescent="0.25">
      <c r="A5217">
        <v>420883</v>
      </c>
      <c r="B5217" t="s">
        <v>5446</v>
      </c>
      <c r="C5217" t="str">
        <f>"9781412900713"</f>
        <v>9781412900713</v>
      </c>
      <c r="D5217" t="str">
        <f>"9781849202817"</f>
        <v>9781849202817</v>
      </c>
      <c r="E5217" t="s">
        <v>1569</v>
      </c>
      <c r="F5217" t="s">
        <v>1570</v>
      </c>
      <c r="G5217" s="1">
        <v>39175</v>
      </c>
      <c r="H5217" s="1">
        <v>39892</v>
      </c>
      <c r="I5217" t="s">
        <v>12</v>
      </c>
      <c r="J5217" t="s">
        <v>15987</v>
      </c>
    </row>
    <row r="5218" spans="1:10" x14ac:dyDescent="0.25">
      <c r="A5218">
        <v>420884</v>
      </c>
      <c r="B5218" t="s">
        <v>5447</v>
      </c>
      <c r="C5218" t="str">
        <f>"9781412945134"</f>
        <v>9781412945134</v>
      </c>
      <c r="D5218" t="str">
        <f>"9781848600379"</f>
        <v>9781848600379</v>
      </c>
      <c r="E5218" t="s">
        <v>1569</v>
      </c>
      <c r="F5218" t="s">
        <v>1570</v>
      </c>
      <c r="G5218" s="1">
        <v>39868</v>
      </c>
      <c r="H5218" s="1">
        <v>39892</v>
      </c>
      <c r="I5218" t="s">
        <v>12</v>
      </c>
      <c r="J5218" t="s">
        <v>15988</v>
      </c>
    </row>
    <row r="5219" spans="1:10" x14ac:dyDescent="0.25">
      <c r="A5219">
        <v>420903</v>
      </c>
      <c r="B5219" t="s">
        <v>5448</v>
      </c>
      <c r="C5219" t="str">
        <f>"9781412948418"</f>
        <v>9781412948418</v>
      </c>
      <c r="D5219" t="str">
        <f>"9781849202343"</f>
        <v>9781849202343</v>
      </c>
      <c r="E5219" t="s">
        <v>1569</v>
      </c>
      <c r="F5219" t="s">
        <v>1570</v>
      </c>
      <c r="G5219" s="1">
        <v>39406</v>
      </c>
      <c r="H5219" s="1">
        <v>39892</v>
      </c>
      <c r="I5219" t="s">
        <v>12</v>
      </c>
      <c r="J5219" t="s">
        <v>15989</v>
      </c>
    </row>
    <row r="5220" spans="1:10" x14ac:dyDescent="0.25">
      <c r="A5220">
        <v>420914</v>
      </c>
      <c r="B5220" t="s">
        <v>5449</v>
      </c>
      <c r="C5220" t="str">
        <f>"9781412902014"</f>
        <v>9781412902014</v>
      </c>
      <c r="D5220" t="str">
        <f>"9781849202473"</f>
        <v>9781849202473</v>
      </c>
      <c r="E5220" t="s">
        <v>5450</v>
      </c>
      <c r="F5220" t="s">
        <v>5451</v>
      </c>
      <c r="G5220" s="1">
        <v>39326</v>
      </c>
      <c r="H5220" s="1">
        <v>39900</v>
      </c>
      <c r="I5220" t="s">
        <v>12</v>
      </c>
      <c r="J5220" t="s">
        <v>15990</v>
      </c>
    </row>
    <row r="5221" spans="1:10" x14ac:dyDescent="0.25">
      <c r="A5221">
        <v>420916</v>
      </c>
      <c r="B5221" t="s">
        <v>5452</v>
      </c>
      <c r="C5221" t="str">
        <f>"9781412935371"</f>
        <v>9781412935371</v>
      </c>
      <c r="D5221" t="str">
        <f>"9781849202497"</f>
        <v>9781849202497</v>
      </c>
      <c r="E5221" t="s">
        <v>1569</v>
      </c>
      <c r="F5221" t="s">
        <v>1570</v>
      </c>
      <c r="G5221" s="1">
        <v>39443</v>
      </c>
      <c r="H5221" s="1">
        <v>39892</v>
      </c>
      <c r="I5221" t="s">
        <v>12</v>
      </c>
      <c r="J5221" t="s">
        <v>15991</v>
      </c>
    </row>
    <row r="5222" spans="1:10" x14ac:dyDescent="0.25">
      <c r="A5222">
        <v>420942</v>
      </c>
      <c r="B5222" t="s">
        <v>5453</v>
      </c>
      <c r="C5222" t="str">
        <f>"9780761943754"</f>
        <v>9780761943754</v>
      </c>
      <c r="D5222" t="str">
        <f>"9781849202619"</f>
        <v>9781849202619</v>
      </c>
      <c r="E5222" t="s">
        <v>1569</v>
      </c>
      <c r="F5222" t="s">
        <v>1570</v>
      </c>
      <c r="G5222" s="1">
        <v>39604</v>
      </c>
      <c r="H5222" s="1">
        <v>39892</v>
      </c>
      <c r="I5222" t="s">
        <v>12</v>
      </c>
      <c r="J5222" t="s">
        <v>15992</v>
      </c>
    </row>
    <row r="5223" spans="1:10" x14ac:dyDescent="0.25">
      <c r="A5223">
        <v>420953</v>
      </c>
      <c r="B5223" t="s">
        <v>5454</v>
      </c>
      <c r="C5223" t="str">
        <f>"9781412910361"</f>
        <v>9781412910361</v>
      </c>
      <c r="D5223" t="str">
        <f>"9781849202787"</f>
        <v>9781849202787</v>
      </c>
      <c r="E5223" t="s">
        <v>1569</v>
      </c>
      <c r="F5223" t="s">
        <v>1570</v>
      </c>
      <c r="G5223" s="1">
        <v>38541</v>
      </c>
      <c r="H5223" s="1">
        <v>39892</v>
      </c>
      <c r="I5223" t="s">
        <v>12</v>
      </c>
      <c r="J5223" t="s">
        <v>15993</v>
      </c>
    </row>
    <row r="5224" spans="1:10" x14ac:dyDescent="0.25">
      <c r="A5224">
        <v>420956</v>
      </c>
      <c r="B5224" t="s">
        <v>5455</v>
      </c>
      <c r="C5224" t="str">
        <f>"9781412923903"</f>
        <v>9781412923903</v>
      </c>
      <c r="D5224" t="str">
        <f>"9781849202831"</f>
        <v>9781849202831</v>
      </c>
      <c r="E5224" t="s">
        <v>1569</v>
      </c>
      <c r="F5224" t="s">
        <v>1570</v>
      </c>
      <c r="G5224" s="1">
        <v>39423</v>
      </c>
      <c r="H5224" s="1">
        <v>39892</v>
      </c>
      <c r="I5224" t="s">
        <v>12</v>
      </c>
      <c r="J5224" t="s">
        <v>15994</v>
      </c>
    </row>
    <row r="5225" spans="1:10" x14ac:dyDescent="0.25">
      <c r="A5225">
        <v>420957</v>
      </c>
      <c r="B5225" t="s">
        <v>5456</v>
      </c>
      <c r="C5225" t="str">
        <f>"9781412934244"</f>
        <v>9781412934244</v>
      </c>
      <c r="D5225" t="str">
        <f>"9781849202848"</f>
        <v>9781849202848</v>
      </c>
      <c r="E5225" t="s">
        <v>1569</v>
      </c>
      <c r="F5225" t="s">
        <v>1570</v>
      </c>
      <c r="G5225" s="1">
        <v>39197</v>
      </c>
      <c r="H5225" s="1">
        <v>39892</v>
      </c>
      <c r="I5225" t="s">
        <v>12</v>
      </c>
      <c r="J5225" t="s">
        <v>15995</v>
      </c>
    </row>
    <row r="5226" spans="1:10" x14ac:dyDescent="0.25">
      <c r="A5226">
        <v>422371</v>
      </c>
      <c r="B5226" t="s">
        <v>5457</v>
      </c>
      <c r="C5226" t="str">
        <f>"9780199242931"</f>
        <v>9780199242931</v>
      </c>
      <c r="D5226" t="str">
        <f>"9780191514258"</f>
        <v>9780191514258</v>
      </c>
      <c r="E5226" t="s">
        <v>1133</v>
      </c>
      <c r="F5226" t="s">
        <v>1133</v>
      </c>
      <c r="G5226" s="1">
        <v>38330</v>
      </c>
      <c r="H5226" s="1">
        <v>39902</v>
      </c>
      <c r="I5226" t="s">
        <v>12</v>
      </c>
      <c r="J5226" t="s">
        <v>15996</v>
      </c>
    </row>
    <row r="5227" spans="1:10" x14ac:dyDescent="0.25">
      <c r="A5227">
        <v>422375</v>
      </c>
      <c r="B5227" t="s">
        <v>5458</v>
      </c>
      <c r="C5227" t="str">
        <f>"9780199246502"</f>
        <v>9780199246502</v>
      </c>
      <c r="D5227" t="str">
        <f>"9780191529870"</f>
        <v>9780191529870</v>
      </c>
      <c r="E5227" t="s">
        <v>1133</v>
      </c>
      <c r="F5227" t="s">
        <v>1133</v>
      </c>
      <c r="G5227" s="1">
        <v>38526</v>
      </c>
      <c r="H5227" s="1">
        <v>39902</v>
      </c>
      <c r="I5227" t="s">
        <v>12</v>
      </c>
      <c r="J5227" t="s">
        <v>15997</v>
      </c>
    </row>
    <row r="5228" spans="1:10" x14ac:dyDescent="0.25">
      <c r="A5228">
        <v>422407</v>
      </c>
      <c r="B5228" t="s">
        <v>5459</v>
      </c>
      <c r="C5228" t="str">
        <f>"9780199270040"</f>
        <v>9780199270040</v>
      </c>
      <c r="D5228" t="str">
        <f>"9780191556463"</f>
        <v>9780191556463</v>
      </c>
      <c r="E5228" t="s">
        <v>1133</v>
      </c>
      <c r="F5228" t="s">
        <v>1133</v>
      </c>
      <c r="G5228" s="1">
        <v>38694</v>
      </c>
      <c r="H5228" s="1">
        <v>39902</v>
      </c>
      <c r="I5228" t="s">
        <v>12</v>
      </c>
      <c r="J5228" t="s">
        <v>15998</v>
      </c>
    </row>
    <row r="5229" spans="1:10" x14ac:dyDescent="0.25">
      <c r="A5229">
        <v>422426</v>
      </c>
      <c r="B5229" t="s">
        <v>5460</v>
      </c>
      <c r="C5229" t="str">
        <f>"9780192840516"</f>
        <v>9780192840516</v>
      </c>
      <c r="D5229" t="str">
        <f>"9780191517907"</f>
        <v>9780191517907</v>
      </c>
      <c r="E5229" t="s">
        <v>1133</v>
      </c>
      <c r="F5229" t="s">
        <v>5309</v>
      </c>
      <c r="G5229" s="1">
        <v>38666</v>
      </c>
      <c r="H5229" s="1">
        <v>39901</v>
      </c>
      <c r="I5229" t="s">
        <v>12</v>
      </c>
      <c r="J5229" t="s">
        <v>15999</v>
      </c>
    </row>
    <row r="5230" spans="1:10" x14ac:dyDescent="0.25">
      <c r="A5230">
        <v>422432</v>
      </c>
      <c r="B5230" t="s">
        <v>5461</v>
      </c>
      <c r="C5230" t="str">
        <f>"9780199277445"</f>
        <v>9780199277445</v>
      </c>
      <c r="D5230" t="str">
        <f>"9780191515408"</f>
        <v>9780191515408</v>
      </c>
      <c r="E5230" t="s">
        <v>1133</v>
      </c>
      <c r="F5230" t="s">
        <v>1133</v>
      </c>
      <c r="G5230" s="1">
        <v>38729</v>
      </c>
      <c r="H5230" s="1">
        <v>39902</v>
      </c>
      <c r="I5230" t="s">
        <v>12</v>
      </c>
      <c r="J5230" t="s">
        <v>16000</v>
      </c>
    </row>
    <row r="5231" spans="1:10" x14ac:dyDescent="0.25">
      <c r="A5231">
        <v>422440</v>
      </c>
      <c r="B5231" t="s">
        <v>5462</v>
      </c>
      <c r="C5231" t="str">
        <f>"9780199276813"</f>
        <v>9780199276813</v>
      </c>
      <c r="D5231" t="str">
        <f>"9780191515378"</f>
        <v>9780191515378</v>
      </c>
      <c r="E5231" t="s">
        <v>1133</v>
      </c>
      <c r="F5231" t="s">
        <v>1133</v>
      </c>
      <c r="G5231" s="1">
        <v>38645</v>
      </c>
      <c r="H5231" s="1">
        <v>39902</v>
      </c>
      <c r="I5231" t="s">
        <v>12</v>
      </c>
      <c r="J5231" t="s">
        <v>16001</v>
      </c>
    </row>
    <row r="5232" spans="1:10" x14ac:dyDescent="0.25">
      <c r="A5232">
        <v>422453</v>
      </c>
      <c r="B5232" t="s">
        <v>5463</v>
      </c>
      <c r="C5232" t="str">
        <f>"9780199275557"</f>
        <v>9780199275557</v>
      </c>
      <c r="D5232" t="str">
        <f>"9780191515293"</f>
        <v>9780191515293</v>
      </c>
      <c r="E5232" t="s">
        <v>1133</v>
      </c>
      <c r="F5232" t="s">
        <v>1133</v>
      </c>
      <c r="G5232" s="1">
        <v>38764</v>
      </c>
      <c r="H5232" s="1">
        <v>39902</v>
      </c>
      <c r="I5232" t="s">
        <v>12</v>
      </c>
      <c r="J5232" t="s">
        <v>16002</v>
      </c>
    </row>
    <row r="5233" spans="1:10" x14ac:dyDescent="0.25">
      <c r="A5233">
        <v>422492</v>
      </c>
      <c r="B5233" t="s">
        <v>5464</v>
      </c>
      <c r="C5233" t="str">
        <f>"9780195156102"</f>
        <v>9780195156102</v>
      </c>
      <c r="D5233" t="str">
        <f>"9780198035480"</f>
        <v>9780198035480</v>
      </c>
      <c r="E5233" t="s">
        <v>1270</v>
      </c>
      <c r="F5233" t="s">
        <v>1270</v>
      </c>
      <c r="G5233" s="1">
        <v>38372</v>
      </c>
      <c r="H5233" s="1">
        <v>39902</v>
      </c>
      <c r="I5233" t="s">
        <v>12</v>
      </c>
      <c r="J5233" t="s">
        <v>16003</v>
      </c>
    </row>
    <row r="5234" spans="1:10" x14ac:dyDescent="0.25">
      <c r="A5234">
        <v>422522</v>
      </c>
      <c r="B5234" t="s">
        <v>5465</v>
      </c>
      <c r="C5234" t="str">
        <f>"9780192805850"</f>
        <v>9780192805850</v>
      </c>
      <c r="D5234" t="str">
        <f>"9780191517303"</f>
        <v>9780191517303</v>
      </c>
      <c r="E5234" t="s">
        <v>1133</v>
      </c>
      <c r="F5234" t="s">
        <v>5309</v>
      </c>
      <c r="G5234" s="1">
        <v>38435</v>
      </c>
      <c r="H5234" s="1">
        <v>39901</v>
      </c>
      <c r="I5234" t="s">
        <v>12</v>
      </c>
      <c r="J5234" t="s">
        <v>16004</v>
      </c>
    </row>
    <row r="5235" spans="1:10" x14ac:dyDescent="0.25">
      <c r="A5235">
        <v>422525</v>
      </c>
      <c r="B5235" t="s">
        <v>5466</v>
      </c>
      <c r="C5235" t="str">
        <f>"9780199253715"</f>
        <v>9780199253715</v>
      </c>
      <c r="D5235" t="str">
        <f>"9780191531095"</f>
        <v>9780191531095</v>
      </c>
      <c r="E5235" t="s">
        <v>1268</v>
      </c>
      <c r="F5235" t="s">
        <v>1268</v>
      </c>
      <c r="G5235" s="1">
        <v>38694</v>
      </c>
      <c r="H5235" s="1">
        <v>39902</v>
      </c>
      <c r="I5235" t="s">
        <v>12</v>
      </c>
      <c r="J5235" t="s">
        <v>16005</v>
      </c>
    </row>
    <row r="5236" spans="1:10" x14ac:dyDescent="0.25">
      <c r="A5236">
        <v>422526</v>
      </c>
      <c r="B5236" t="s">
        <v>5467</v>
      </c>
      <c r="C5236" t="str">
        <f>"9780199258475"</f>
        <v>9780199258475</v>
      </c>
      <c r="D5236" t="str">
        <f>"9780191531699"</f>
        <v>9780191531699</v>
      </c>
      <c r="E5236" t="s">
        <v>1270</v>
      </c>
      <c r="F5236" t="s">
        <v>5309</v>
      </c>
      <c r="G5236" s="1">
        <v>38232</v>
      </c>
      <c r="H5236" s="1">
        <v>39902</v>
      </c>
      <c r="I5236" t="s">
        <v>12</v>
      </c>
      <c r="J5236" t="s">
        <v>16006</v>
      </c>
    </row>
    <row r="5237" spans="1:10" x14ac:dyDescent="0.25">
      <c r="A5237">
        <v>422556</v>
      </c>
      <c r="B5237" t="s">
        <v>5468</v>
      </c>
      <c r="C5237" t="str">
        <f>"9780199247400"</f>
        <v>9780199247400</v>
      </c>
      <c r="D5237" t="str">
        <f>"9780191530043"</f>
        <v>9780191530043</v>
      </c>
      <c r="E5237" t="s">
        <v>1270</v>
      </c>
      <c r="F5237" t="s">
        <v>1270</v>
      </c>
      <c r="G5237" s="1">
        <v>38596</v>
      </c>
      <c r="H5237" s="1">
        <v>39902</v>
      </c>
      <c r="I5237" t="s">
        <v>12</v>
      </c>
      <c r="J5237" t="s">
        <v>16007</v>
      </c>
    </row>
    <row r="5238" spans="1:10" x14ac:dyDescent="0.25">
      <c r="A5238">
        <v>422562</v>
      </c>
      <c r="B5238" t="s">
        <v>5469</v>
      </c>
      <c r="C5238" t="str">
        <f>"9780199249930"</f>
        <v>9780199249930</v>
      </c>
      <c r="D5238" t="str">
        <f>"9780191514371"</f>
        <v>9780191514371</v>
      </c>
      <c r="E5238" t="s">
        <v>1133</v>
      </c>
      <c r="F5238" t="s">
        <v>1133</v>
      </c>
      <c r="G5238" s="1">
        <v>38344</v>
      </c>
      <c r="H5238" s="1">
        <v>39902</v>
      </c>
      <c r="I5238" t="s">
        <v>12</v>
      </c>
      <c r="J5238" t="s">
        <v>16008</v>
      </c>
    </row>
    <row r="5239" spans="1:10" x14ac:dyDescent="0.25">
      <c r="A5239">
        <v>422569</v>
      </c>
      <c r="B5239" t="s">
        <v>5470</v>
      </c>
      <c r="C5239" t="str">
        <f>"9780192840950"</f>
        <v>9780192840950</v>
      </c>
      <c r="D5239" t="str">
        <f>"9780191517983"</f>
        <v>9780191517983</v>
      </c>
      <c r="E5239" t="s">
        <v>1133</v>
      </c>
      <c r="F5239" t="s">
        <v>5309</v>
      </c>
      <c r="G5239" s="1">
        <v>38498</v>
      </c>
      <c r="H5239" s="1">
        <v>39901</v>
      </c>
      <c r="I5239" t="s">
        <v>12</v>
      </c>
      <c r="J5239" t="s">
        <v>16009</v>
      </c>
    </row>
    <row r="5240" spans="1:10" x14ac:dyDescent="0.25">
      <c r="A5240">
        <v>422580</v>
      </c>
      <c r="B5240" t="s">
        <v>5471</v>
      </c>
      <c r="C5240" t="str">
        <f>"9780199277971"</f>
        <v>9780199277971</v>
      </c>
      <c r="D5240" t="str">
        <f>"9780191515477"</f>
        <v>9780191515477</v>
      </c>
      <c r="E5240" t="s">
        <v>1133</v>
      </c>
      <c r="F5240" t="s">
        <v>1133</v>
      </c>
      <c r="G5240" s="1">
        <v>38505</v>
      </c>
      <c r="H5240" s="1">
        <v>39902</v>
      </c>
      <c r="I5240" t="s">
        <v>12</v>
      </c>
      <c r="J5240" t="s">
        <v>16010</v>
      </c>
    </row>
    <row r="5241" spans="1:10" x14ac:dyDescent="0.25">
      <c r="A5241">
        <v>422592</v>
      </c>
      <c r="B5241" t="s">
        <v>5472</v>
      </c>
      <c r="C5241" t="str">
        <f>"9780199248025"</f>
        <v>9780199248025</v>
      </c>
      <c r="D5241" t="str">
        <f>"9780191554452"</f>
        <v>9780191554452</v>
      </c>
      <c r="E5241" t="s">
        <v>1133</v>
      </c>
      <c r="F5241" t="s">
        <v>1133</v>
      </c>
      <c r="G5241" s="1">
        <v>38470</v>
      </c>
      <c r="H5241" s="1">
        <v>39902</v>
      </c>
      <c r="I5241" t="s">
        <v>12</v>
      </c>
      <c r="J5241" t="s">
        <v>16011</v>
      </c>
    </row>
    <row r="5242" spans="1:10" x14ac:dyDescent="0.25">
      <c r="A5242">
        <v>422593</v>
      </c>
      <c r="B5242" t="s">
        <v>5473</v>
      </c>
      <c r="C5242" t="str">
        <f>"9780192805577"</f>
        <v>9780192805577</v>
      </c>
      <c r="D5242" t="str">
        <f>"9780191517181"</f>
        <v>9780191517181</v>
      </c>
      <c r="E5242" t="s">
        <v>1133</v>
      </c>
      <c r="F5242" t="s">
        <v>5309</v>
      </c>
      <c r="G5242" s="1">
        <v>38435</v>
      </c>
      <c r="H5242" s="1">
        <v>39901</v>
      </c>
      <c r="I5242" t="s">
        <v>12</v>
      </c>
      <c r="J5242" t="s">
        <v>16012</v>
      </c>
    </row>
    <row r="5243" spans="1:10" x14ac:dyDescent="0.25">
      <c r="A5243">
        <v>422600</v>
      </c>
      <c r="B5243" t="s">
        <v>5474</v>
      </c>
      <c r="C5243" t="str">
        <f>"9780199252688"</f>
        <v>9780199252688</v>
      </c>
      <c r="D5243" t="str">
        <f>"9780191514425"</f>
        <v>9780191514425</v>
      </c>
      <c r="E5243" t="s">
        <v>1270</v>
      </c>
      <c r="F5243" t="s">
        <v>1270</v>
      </c>
      <c r="G5243" s="1">
        <v>38365</v>
      </c>
      <c r="H5243" s="1">
        <v>39902</v>
      </c>
      <c r="I5243" t="s">
        <v>12</v>
      </c>
      <c r="J5243" t="s">
        <v>16013</v>
      </c>
    </row>
    <row r="5244" spans="1:10" x14ac:dyDescent="0.25">
      <c r="A5244">
        <v>422635</v>
      </c>
      <c r="B5244" t="s">
        <v>5475</v>
      </c>
      <c r="C5244" t="str">
        <f>"9780192804570"</f>
        <v>9780192804570</v>
      </c>
      <c r="D5244" t="str">
        <f>"9780191516931"</f>
        <v>9780191516931</v>
      </c>
      <c r="E5244" t="s">
        <v>1133</v>
      </c>
      <c r="F5244" t="s">
        <v>5309</v>
      </c>
      <c r="G5244" s="1">
        <v>38526</v>
      </c>
      <c r="H5244" s="1">
        <v>39901</v>
      </c>
      <c r="I5244" t="s">
        <v>12</v>
      </c>
      <c r="J5244" t="s">
        <v>16014</v>
      </c>
    </row>
    <row r="5245" spans="1:10" x14ac:dyDescent="0.25">
      <c r="A5245">
        <v>422637</v>
      </c>
      <c r="B5245" t="s">
        <v>5476</v>
      </c>
      <c r="C5245" t="str">
        <f>"9780199289929"</f>
        <v>9780199289929</v>
      </c>
      <c r="D5245" t="str">
        <f>"9780191516122"</f>
        <v>9780191516122</v>
      </c>
      <c r="E5245" t="s">
        <v>1270</v>
      </c>
      <c r="F5245" t="s">
        <v>1270</v>
      </c>
      <c r="G5245" s="1">
        <v>38715</v>
      </c>
      <c r="H5245" s="1">
        <v>39902</v>
      </c>
      <c r="I5245" t="s">
        <v>12</v>
      </c>
      <c r="J5245" t="s">
        <v>16015</v>
      </c>
    </row>
    <row r="5246" spans="1:10" x14ac:dyDescent="0.25">
      <c r="A5246">
        <v>422656</v>
      </c>
      <c r="B5246" t="s">
        <v>5477</v>
      </c>
      <c r="C5246" t="str">
        <f>"9780199273706"</f>
        <v>9780199273706</v>
      </c>
      <c r="D5246" t="str">
        <f>"9780191515200"</f>
        <v>9780191515200</v>
      </c>
      <c r="E5246" t="s">
        <v>1270</v>
      </c>
      <c r="F5246" t="s">
        <v>5302</v>
      </c>
      <c r="G5246" s="1">
        <v>38267</v>
      </c>
      <c r="H5246" s="1">
        <v>39902</v>
      </c>
      <c r="I5246" t="s">
        <v>12</v>
      </c>
      <c r="J5246" t="s">
        <v>16016</v>
      </c>
    </row>
    <row r="5247" spans="1:10" x14ac:dyDescent="0.25">
      <c r="A5247">
        <v>422665</v>
      </c>
      <c r="B5247" t="s">
        <v>5478</v>
      </c>
      <c r="C5247" t="str">
        <f>"9780195383300"</f>
        <v>9780195383300</v>
      </c>
      <c r="D5247" t="str">
        <f>"9780198036555"</f>
        <v>9780198036555</v>
      </c>
      <c r="E5247" t="s">
        <v>1268</v>
      </c>
      <c r="F5247" t="s">
        <v>1268</v>
      </c>
      <c r="G5247" s="1">
        <v>38610</v>
      </c>
      <c r="H5247" s="1">
        <v>39902</v>
      </c>
      <c r="I5247" t="s">
        <v>12</v>
      </c>
      <c r="J5247" t="s">
        <v>16017</v>
      </c>
    </row>
    <row r="5248" spans="1:10" x14ac:dyDescent="0.25">
      <c r="A5248">
        <v>422693</v>
      </c>
      <c r="B5248" t="s">
        <v>5479</v>
      </c>
      <c r="C5248" t="str">
        <f>"9780199264841"</f>
        <v>9780199264841</v>
      </c>
      <c r="D5248" t="str">
        <f>"9780191532672"</f>
        <v>9780191532672</v>
      </c>
      <c r="E5248" t="s">
        <v>1270</v>
      </c>
      <c r="F5248" t="s">
        <v>1270</v>
      </c>
      <c r="G5248" s="1">
        <v>39767</v>
      </c>
      <c r="H5248" s="1">
        <v>39902</v>
      </c>
      <c r="I5248" t="s">
        <v>12</v>
      </c>
      <c r="J5248" t="s">
        <v>16018</v>
      </c>
    </row>
    <row r="5249" spans="1:10" x14ac:dyDescent="0.25">
      <c r="A5249">
        <v>422697</v>
      </c>
      <c r="B5249" t="s">
        <v>5480</v>
      </c>
      <c r="C5249" t="str">
        <f>"9780199261017"</f>
        <v>9780199261017</v>
      </c>
      <c r="D5249" t="str">
        <f>"9780191532030"</f>
        <v>9780191532030</v>
      </c>
      <c r="E5249" t="s">
        <v>1268</v>
      </c>
      <c r="F5249" t="s">
        <v>1268</v>
      </c>
      <c r="G5249" s="1">
        <v>38694</v>
      </c>
      <c r="H5249" s="1">
        <v>39902</v>
      </c>
      <c r="I5249" t="s">
        <v>12</v>
      </c>
      <c r="J5249" t="s">
        <v>16019</v>
      </c>
    </row>
    <row r="5250" spans="1:10" x14ac:dyDescent="0.25">
      <c r="A5250">
        <v>422701</v>
      </c>
      <c r="B5250" t="s">
        <v>5481</v>
      </c>
      <c r="C5250" t="str">
        <f>"9780192802354"</f>
        <v>9780192802354</v>
      </c>
      <c r="D5250" t="str">
        <f>"9780191516573"</f>
        <v>9780191516573</v>
      </c>
      <c r="E5250" t="s">
        <v>1133</v>
      </c>
      <c r="F5250" t="s">
        <v>5309</v>
      </c>
      <c r="G5250" s="1">
        <v>38575</v>
      </c>
      <c r="H5250" s="1">
        <v>39901</v>
      </c>
      <c r="I5250" t="s">
        <v>12</v>
      </c>
      <c r="J5250" t="s">
        <v>16020</v>
      </c>
    </row>
    <row r="5251" spans="1:10" x14ac:dyDescent="0.25">
      <c r="A5251">
        <v>422714</v>
      </c>
      <c r="B5251" t="s">
        <v>5482</v>
      </c>
      <c r="C5251" t="str">
        <f>"9780198711988"</f>
        <v>9780198711988</v>
      </c>
      <c r="D5251" t="str">
        <f>"9780191513916"</f>
        <v>9780191513916</v>
      </c>
      <c r="E5251" t="s">
        <v>1133</v>
      </c>
      <c r="F5251" t="s">
        <v>1133</v>
      </c>
      <c r="G5251" s="1">
        <v>38568</v>
      </c>
      <c r="H5251" s="1">
        <v>39902</v>
      </c>
      <c r="I5251" t="s">
        <v>12</v>
      </c>
      <c r="J5251" t="s">
        <v>16021</v>
      </c>
    </row>
    <row r="5252" spans="1:10" x14ac:dyDescent="0.25">
      <c r="A5252">
        <v>422718</v>
      </c>
      <c r="B5252" t="s">
        <v>5483</v>
      </c>
      <c r="C5252" t="str">
        <f>"9780199284115"</f>
        <v>9780199284115</v>
      </c>
      <c r="D5252" t="str">
        <f>"9780191536328"</f>
        <v>9780191536328</v>
      </c>
      <c r="E5252" t="s">
        <v>1270</v>
      </c>
      <c r="F5252" t="s">
        <v>1270</v>
      </c>
      <c r="G5252" s="1">
        <v>38834</v>
      </c>
      <c r="H5252" s="1">
        <v>39902</v>
      </c>
      <c r="I5252" t="s">
        <v>12</v>
      </c>
      <c r="J5252" t="s">
        <v>16022</v>
      </c>
    </row>
    <row r="5253" spans="1:10" x14ac:dyDescent="0.25">
      <c r="A5253">
        <v>422724</v>
      </c>
      <c r="B5253" t="s">
        <v>5484</v>
      </c>
      <c r="C5253" t="str">
        <f>"9780192804556"</f>
        <v>9780192804556</v>
      </c>
      <c r="D5253" t="str">
        <f>"9780191516924"</f>
        <v>9780191516924</v>
      </c>
      <c r="E5253" t="s">
        <v>1133</v>
      </c>
      <c r="F5253" t="s">
        <v>5309</v>
      </c>
      <c r="G5253" s="1">
        <v>38288</v>
      </c>
      <c r="H5253" s="1">
        <v>39901</v>
      </c>
      <c r="I5253" t="s">
        <v>12</v>
      </c>
      <c r="J5253" t="s">
        <v>16023</v>
      </c>
    </row>
    <row r="5254" spans="1:10" x14ac:dyDescent="0.25">
      <c r="A5254">
        <v>422728</v>
      </c>
      <c r="B5254" t="s">
        <v>5485</v>
      </c>
      <c r="C5254" t="str">
        <f>"9780198250456"</f>
        <v>9780198250456</v>
      </c>
      <c r="D5254" t="str">
        <f>"9780191513480"</f>
        <v>9780191513480</v>
      </c>
      <c r="E5254" t="s">
        <v>1270</v>
      </c>
      <c r="F5254" t="s">
        <v>5302</v>
      </c>
      <c r="G5254" s="1">
        <v>38148</v>
      </c>
      <c r="H5254" s="1">
        <v>39902</v>
      </c>
      <c r="I5254" t="s">
        <v>12</v>
      </c>
      <c r="J5254" t="s">
        <v>16024</v>
      </c>
    </row>
    <row r="5255" spans="1:10" x14ac:dyDescent="0.25">
      <c r="A5255">
        <v>422746</v>
      </c>
      <c r="B5255" t="s">
        <v>5486</v>
      </c>
      <c r="C5255" t="str">
        <f>"9780192806468"</f>
        <v>9780192806468</v>
      </c>
      <c r="D5255" t="str">
        <f>"9780191517488"</f>
        <v>9780191517488</v>
      </c>
      <c r="E5255" t="s">
        <v>1133</v>
      </c>
      <c r="F5255" t="s">
        <v>5309</v>
      </c>
      <c r="G5255" s="1">
        <v>38799</v>
      </c>
      <c r="H5255" s="1">
        <v>39901</v>
      </c>
      <c r="I5255" t="s">
        <v>12</v>
      </c>
      <c r="J5255" t="s">
        <v>16025</v>
      </c>
    </row>
    <row r="5256" spans="1:10" x14ac:dyDescent="0.25">
      <c r="A5256">
        <v>422747</v>
      </c>
      <c r="B5256" t="s">
        <v>5487</v>
      </c>
      <c r="C5256" t="str">
        <f>"9780192801654"</f>
        <v>9780192801654</v>
      </c>
      <c r="D5256" t="str">
        <f>"9780191516542"</f>
        <v>9780191516542</v>
      </c>
      <c r="E5256" t="s">
        <v>1133</v>
      </c>
      <c r="F5256" t="s">
        <v>5309</v>
      </c>
      <c r="G5256" s="1">
        <v>38267</v>
      </c>
      <c r="H5256" s="1">
        <v>39901</v>
      </c>
      <c r="I5256" t="s">
        <v>12</v>
      </c>
      <c r="J5256" t="s">
        <v>16026</v>
      </c>
    </row>
    <row r="5257" spans="1:10" x14ac:dyDescent="0.25">
      <c r="A5257">
        <v>422758</v>
      </c>
      <c r="B5257" t="s">
        <v>5488</v>
      </c>
      <c r="C5257" t="str">
        <f>"9780199251513"</f>
        <v>9780199251513</v>
      </c>
      <c r="D5257" t="str">
        <f>"9780191514395"</f>
        <v>9780191514395</v>
      </c>
      <c r="E5257" t="s">
        <v>1270</v>
      </c>
      <c r="F5257" t="s">
        <v>5302</v>
      </c>
      <c r="G5257" s="1">
        <v>38407</v>
      </c>
      <c r="H5257" s="1">
        <v>39902</v>
      </c>
      <c r="I5257" t="s">
        <v>12</v>
      </c>
      <c r="J5257" t="s">
        <v>16027</v>
      </c>
    </row>
    <row r="5258" spans="1:10" x14ac:dyDescent="0.25">
      <c r="A5258">
        <v>422772</v>
      </c>
      <c r="B5258" t="s">
        <v>5489</v>
      </c>
      <c r="C5258" t="str">
        <f>"9780199273843"</f>
        <v>9780199273843</v>
      </c>
      <c r="D5258" t="str">
        <f>"9780191515217"</f>
        <v>9780191515217</v>
      </c>
      <c r="E5258" t="s">
        <v>1270</v>
      </c>
      <c r="F5258" t="s">
        <v>1270</v>
      </c>
      <c r="G5258" s="1">
        <v>38575</v>
      </c>
      <c r="H5258" s="1">
        <v>39902</v>
      </c>
      <c r="I5258" t="s">
        <v>12</v>
      </c>
      <c r="J5258" t="s">
        <v>16028</v>
      </c>
    </row>
    <row r="5259" spans="1:10" x14ac:dyDescent="0.25">
      <c r="A5259">
        <v>422785</v>
      </c>
      <c r="B5259" t="s">
        <v>5490</v>
      </c>
      <c r="C5259" t="str">
        <f>"9780192802347"</f>
        <v>9780192802347</v>
      </c>
      <c r="D5259" t="str">
        <f>"9780191516566"</f>
        <v>9780191516566</v>
      </c>
      <c r="E5259" t="s">
        <v>1268</v>
      </c>
      <c r="F5259" t="s">
        <v>1268</v>
      </c>
      <c r="G5259" s="1">
        <v>38365</v>
      </c>
      <c r="H5259" s="1">
        <v>39901</v>
      </c>
      <c r="I5259" t="s">
        <v>12</v>
      </c>
      <c r="J5259" t="s">
        <v>16029</v>
      </c>
    </row>
    <row r="5260" spans="1:10" x14ac:dyDescent="0.25">
      <c r="A5260">
        <v>422806</v>
      </c>
      <c r="B5260" t="s">
        <v>5491</v>
      </c>
      <c r="C5260" t="str">
        <f>"9780199291182"</f>
        <v>9780199291182</v>
      </c>
      <c r="D5260" t="str">
        <f>"9780191516221"</f>
        <v>9780191516221</v>
      </c>
      <c r="E5260" t="s">
        <v>1133</v>
      </c>
      <c r="F5260" t="s">
        <v>1133</v>
      </c>
      <c r="G5260" s="1">
        <v>37945</v>
      </c>
      <c r="H5260" s="1">
        <v>39902</v>
      </c>
      <c r="I5260" t="s">
        <v>12</v>
      </c>
      <c r="J5260" t="s">
        <v>16030</v>
      </c>
    </row>
    <row r="5261" spans="1:10" x14ac:dyDescent="0.25">
      <c r="A5261">
        <v>422815</v>
      </c>
      <c r="B5261" t="s">
        <v>5492</v>
      </c>
      <c r="C5261" t="str">
        <f>"9780199281879"</f>
        <v>9780199281879</v>
      </c>
      <c r="D5261" t="str">
        <f>"9780191535994"</f>
        <v>9780191535994</v>
      </c>
      <c r="E5261" t="s">
        <v>1270</v>
      </c>
      <c r="F5261" t="s">
        <v>1270</v>
      </c>
      <c r="G5261" s="1">
        <v>38575</v>
      </c>
      <c r="H5261" s="1">
        <v>39902</v>
      </c>
      <c r="I5261" t="s">
        <v>12</v>
      </c>
      <c r="J5261" t="s">
        <v>16031</v>
      </c>
    </row>
    <row r="5262" spans="1:10" x14ac:dyDescent="0.25">
      <c r="A5262">
        <v>422816</v>
      </c>
      <c r="B5262" t="s">
        <v>5493</v>
      </c>
      <c r="C5262" t="str">
        <f>"9780199268092"</f>
        <v>9780199268092</v>
      </c>
      <c r="D5262" t="str">
        <f>"9780191514944"</f>
        <v>9780191514944</v>
      </c>
      <c r="E5262" t="s">
        <v>1270</v>
      </c>
      <c r="F5262" t="s">
        <v>1270</v>
      </c>
      <c r="G5262" s="1">
        <v>38610</v>
      </c>
      <c r="H5262" s="1">
        <v>39902</v>
      </c>
      <c r="I5262" t="s">
        <v>12</v>
      </c>
      <c r="J5262" t="s">
        <v>16032</v>
      </c>
    </row>
    <row r="5263" spans="1:10" x14ac:dyDescent="0.25">
      <c r="A5263">
        <v>422845</v>
      </c>
      <c r="B5263" t="s">
        <v>5494</v>
      </c>
      <c r="C5263" t="str">
        <f>"9780199264339"</f>
        <v>9780199264339</v>
      </c>
      <c r="D5263" t="str">
        <f>"9780191514708"</f>
        <v>9780191514708</v>
      </c>
      <c r="E5263" t="s">
        <v>1270</v>
      </c>
      <c r="F5263" t="s">
        <v>1270</v>
      </c>
      <c r="G5263" s="1">
        <v>38400</v>
      </c>
      <c r="H5263" s="1">
        <v>39902</v>
      </c>
      <c r="I5263" t="s">
        <v>12</v>
      </c>
      <c r="J5263" t="s">
        <v>16033</v>
      </c>
    </row>
    <row r="5264" spans="1:10" x14ac:dyDescent="0.25">
      <c r="A5264">
        <v>422846</v>
      </c>
      <c r="B5264" t="s">
        <v>5495</v>
      </c>
      <c r="C5264" t="str">
        <f>"9780199278466"</f>
        <v>9780199278466</v>
      </c>
      <c r="D5264" t="str">
        <f>"9780191515514"</f>
        <v>9780191515514</v>
      </c>
      <c r="E5264" t="s">
        <v>1270</v>
      </c>
      <c r="F5264" t="s">
        <v>1270</v>
      </c>
      <c r="G5264" s="1">
        <v>37721</v>
      </c>
      <c r="H5264" s="1">
        <v>39902</v>
      </c>
      <c r="I5264" t="s">
        <v>12</v>
      </c>
      <c r="J5264" t="s">
        <v>16034</v>
      </c>
    </row>
    <row r="5265" spans="1:10" x14ac:dyDescent="0.25">
      <c r="A5265">
        <v>422860</v>
      </c>
      <c r="B5265" t="s">
        <v>5496</v>
      </c>
      <c r="C5265" t="str">
        <f>"9780199279401"</f>
        <v>9780199279401</v>
      </c>
      <c r="D5265" t="str">
        <f>"9780191535451"</f>
        <v>9780191535451</v>
      </c>
      <c r="E5265" t="s">
        <v>1268</v>
      </c>
      <c r="F5265" t="s">
        <v>1268</v>
      </c>
      <c r="G5265" s="1">
        <v>39219</v>
      </c>
      <c r="H5265" s="1">
        <v>39902</v>
      </c>
      <c r="I5265" t="s">
        <v>12</v>
      </c>
      <c r="J5265" t="s">
        <v>16035</v>
      </c>
    </row>
    <row r="5266" spans="1:10" x14ac:dyDescent="0.25">
      <c r="A5266">
        <v>422879</v>
      </c>
      <c r="B5266" t="s">
        <v>5497</v>
      </c>
      <c r="C5266" t="str">
        <f>"9780199264025"</f>
        <v>9780199264025</v>
      </c>
      <c r="D5266" t="str">
        <f>"9780191532573"</f>
        <v>9780191532573</v>
      </c>
      <c r="E5266" t="s">
        <v>1133</v>
      </c>
      <c r="F5266" t="s">
        <v>1133</v>
      </c>
      <c r="G5266" s="1">
        <v>38645</v>
      </c>
      <c r="H5266" s="1">
        <v>40082</v>
      </c>
      <c r="I5266" t="s">
        <v>12</v>
      </c>
      <c r="J5266" t="s">
        <v>16036</v>
      </c>
    </row>
    <row r="5267" spans="1:10" x14ac:dyDescent="0.25">
      <c r="A5267">
        <v>422893</v>
      </c>
      <c r="B5267" t="s">
        <v>5498</v>
      </c>
      <c r="C5267" t="str">
        <f>"9780199279104"</f>
        <v>9780199279104</v>
      </c>
      <c r="D5267" t="str">
        <f>"9780191515569"</f>
        <v>9780191515569</v>
      </c>
      <c r="E5267" t="s">
        <v>1270</v>
      </c>
      <c r="F5267" t="s">
        <v>1270</v>
      </c>
      <c r="G5267" s="1">
        <v>38015</v>
      </c>
      <c r="H5267" s="1">
        <v>39902</v>
      </c>
      <c r="I5267" t="s">
        <v>12</v>
      </c>
      <c r="J5267" t="s">
        <v>16037</v>
      </c>
    </row>
    <row r="5268" spans="1:10" x14ac:dyDescent="0.25">
      <c r="A5268">
        <v>422934</v>
      </c>
      <c r="B5268" t="s">
        <v>5499</v>
      </c>
      <c r="C5268" t="str">
        <f>"9780199273911"</f>
        <v>9780199273911</v>
      </c>
      <c r="D5268" t="str">
        <f>"9780191567292"</f>
        <v>9780191567292</v>
      </c>
      <c r="E5268" t="s">
        <v>1133</v>
      </c>
      <c r="F5268" t="s">
        <v>5309</v>
      </c>
      <c r="G5268" s="1">
        <v>38322</v>
      </c>
      <c r="H5268" s="1">
        <v>40082</v>
      </c>
      <c r="I5268" t="s">
        <v>12</v>
      </c>
      <c r="J5268" t="s">
        <v>16038</v>
      </c>
    </row>
    <row r="5269" spans="1:10" x14ac:dyDescent="0.25">
      <c r="A5269">
        <v>423112</v>
      </c>
      <c r="B5269" t="s">
        <v>5500</v>
      </c>
      <c r="C5269" t="str">
        <f>"9781556527241"</f>
        <v>9781556527241</v>
      </c>
      <c r="D5269" t="str">
        <f>"9781569762424"</f>
        <v>9781569762424</v>
      </c>
      <c r="E5269" t="s">
        <v>3090</v>
      </c>
      <c r="F5269" t="s">
        <v>3090</v>
      </c>
      <c r="G5269" s="1">
        <v>39845</v>
      </c>
      <c r="H5269" s="1">
        <v>39906</v>
      </c>
      <c r="I5269" t="s">
        <v>12</v>
      </c>
      <c r="J5269" t="s">
        <v>16039</v>
      </c>
    </row>
    <row r="5270" spans="1:10" x14ac:dyDescent="0.25">
      <c r="A5270">
        <v>423160</v>
      </c>
      <c r="B5270" t="s">
        <v>5501</v>
      </c>
      <c r="C5270" t="str">
        <f>"9780833046673"</f>
        <v>9780833046673</v>
      </c>
      <c r="D5270" t="str">
        <f>"9780833046819"</f>
        <v>9780833046819</v>
      </c>
      <c r="E5270" t="s">
        <v>1063</v>
      </c>
      <c r="F5270" t="s">
        <v>1064</v>
      </c>
      <c r="G5270" s="1">
        <v>39836</v>
      </c>
      <c r="H5270" s="1">
        <v>39906</v>
      </c>
      <c r="I5270" t="s">
        <v>12</v>
      </c>
      <c r="J5270" t="s">
        <v>16040</v>
      </c>
    </row>
    <row r="5271" spans="1:10" x14ac:dyDescent="0.25">
      <c r="A5271">
        <v>423162</v>
      </c>
      <c r="B5271" t="s">
        <v>5502</v>
      </c>
      <c r="C5271" t="str">
        <f>"9780833044587"</f>
        <v>9780833044587</v>
      </c>
      <c r="D5271" t="str">
        <f>"9780833046383"</f>
        <v>9780833046383</v>
      </c>
      <c r="E5271" t="s">
        <v>1063</v>
      </c>
      <c r="F5271" t="s">
        <v>1064</v>
      </c>
      <c r="G5271" s="1">
        <v>39644</v>
      </c>
      <c r="H5271" s="1">
        <v>39906</v>
      </c>
      <c r="I5271" t="s">
        <v>12</v>
      </c>
      <c r="J5271" t="s">
        <v>16041</v>
      </c>
    </row>
    <row r="5272" spans="1:10" x14ac:dyDescent="0.25">
      <c r="A5272">
        <v>423167</v>
      </c>
      <c r="B5272" t="s">
        <v>5503</v>
      </c>
      <c r="C5272" t="str">
        <f>"9780833046109"</f>
        <v>9780833046109</v>
      </c>
      <c r="D5272" t="str">
        <f>"9780833046437"</f>
        <v>9780833046437</v>
      </c>
      <c r="E5272" t="s">
        <v>1063</v>
      </c>
      <c r="F5272" t="s">
        <v>1064</v>
      </c>
      <c r="G5272" s="1">
        <v>39759</v>
      </c>
      <c r="H5272" s="1">
        <v>39906</v>
      </c>
      <c r="I5272" t="s">
        <v>12</v>
      </c>
      <c r="J5272" t="s">
        <v>16042</v>
      </c>
    </row>
    <row r="5273" spans="1:10" x14ac:dyDescent="0.25">
      <c r="A5273">
        <v>423172</v>
      </c>
      <c r="B5273" t="s">
        <v>5504</v>
      </c>
      <c r="C5273" t="str">
        <f>"9780833045553"</f>
        <v>9780833045553</v>
      </c>
      <c r="D5273" t="str">
        <f>"9780833046468"</f>
        <v>9780833046468</v>
      </c>
      <c r="E5273" t="s">
        <v>1063</v>
      </c>
      <c r="F5273" t="s">
        <v>1064</v>
      </c>
      <c r="G5273" s="1">
        <v>39723</v>
      </c>
      <c r="H5273" s="1">
        <v>39906</v>
      </c>
      <c r="I5273" t="s">
        <v>12</v>
      </c>
      <c r="J5273" t="s">
        <v>16043</v>
      </c>
    </row>
    <row r="5274" spans="1:10" x14ac:dyDescent="0.25">
      <c r="A5274">
        <v>423236</v>
      </c>
      <c r="B5274" t="s">
        <v>5505</v>
      </c>
      <c r="C5274" t="str">
        <f>"9780826138156"</f>
        <v>9780826138156</v>
      </c>
      <c r="D5274" t="str">
        <f>"9780826138163"</f>
        <v>9780826138163</v>
      </c>
      <c r="E5274" t="s">
        <v>3016</v>
      </c>
      <c r="F5274" t="s">
        <v>3016</v>
      </c>
      <c r="G5274" s="1">
        <v>38959</v>
      </c>
      <c r="H5274" s="1">
        <v>39908</v>
      </c>
      <c r="I5274" t="s">
        <v>12</v>
      </c>
      <c r="J5274" t="s">
        <v>16044</v>
      </c>
    </row>
    <row r="5275" spans="1:10" x14ac:dyDescent="0.25">
      <c r="A5275">
        <v>423237</v>
      </c>
      <c r="B5275" t="s">
        <v>5506</v>
      </c>
      <c r="C5275" t="str">
        <f>"9780826138378"</f>
        <v>9780826138378</v>
      </c>
      <c r="D5275" t="str">
        <f>"9780826138385"</f>
        <v>9780826138385</v>
      </c>
      <c r="E5275" t="s">
        <v>3016</v>
      </c>
      <c r="F5275" t="s">
        <v>3016</v>
      </c>
      <c r="G5275" s="1">
        <v>39448</v>
      </c>
      <c r="H5275" s="1">
        <v>39908</v>
      </c>
      <c r="I5275" t="s">
        <v>12</v>
      </c>
      <c r="J5275" t="s">
        <v>16045</v>
      </c>
    </row>
    <row r="5276" spans="1:10" x14ac:dyDescent="0.25">
      <c r="A5276">
        <v>423263</v>
      </c>
      <c r="B5276" t="s">
        <v>5507</v>
      </c>
      <c r="C5276" t="str">
        <f>"9780826154057"</f>
        <v>9780826154057</v>
      </c>
      <c r="D5276" t="str">
        <f>"9780826154040"</f>
        <v>9780826154040</v>
      </c>
      <c r="E5276" t="s">
        <v>3016</v>
      </c>
      <c r="F5276" t="s">
        <v>3016</v>
      </c>
      <c r="G5276" s="1">
        <v>39790</v>
      </c>
      <c r="H5276" s="1">
        <v>39908</v>
      </c>
      <c r="I5276" t="s">
        <v>12</v>
      </c>
      <c r="J5276" t="s">
        <v>16046</v>
      </c>
    </row>
    <row r="5277" spans="1:10" x14ac:dyDescent="0.25">
      <c r="A5277">
        <v>423281</v>
      </c>
      <c r="B5277" t="s">
        <v>5508</v>
      </c>
      <c r="C5277" t="str">
        <f>"9780826162519"</f>
        <v>9780826162519</v>
      </c>
      <c r="D5277" t="str">
        <f>"9780826162526"</f>
        <v>9780826162526</v>
      </c>
      <c r="E5277" t="s">
        <v>3016</v>
      </c>
      <c r="F5277" t="s">
        <v>3016</v>
      </c>
      <c r="G5277" s="1">
        <v>39753</v>
      </c>
      <c r="H5277" s="1">
        <v>42337</v>
      </c>
      <c r="I5277" t="s">
        <v>12</v>
      </c>
      <c r="J5277" t="s">
        <v>16047</v>
      </c>
    </row>
    <row r="5278" spans="1:10" x14ac:dyDescent="0.25">
      <c r="A5278">
        <v>423303</v>
      </c>
      <c r="B5278" t="s">
        <v>5509</v>
      </c>
      <c r="C5278" t="str">
        <f>"9780826102652"</f>
        <v>9780826102652</v>
      </c>
      <c r="D5278" t="str">
        <f>"9780826103826"</f>
        <v>9780826103826</v>
      </c>
      <c r="E5278" t="s">
        <v>3016</v>
      </c>
      <c r="F5278" t="s">
        <v>3016</v>
      </c>
      <c r="G5278" s="1">
        <v>38840</v>
      </c>
      <c r="H5278" s="1">
        <v>39907</v>
      </c>
      <c r="I5278" t="s">
        <v>12</v>
      </c>
      <c r="J5278" t="s">
        <v>16048</v>
      </c>
    </row>
    <row r="5279" spans="1:10" x14ac:dyDescent="0.25">
      <c r="A5279">
        <v>423316</v>
      </c>
      <c r="B5279" t="s">
        <v>5510</v>
      </c>
      <c r="C5279" t="str">
        <f>"9780826110732"</f>
        <v>9780826110732</v>
      </c>
      <c r="D5279" t="str">
        <f>"9780826110749"</f>
        <v>9780826110749</v>
      </c>
      <c r="E5279" t="s">
        <v>3016</v>
      </c>
      <c r="F5279" t="s">
        <v>3016</v>
      </c>
      <c r="G5279" s="1">
        <v>39888</v>
      </c>
      <c r="H5279" s="1">
        <v>39907</v>
      </c>
      <c r="I5279" t="s">
        <v>12</v>
      </c>
      <c r="J5279" t="s">
        <v>16049</v>
      </c>
    </row>
    <row r="5280" spans="1:10" x14ac:dyDescent="0.25">
      <c r="A5280">
        <v>423404</v>
      </c>
      <c r="B5280" t="s">
        <v>5511</v>
      </c>
      <c r="C5280" t="str">
        <f>"9780826127570"</f>
        <v>9780826127570</v>
      </c>
      <c r="D5280" t="str">
        <f>"9780826127587"</f>
        <v>9780826127587</v>
      </c>
      <c r="E5280" t="s">
        <v>3016</v>
      </c>
      <c r="F5280" t="s">
        <v>3016</v>
      </c>
      <c r="G5280" s="1">
        <v>39814</v>
      </c>
      <c r="H5280" s="1">
        <v>39908</v>
      </c>
      <c r="I5280" t="s">
        <v>12</v>
      </c>
      <c r="J5280" t="s">
        <v>16050</v>
      </c>
    </row>
    <row r="5281" spans="1:10" x14ac:dyDescent="0.25">
      <c r="A5281">
        <v>423446</v>
      </c>
      <c r="B5281" t="s">
        <v>5512</v>
      </c>
      <c r="C5281" t="str">
        <f>"9780826115478"</f>
        <v>9780826115478</v>
      </c>
      <c r="D5281" t="str">
        <f>"9780826119131"</f>
        <v>9780826119131</v>
      </c>
      <c r="E5281" t="s">
        <v>3016</v>
      </c>
      <c r="F5281" t="s">
        <v>3016</v>
      </c>
      <c r="G5281" s="1">
        <v>39763</v>
      </c>
      <c r="H5281" s="1">
        <v>39907</v>
      </c>
      <c r="I5281" t="s">
        <v>12</v>
      </c>
      <c r="J5281" t="s">
        <v>16051</v>
      </c>
    </row>
    <row r="5282" spans="1:10" x14ac:dyDescent="0.25">
      <c r="A5282">
        <v>423485</v>
      </c>
      <c r="B5282" t="s">
        <v>5513</v>
      </c>
      <c r="C5282" t="str">
        <f>"9780826192707"</f>
        <v>9780826192707</v>
      </c>
      <c r="D5282" t="str">
        <f>"9780826192714"</f>
        <v>9780826192714</v>
      </c>
      <c r="E5282" t="s">
        <v>3016</v>
      </c>
      <c r="F5282" t="s">
        <v>3016</v>
      </c>
      <c r="G5282" s="1">
        <v>35249</v>
      </c>
      <c r="H5282" s="1">
        <v>39907</v>
      </c>
      <c r="I5282" t="s">
        <v>12</v>
      </c>
      <c r="J5282" t="s">
        <v>16052</v>
      </c>
    </row>
    <row r="5283" spans="1:10" x14ac:dyDescent="0.25">
      <c r="A5283">
        <v>423540</v>
      </c>
      <c r="B5283" t="s">
        <v>5514</v>
      </c>
      <c r="C5283" t="str">
        <f>"9780826174215"</f>
        <v>9780826174215</v>
      </c>
      <c r="D5283" t="str">
        <f>"9780826174222"</f>
        <v>9780826174222</v>
      </c>
      <c r="E5283" t="s">
        <v>3016</v>
      </c>
      <c r="F5283" t="s">
        <v>3016</v>
      </c>
      <c r="G5283" s="1">
        <v>37956</v>
      </c>
      <c r="H5283" s="1">
        <v>39908</v>
      </c>
      <c r="I5283" t="s">
        <v>12</v>
      </c>
      <c r="J5283" t="s">
        <v>16053</v>
      </c>
    </row>
    <row r="5284" spans="1:10" x14ac:dyDescent="0.25">
      <c r="A5284">
        <v>423561</v>
      </c>
      <c r="B5284" t="s">
        <v>5515</v>
      </c>
      <c r="C5284" t="str">
        <f>"9780826115577"</f>
        <v>9780826115577</v>
      </c>
      <c r="D5284" t="str">
        <f>"9780826115584"</f>
        <v>9780826115584</v>
      </c>
      <c r="E5284" t="s">
        <v>3016</v>
      </c>
      <c r="F5284" t="s">
        <v>3016</v>
      </c>
      <c r="G5284" s="1">
        <v>39041</v>
      </c>
      <c r="H5284" s="1">
        <v>39907</v>
      </c>
      <c r="I5284" t="s">
        <v>12</v>
      </c>
      <c r="J5284" t="s">
        <v>16054</v>
      </c>
    </row>
    <row r="5285" spans="1:10" x14ac:dyDescent="0.25">
      <c r="A5285">
        <v>423597</v>
      </c>
      <c r="B5285" t="s">
        <v>5516</v>
      </c>
      <c r="C5285" t="str">
        <f>"9780826155658"</f>
        <v>9780826155658</v>
      </c>
      <c r="D5285" t="str">
        <f>"9780826155665"</f>
        <v>9780826155665</v>
      </c>
      <c r="E5285" t="s">
        <v>3016</v>
      </c>
      <c r="F5285" t="s">
        <v>3016</v>
      </c>
      <c r="G5285" s="1">
        <v>39020</v>
      </c>
      <c r="H5285" s="1">
        <v>39908</v>
      </c>
      <c r="I5285" t="s">
        <v>12</v>
      </c>
      <c r="J5285" t="s">
        <v>16055</v>
      </c>
    </row>
    <row r="5286" spans="1:10" x14ac:dyDescent="0.25">
      <c r="A5286">
        <v>423626</v>
      </c>
      <c r="B5286" t="s">
        <v>5517</v>
      </c>
      <c r="C5286" t="str">
        <f>"9780826144089"</f>
        <v>9780826144089</v>
      </c>
      <c r="D5286" t="str">
        <f>"9780826144096"</f>
        <v>9780826144096</v>
      </c>
      <c r="E5286" t="s">
        <v>3016</v>
      </c>
      <c r="F5286" t="s">
        <v>3016</v>
      </c>
      <c r="G5286" s="1">
        <v>39783</v>
      </c>
      <c r="H5286" s="1">
        <v>39908</v>
      </c>
      <c r="I5286" t="s">
        <v>12</v>
      </c>
      <c r="J5286" t="s">
        <v>16056</v>
      </c>
    </row>
    <row r="5287" spans="1:10" x14ac:dyDescent="0.25">
      <c r="A5287">
        <v>424087</v>
      </c>
      <c r="B5287" t="s">
        <v>5518</v>
      </c>
      <c r="C5287" t="str">
        <f>"9788122424621"</f>
        <v>9788122424621</v>
      </c>
      <c r="D5287" t="str">
        <f>"9788122426519"</f>
        <v>9788122426519</v>
      </c>
      <c r="E5287" t="s">
        <v>4636</v>
      </c>
      <c r="F5287" t="s">
        <v>4637</v>
      </c>
      <c r="G5287" s="1">
        <v>39814</v>
      </c>
      <c r="H5287" s="1">
        <v>39918</v>
      </c>
      <c r="I5287" t="s">
        <v>12</v>
      </c>
      <c r="J5287" t="s">
        <v>16057</v>
      </c>
    </row>
    <row r="5288" spans="1:10" x14ac:dyDescent="0.25">
      <c r="A5288">
        <v>424093</v>
      </c>
      <c r="B5288" t="s">
        <v>5519</v>
      </c>
      <c r="C5288" t="str">
        <f>"9788122422344"</f>
        <v>9788122422344</v>
      </c>
      <c r="D5288" t="str">
        <f>"9788122426571"</f>
        <v>9788122426571</v>
      </c>
      <c r="E5288" t="s">
        <v>4636</v>
      </c>
      <c r="F5288" t="s">
        <v>4637</v>
      </c>
      <c r="G5288" s="1">
        <v>39448</v>
      </c>
      <c r="H5288" s="1">
        <v>39918</v>
      </c>
      <c r="I5288" t="s">
        <v>12</v>
      </c>
      <c r="J5288" t="s">
        <v>16058</v>
      </c>
    </row>
    <row r="5289" spans="1:10" x14ac:dyDescent="0.25">
      <c r="A5289">
        <v>424102</v>
      </c>
      <c r="B5289" t="s">
        <v>5520</v>
      </c>
      <c r="C5289" t="str">
        <f>"9788122426021"</f>
        <v>9788122426021</v>
      </c>
      <c r="D5289" t="str">
        <f>"9788122426595"</f>
        <v>9788122426595</v>
      </c>
      <c r="E5289" t="s">
        <v>4636</v>
      </c>
      <c r="F5289" t="s">
        <v>4637</v>
      </c>
      <c r="G5289" s="1">
        <v>39814</v>
      </c>
      <c r="H5289" s="1">
        <v>39918</v>
      </c>
      <c r="I5289" t="s">
        <v>12</v>
      </c>
      <c r="J5289" t="s">
        <v>16059</v>
      </c>
    </row>
    <row r="5290" spans="1:10" x14ac:dyDescent="0.25">
      <c r="A5290">
        <v>425921</v>
      </c>
      <c r="B5290" t="s">
        <v>5521</v>
      </c>
      <c r="C5290" t="str">
        <f>"9780833046932"</f>
        <v>9780833046932</v>
      </c>
      <c r="D5290" t="str">
        <f>"9780833047113"</f>
        <v>9780833047113</v>
      </c>
      <c r="E5290" t="s">
        <v>1063</v>
      </c>
      <c r="F5290" t="s">
        <v>1064</v>
      </c>
      <c r="G5290" s="1">
        <v>39889</v>
      </c>
      <c r="H5290" s="1">
        <v>39920</v>
      </c>
      <c r="I5290" t="s">
        <v>12</v>
      </c>
      <c r="J5290" t="s">
        <v>16060</v>
      </c>
    </row>
    <row r="5291" spans="1:10" x14ac:dyDescent="0.25">
      <c r="A5291">
        <v>425922</v>
      </c>
      <c r="B5291" t="s">
        <v>5522</v>
      </c>
      <c r="C5291" t="str">
        <f>"9780833045652"</f>
        <v>9780833045652</v>
      </c>
      <c r="D5291" t="str">
        <f>"9780833046741"</f>
        <v>9780833046741</v>
      </c>
      <c r="E5291" t="s">
        <v>1063</v>
      </c>
      <c r="F5291" t="s">
        <v>1064</v>
      </c>
      <c r="G5291" s="1">
        <v>39752</v>
      </c>
      <c r="H5291" s="1">
        <v>39920</v>
      </c>
      <c r="I5291" t="s">
        <v>12</v>
      </c>
      <c r="J5291" t="s">
        <v>16061</v>
      </c>
    </row>
    <row r="5292" spans="1:10" x14ac:dyDescent="0.25">
      <c r="A5292">
        <v>425923</v>
      </c>
      <c r="B5292" t="s">
        <v>5523</v>
      </c>
      <c r="C5292" t="str">
        <f>"9780833044952"</f>
        <v>9780833044952</v>
      </c>
      <c r="D5292" t="str">
        <f>"9780833045232"</f>
        <v>9780833045232</v>
      </c>
      <c r="E5292" t="s">
        <v>1063</v>
      </c>
      <c r="F5292" t="s">
        <v>1064</v>
      </c>
      <c r="G5292" s="1">
        <v>38161</v>
      </c>
      <c r="H5292" s="1">
        <v>39920</v>
      </c>
      <c r="I5292" t="s">
        <v>12</v>
      </c>
      <c r="J5292" t="s">
        <v>16062</v>
      </c>
    </row>
    <row r="5293" spans="1:10" x14ac:dyDescent="0.25">
      <c r="A5293">
        <v>425926</v>
      </c>
      <c r="B5293" t="s">
        <v>5524</v>
      </c>
      <c r="C5293" t="str">
        <f>"9780833046574"</f>
        <v>9780833046574</v>
      </c>
      <c r="D5293" t="str">
        <f>"9780833047106"</f>
        <v>9780833047106</v>
      </c>
      <c r="E5293" t="s">
        <v>1063</v>
      </c>
      <c r="F5293" t="s">
        <v>1064</v>
      </c>
      <c r="G5293" s="1">
        <v>39889</v>
      </c>
      <c r="H5293" s="1">
        <v>39920</v>
      </c>
      <c r="I5293" t="s">
        <v>12</v>
      </c>
      <c r="J5293" t="s">
        <v>16063</v>
      </c>
    </row>
    <row r="5294" spans="1:10" x14ac:dyDescent="0.25">
      <c r="A5294">
        <v>425927</v>
      </c>
      <c r="B5294" t="s">
        <v>5525</v>
      </c>
      <c r="C5294" t="str">
        <f>"9780833046239"</f>
        <v>9780833046239</v>
      </c>
      <c r="D5294" t="str">
        <f>"9780833047045"</f>
        <v>9780833047045</v>
      </c>
      <c r="E5294" t="s">
        <v>1063</v>
      </c>
      <c r="F5294" t="s">
        <v>1064</v>
      </c>
      <c r="G5294" s="1">
        <v>39836</v>
      </c>
      <c r="H5294" s="1">
        <v>40510</v>
      </c>
      <c r="I5294" t="s">
        <v>12</v>
      </c>
      <c r="J5294" t="s">
        <v>16064</v>
      </c>
    </row>
    <row r="5295" spans="1:10" x14ac:dyDescent="0.25">
      <c r="A5295">
        <v>425929</v>
      </c>
      <c r="B5295" t="s">
        <v>5526</v>
      </c>
      <c r="C5295" t="str">
        <f>"9780833046161"</f>
        <v>9780833046161</v>
      </c>
      <c r="D5295" t="str">
        <f>"9780833047038"</f>
        <v>9780833047038</v>
      </c>
      <c r="E5295" t="s">
        <v>1063</v>
      </c>
      <c r="F5295" t="s">
        <v>1064</v>
      </c>
      <c r="G5295" s="1">
        <v>39847</v>
      </c>
      <c r="H5295" s="1">
        <v>39920</v>
      </c>
      <c r="I5295" t="s">
        <v>12</v>
      </c>
      <c r="J5295" t="s">
        <v>16065</v>
      </c>
    </row>
    <row r="5296" spans="1:10" x14ac:dyDescent="0.25">
      <c r="A5296">
        <v>425930</v>
      </c>
      <c r="B5296" t="s">
        <v>5527</v>
      </c>
      <c r="C5296" t="str">
        <f>"9780833041722"</f>
        <v>9780833041722</v>
      </c>
      <c r="D5296" t="str">
        <f>"9780833044501"</f>
        <v>9780833044501</v>
      </c>
      <c r="E5296" t="s">
        <v>1063</v>
      </c>
      <c r="F5296" t="s">
        <v>1064</v>
      </c>
      <c r="G5296" s="1">
        <v>38777</v>
      </c>
      <c r="H5296" s="1">
        <v>39920</v>
      </c>
      <c r="I5296" t="s">
        <v>12</v>
      </c>
      <c r="J5296" t="s">
        <v>16066</v>
      </c>
    </row>
    <row r="5297" spans="1:10" x14ac:dyDescent="0.25">
      <c r="A5297">
        <v>426097</v>
      </c>
      <c r="B5297" t="s">
        <v>5528</v>
      </c>
      <c r="C5297" t="str">
        <f>"9781606230763"</f>
        <v>9781606230763</v>
      </c>
      <c r="D5297" t="str">
        <f>"9781606230893"</f>
        <v>9781606230893</v>
      </c>
      <c r="E5297" t="s">
        <v>3740</v>
      </c>
      <c r="F5297" t="s">
        <v>3754</v>
      </c>
      <c r="G5297" s="1">
        <v>41773</v>
      </c>
      <c r="H5297" s="1">
        <v>39925</v>
      </c>
      <c r="I5297" t="s">
        <v>12</v>
      </c>
      <c r="J5297" t="s">
        <v>16067</v>
      </c>
    </row>
    <row r="5298" spans="1:10" x14ac:dyDescent="0.25">
      <c r="A5298">
        <v>427711</v>
      </c>
      <c r="B5298" t="s">
        <v>5529</v>
      </c>
      <c r="C5298" t="str">
        <f>"9780470236826"</f>
        <v>9780470236826</v>
      </c>
      <c r="D5298" t="str">
        <f>"9780470498750"</f>
        <v>9780470498750</v>
      </c>
      <c r="E5298" t="s">
        <v>1088</v>
      </c>
      <c r="F5298" t="s">
        <v>4889</v>
      </c>
      <c r="G5298" s="1">
        <v>39861</v>
      </c>
      <c r="H5298" s="1">
        <v>40088</v>
      </c>
      <c r="I5298" t="s">
        <v>12</v>
      </c>
      <c r="J5298" t="s">
        <v>16068</v>
      </c>
    </row>
    <row r="5299" spans="1:10" x14ac:dyDescent="0.25">
      <c r="A5299">
        <v>427810</v>
      </c>
      <c r="B5299" t="s">
        <v>5530</v>
      </c>
      <c r="C5299" t="str">
        <f>"9780470390733"</f>
        <v>9780470390733</v>
      </c>
      <c r="D5299" t="str">
        <f>"9780470465356"</f>
        <v>9780470465356</v>
      </c>
      <c r="E5299" t="s">
        <v>1088</v>
      </c>
      <c r="F5299" t="s">
        <v>4889</v>
      </c>
      <c r="G5299" s="1">
        <v>39822</v>
      </c>
      <c r="H5299" s="1">
        <v>40088</v>
      </c>
      <c r="I5299" t="s">
        <v>12</v>
      </c>
      <c r="J5299" t="s">
        <v>16069</v>
      </c>
    </row>
    <row r="5300" spans="1:10" x14ac:dyDescent="0.25">
      <c r="A5300">
        <v>429245</v>
      </c>
      <c r="B5300" t="s">
        <v>5531</v>
      </c>
      <c r="C5300" t="str">
        <f>"9783598220401"</f>
        <v>9783598220401</v>
      </c>
      <c r="D5300" t="str">
        <f>"9783598441257"</f>
        <v>9783598441257</v>
      </c>
      <c r="E5300" t="s">
        <v>2482</v>
      </c>
      <c r="F5300" t="s">
        <v>2482</v>
      </c>
      <c r="G5300" s="1">
        <v>39801</v>
      </c>
      <c r="H5300" s="1">
        <v>41921</v>
      </c>
      <c r="I5300" t="s">
        <v>12</v>
      </c>
      <c r="J5300" t="s">
        <v>16070</v>
      </c>
    </row>
    <row r="5301" spans="1:10" x14ac:dyDescent="0.25">
      <c r="A5301">
        <v>429246</v>
      </c>
      <c r="B5301" t="s">
        <v>5532</v>
      </c>
      <c r="C5301" t="str">
        <f>"9783110196337"</f>
        <v>9783110196337</v>
      </c>
      <c r="D5301" t="str">
        <f>"9783110199222"</f>
        <v>9783110199222</v>
      </c>
      <c r="E5301" t="s">
        <v>2482</v>
      </c>
      <c r="F5301" t="s">
        <v>2483</v>
      </c>
      <c r="G5301" s="1">
        <v>39834</v>
      </c>
      <c r="H5301" s="1">
        <v>39937</v>
      </c>
      <c r="I5301" t="s">
        <v>12</v>
      </c>
      <c r="J5301" t="s">
        <v>16071</v>
      </c>
    </row>
    <row r="5302" spans="1:10" x14ac:dyDescent="0.25">
      <c r="A5302">
        <v>429256</v>
      </c>
      <c r="B5302" t="s">
        <v>5533</v>
      </c>
      <c r="C5302" t="str">
        <f>"9783110186215"</f>
        <v>9783110186215</v>
      </c>
      <c r="D5302" t="str">
        <f>"9783110209709"</f>
        <v>9783110209709</v>
      </c>
      <c r="E5302" t="s">
        <v>2482</v>
      </c>
      <c r="F5302" t="s">
        <v>2482</v>
      </c>
      <c r="G5302" s="1">
        <v>39553</v>
      </c>
      <c r="H5302" s="1">
        <v>39937</v>
      </c>
      <c r="I5302" t="s">
        <v>12</v>
      </c>
      <c r="J5302" t="s">
        <v>16072</v>
      </c>
    </row>
    <row r="5303" spans="1:10" x14ac:dyDescent="0.25">
      <c r="A5303">
        <v>429294</v>
      </c>
      <c r="B5303" t="s">
        <v>5534</v>
      </c>
      <c r="C5303" t="str">
        <f>"9783110193428"</f>
        <v>9783110193428</v>
      </c>
      <c r="D5303" t="str">
        <f>"9783110212143"</f>
        <v>9783110212143</v>
      </c>
      <c r="E5303" t="s">
        <v>2482</v>
      </c>
      <c r="F5303" t="s">
        <v>2482</v>
      </c>
      <c r="G5303" s="1">
        <v>39279</v>
      </c>
      <c r="H5303" s="1">
        <v>39937</v>
      </c>
      <c r="I5303" t="s">
        <v>12</v>
      </c>
      <c r="J5303" t="s">
        <v>16073</v>
      </c>
    </row>
    <row r="5304" spans="1:10" x14ac:dyDescent="0.25">
      <c r="A5304">
        <v>429319</v>
      </c>
      <c r="B5304" t="s">
        <v>5535</v>
      </c>
      <c r="C5304" t="str">
        <f>"9783598249068"</f>
        <v>9783598249068</v>
      </c>
      <c r="D5304" t="str">
        <f>"9783598441240"</f>
        <v>9783598441240</v>
      </c>
      <c r="E5304" t="s">
        <v>2482</v>
      </c>
      <c r="F5304" t="s">
        <v>2482</v>
      </c>
      <c r="G5304" s="1">
        <v>39779</v>
      </c>
      <c r="H5304" s="1">
        <v>40245</v>
      </c>
      <c r="I5304" t="s">
        <v>12</v>
      </c>
      <c r="J5304" t="s">
        <v>16074</v>
      </c>
    </row>
    <row r="5305" spans="1:10" x14ac:dyDescent="0.25">
      <c r="A5305">
        <v>429326</v>
      </c>
      <c r="B5305" t="s">
        <v>5536</v>
      </c>
      <c r="C5305" t="str">
        <f>"9783110205206"</f>
        <v>9783110205206</v>
      </c>
      <c r="D5305" t="str">
        <f>"9783110213966"</f>
        <v>9783110213966</v>
      </c>
      <c r="E5305" t="s">
        <v>2482</v>
      </c>
      <c r="F5305" t="s">
        <v>2483</v>
      </c>
      <c r="G5305" s="1">
        <v>39870</v>
      </c>
      <c r="H5305" s="1">
        <v>39937</v>
      </c>
      <c r="I5305" t="s">
        <v>12</v>
      </c>
      <c r="J5305" t="s">
        <v>16075</v>
      </c>
    </row>
    <row r="5306" spans="1:10" x14ac:dyDescent="0.25">
      <c r="A5306">
        <v>429327</v>
      </c>
      <c r="B5306" t="s">
        <v>5537</v>
      </c>
      <c r="C5306" t="str">
        <f>"9783110205213"</f>
        <v>9783110205213</v>
      </c>
      <c r="D5306" t="str">
        <f>"9783110213959"</f>
        <v>9783110213959</v>
      </c>
      <c r="E5306" t="s">
        <v>2482</v>
      </c>
      <c r="F5306" t="s">
        <v>2483</v>
      </c>
      <c r="G5306" s="1">
        <v>39870</v>
      </c>
      <c r="H5306" s="1">
        <v>39937</v>
      </c>
      <c r="I5306" t="s">
        <v>12</v>
      </c>
      <c r="J5306" t="s">
        <v>16076</v>
      </c>
    </row>
    <row r="5307" spans="1:10" x14ac:dyDescent="0.25">
      <c r="A5307">
        <v>429404</v>
      </c>
      <c r="B5307" t="s">
        <v>5538</v>
      </c>
      <c r="C5307" t="str">
        <f>"9783598220357"</f>
        <v>9783598220357</v>
      </c>
      <c r="D5307" t="str">
        <f>"9783598440298"</f>
        <v>9783598440298</v>
      </c>
      <c r="E5307" t="s">
        <v>2482</v>
      </c>
      <c r="F5307" t="s">
        <v>2482</v>
      </c>
      <c r="G5307" s="1">
        <v>39385</v>
      </c>
      <c r="H5307" s="1">
        <v>40245</v>
      </c>
      <c r="I5307" t="s">
        <v>12</v>
      </c>
      <c r="J5307" t="s">
        <v>16077</v>
      </c>
    </row>
    <row r="5308" spans="1:10" x14ac:dyDescent="0.25">
      <c r="A5308">
        <v>429406</v>
      </c>
      <c r="B5308" t="s">
        <v>5539</v>
      </c>
      <c r="C5308" t="str">
        <f>"9783110191189"</f>
        <v>9783110191189</v>
      </c>
      <c r="D5308" t="str">
        <f>"9783110211207"</f>
        <v>9783110211207</v>
      </c>
      <c r="E5308" t="s">
        <v>2482</v>
      </c>
      <c r="F5308" t="s">
        <v>2482</v>
      </c>
      <c r="G5308" s="1">
        <v>39792</v>
      </c>
      <c r="H5308" s="1">
        <v>39937</v>
      </c>
      <c r="I5308" t="s">
        <v>12</v>
      </c>
      <c r="J5308" t="s">
        <v>16078</v>
      </c>
    </row>
    <row r="5309" spans="1:10" x14ac:dyDescent="0.25">
      <c r="A5309">
        <v>429440</v>
      </c>
      <c r="B5309" t="s">
        <v>5540</v>
      </c>
      <c r="C5309" t="str">
        <f>"9783110205169"</f>
        <v>9783110205169</v>
      </c>
      <c r="D5309" t="str">
        <f>"9783110213348"</f>
        <v>9783110213348</v>
      </c>
      <c r="E5309" t="s">
        <v>2482</v>
      </c>
      <c r="F5309" t="s">
        <v>2483</v>
      </c>
      <c r="G5309" s="1">
        <v>39834</v>
      </c>
      <c r="H5309" s="1">
        <v>39937</v>
      </c>
      <c r="I5309" t="s">
        <v>12</v>
      </c>
      <c r="J5309" t="s">
        <v>16079</v>
      </c>
    </row>
    <row r="5310" spans="1:10" x14ac:dyDescent="0.25">
      <c r="A5310">
        <v>429551</v>
      </c>
      <c r="B5310" t="s">
        <v>5541</v>
      </c>
      <c r="C5310" t="str">
        <f>"9780754647614"</f>
        <v>9780754647614</v>
      </c>
      <c r="D5310" t="str">
        <f>"9780754684787"</f>
        <v>9780754684787</v>
      </c>
      <c r="E5310" t="s">
        <v>15</v>
      </c>
      <c r="F5310" t="s">
        <v>16</v>
      </c>
      <c r="G5310" s="1">
        <v>39264</v>
      </c>
      <c r="H5310" s="1">
        <v>40244</v>
      </c>
      <c r="I5310" t="s">
        <v>12</v>
      </c>
      <c r="J5310" t="s">
        <v>16080</v>
      </c>
    </row>
    <row r="5311" spans="1:10" x14ac:dyDescent="0.25">
      <c r="A5311">
        <v>429558</v>
      </c>
      <c r="B5311" t="s">
        <v>5542</v>
      </c>
      <c r="C5311" t="str">
        <f>"9780566084904"</f>
        <v>9780566084904</v>
      </c>
      <c r="D5311" t="str">
        <f>"9780754685487"</f>
        <v>9780754685487</v>
      </c>
      <c r="E5311" t="s">
        <v>15</v>
      </c>
      <c r="F5311" t="s">
        <v>16</v>
      </c>
      <c r="G5311" s="1">
        <v>37435</v>
      </c>
      <c r="H5311" s="1">
        <v>39935</v>
      </c>
      <c r="I5311" t="s">
        <v>12</v>
      </c>
      <c r="J5311" t="s">
        <v>16081</v>
      </c>
    </row>
    <row r="5312" spans="1:10" x14ac:dyDescent="0.25">
      <c r="A5312">
        <v>429561</v>
      </c>
      <c r="B5312" t="s">
        <v>5543</v>
      </c>
      <c r="C5312" t="str">
        <f>"9780754649182"</f>
        <v>9780754649182</v>
      </c>
      <c r="D5312" t="str">
        <f>"9780754683773"</f>
        <v>9780754683773</v>
      </c>
      <c r="E5312" t="s">
        <v>15</v>
      </c>
      <c r="F5312" t="s">
        <v>5544</v>
      </c>
      <c r="G5312" s="1">
        <v>39110</v>
      </c>
      <c r="H5312" s="1">
        <v>39941</v>
      </c>
      <c r="I5312" t="s">
        <v>12</v>
      </c>
      <c r="J5312" t="s">
        <v>16082</v>
      </c>
    </row>
    <row r="5313" spans="1:10" x14ac:dyDescent="0.25">
      <c r="A5313">
        <v>429566</v>
      </c>
      <c r="B5313" t="s">
        <v>5545</v>
      </c>
      <c r="C5313" t="str">
        <f>"9780754648178"</f>
        <v>9780754648178</v>
      </c>
      <c r="D5313" t="str">
        <f>"9780754683353"</f>
        <v>9780754683353</v>
      </c>
      <c r="E5313" t="s">
        <v>15</v>
      </c>
      <c r="F5313" t="s">
        <v>16</v>
      </c>
      <c r="G5313" s="1">
        <v>39387</v>
      </c>
      <c r="H5313" s="1">
        <v>39941</v>
      </c>
      <c r="I5313" t="s">
        <v>12</v>
      </c>
      <c r="J5313" t="s">
        <v>16083</v>
      </c>
    </row>
    <row r="5314" spans="1:10" x14ac:dyDescent="0.25">
      <c r="A5314">
        <v>429568</v>
      </c>
      <c r="B5314" t="s">
        <v>5546</v>
      </c>
      <c r="C5314" t="str">
        <f>"9780754643777"</f>
        <v>9780754643777</v>
      </c>
      <c r="D5314" t="str">
        <f>"9780754685128"</f>
        <v>9780754685128</v>
      </c>
      <c r="E5314" t="s">
        <v>15</v>
      </c>
      <c r="F5314" t="s">
        <v>16</v>
      </c>
      <c r="G5314" s="1">
        <v>39291</v>
      </c>
      <c r="H5314" s="1">
        <v>39941</v>
      </c>
      <c r="I5314" t="s">
        <v>12</v>
      </c>
      <c r="J5314" t="s">
        <v>16084</v>
      </c>
    </row>
    <row r="5315" spans="1:10" x14ac:dyDescent="0.25">
      <c r="A5315">
        <v>429571</v>
      </c>
      <c r="B5315" t="s">
        <v>5547</v>
      </c>
      <c r="C5315" t="str">
        <f>"9780754647218"</f>
        <v>9780754647218</v>
      </c>
      <c r="D5315" t="str">
        <f>"9780754684558"</f>
        <v>9780754684558</v>
      </c>
      <c r="E5315" t="s">
        <v>15</v>
      </c>
      <c r="F5315" t="s">
        <v>16</v>
      </c>
      <c r="G5315" s="1">
        <v>39230</v>
      </c>
      <c r="H5315" s="1">
        <v>39941</v>
      </c>
      <c r="I5315" t="s">
        <v>12</v>
      </c>
      <c r="J5315" t="s">
        <v>16085</v>
      </c>
    </row>
    <row r="5316" spans="1:10" x14ac:dyDescent="0.25">
      <c r="A5316">
        <v>429594</v>
      </c>
      <c r="B5316" t="s">
        <v>5548</v>
      </c>
      <c r="C5316" t="str">
        <f>"9780754638407"</f>
        <v>9780754638407</v>
      </c>
      <c r="D5316" t="str">
        <f>"9780754681090"</f>
        <v>9780754681090</v>
      </c>
      <c r="E5316" t="s">
        <v>15</v>
      </c>
      <c r="F5316" t="s">
        <v>16</v>
      </c>
      <c r="G5316" s="1">
        <v>39387</v>
      </c>
      <c r="H5316" s="1">
        <v>39941</v>
      </c>
      <c r="I5316" t="s">
        <v>12</v>
      </c>
      <c r="J5316" t="s">
        <v>16086</v>
      </c>
    </row>
    <row r="5317" spans="1:10" x14ac:dyDescent="0.25">
      <c r="A5317">
        <v>429595</v>
      </c>
      <c r="B5317" t="s">
        <v>5549</v>
      </c>
      <c r="C5317" t="str">
        <f>"9780754623045"</f>
        <v>9780754623045</v>
      </c>
      <c r="D5317" t="str">
        <f>"9780754680413"</f>
        <v>9780754680413</v>
      </c>
      <c r="E5317" t="s">
        <v>15</v>
      </c>
      <c r="F5317" t="s">
        <v>16</v>
      </c>
      <c r="G5317" s="1">
        <v>39387</v>
      </c>
      <c r="H5317" s="1">
        <v>39935</v>
      </c>
      <c r="I5317" t="s">
        <v>12</v>
      </c>
      <c r="J5317" t="s">
        <v>16087</v>
      </c>
    </row>
    <row r="5318" spans="1:10" x14ac:dyDescent="0.25">
      <c r="A5318">
        <v>429599</v>
      </c>
      <c r="B5318" t="s">
        <v>5550</v>
      </c>
      <c r="C5318" t="str">
        <f>"9780754644163"</f>
        <v>9780754644163</v>
      </c>
      <c r="D5318" t="str">
        <f>"9780754681229"</f>
        <v>9780754681229</v>
      </c>
      <c r="E5318" t="s">
        <v>15</v>
      </c>
      <c r="F5318" t="s">
        <v>5544</v>
      </c>
      <c r="G5318" s="1">
        <v>39018</v>
      </c>
      <c r="H5318" s="1">
        <v>39941</v>
      </c>
      <c r="I5318" t="s">
        <v>12</v>
      </c>
      <c r="J5318" t="s">
        <v>16088</v>
      </c>
    </row>
    <row r="5319" spans="1:10" x14ac:dyDescent="0.25">
      <c r="A5319">
        <v>429615</v>
      </c>
      <c r="B5319" t="s">
        <v>5551</v>
      </c>
      <c r="C5319" t="str">
        <f>"9780754648765"</f>
        <v>9780754648765</v>
      </c>
      <c r="D5319" t="str">
        <f>"9780754684565"</f>
        <v>9780754684565</v>
      </c>
      <c r="E5319" t="s">
        <v>15</v>
      </c>
      <c r="F5319" t="s">
        <v>5544</v>
      </c>
      <c r="G5319" s="1">
        <v>39200</v>
      </c>
      <c r="H5319" s="1">
        <v>39941</v>
      </c>
      <c r="I5319" t="s">
        <v>12</v>
      </c>
      <c r="J5319" t="s">
        <v>16089</v>
      </c>
    </row>
    <row r="5320" spans="1:10" x14ac:dyDescent="0.25">
      <c r="A5320">
        <v>429618</v>
      </c>
      <c r="B5320" t="s">
        <v>5552</v>
      </c>
      <c r="C5320" t="str">
        <f>"9780754643869"</f>
        <v>9780754643869</v>
      </c>
      <c r="D5320" t="str">
        <f>"9780754684619"</f>
        <v>9780754684619</v>
      </c>
      <c r="E5320" t="s">
        <v>15</v>
      </c>
      <c r="F5320" t="s">
        <v>16</v>
      </c>
      <c r="G5320" s="1">
        <v>39387</v>
      </c>
      <c r="H5320" s="1">
        <v>39941</v>
      </c>
      <c r="I5320" t="s">
        <v>12</v>
      </c>
      <c r="J5320" t="s">
        <v>16090</v>
      </c>
    </row>
    <row r="5321" spans="1:10" x14ac:dyDescent="0.25">
      <c r="A5321">
        <v>429619</v>
      </c>
      <c r="B5321" t="s">
        <v>5553</v>
      </c>
      <c r="C5321" t="str">
        <f>"9780754646792"</f>
        <v>9780754646792</v>
      </c>
      <c r="D5321" t="str">
        <f>"9780754683445"</f>
        <v>9780754683445</v>
      </c>
      <c r="E5321" t="s">
        <v>15</v>
      </c>
      <c r="F5321" t="s">
        <v>5544</v>
      </c>
      <c r="G5321" s="1">
        <v>39142</v>
      </c>
      <c r="H5321" s="1">
        <v>39941</v>
      </c>
      <c r="I5321" t="s">
        <v>12</v>
      </c>
      <c r="J5321" t="s">
        <v>16091</v>
      </c>
    </row>
    <row r="5322" spans="1:10" x14ac:dyDescent="0.25">
      <c r="A5322">
        <v>429624</v>
      </c>
      <c r="B5322" t="s">
        <v>5554</v>
      </c>
      <c r="C5322" t="str">
        <f>"9780754648864"</f>
        <v>9780754648864</v>
      </c>
      <c r="D5322" t="str">
        <f>"9780754684572"</f>
        <v>9780754684572</v>
      </c>
      <c r="E5322" t="s">
        <v>15</v>
      </c>
      <c r="F5322" t="s">
        <v>16</v>
      </c>
      <c r="G5322" s="1">
        <v>39387</v>
      </c>
      <c r="H5322" s="1">
        <v>39941</v>
      </c>
      <c r="I5322" t="s">
        <v>12</v>
      </c>
      <c r="J5322" t="s">
        <v>16092</v>
      </c>
    </row>
    <row r="5323" spans="1:10" x14ac:dyDescent="0.25">
      <c r="A5323">
        <v>429639</v>
      </c>
      <c r="B5323" t="s">
        <v>5555</v>
      </c>
      <c r="C5323" t="str">
        <f>"9780754645221"</f>
        <v>9780754645221</v>
      </c>
      <c r="D5323" t="str">
        <f>"9780754681137"</f>
        <v>9780754681137</v>
      </c>
      <c r="E5323" t="s">
        <v>15</v>
      </c>
      <c r="F5323" t="s">
        <v>16</v>
      </c>
      <c r="G5323" s="1">
        <v>39387</v>
      </c>
      <c r="H5323" s="1">
        <v>39941</v>
      </c>
      <c r="I5323" t="s">
        <v>12</v>
      </c>
      <c r="J5323" t="s">
        <v>16093</v>
      </c>
    </row>
    <row r="5324" spans="1:10" x14ac:dyDescent="0.25">
      <c r="A5324">
        <v>429644</v>
      </c>
      <c r="B5324" t="s">
        <v>5556</v>
      </c>
      <c r="C5324" t="str">
        <f>"9780754645863"</f>
        <v>9780754645863</v>
      </c>
      <c r="D5324" t="str">
        <f>"9780754680062"</f>
        <v>9780754680062</v>
      </c>
      <c r="E5324" t="s">
        <v>15</v>
      </c>
      <c r="F5324" t="s">
        <v>16</v>
      </c>
      <c r="G5324" s="1">
        <v>39387</v>
      </c>
      <c r="H5324" s="1">
        <v>39941</v>
      </c>
      <c r="I5324" t="s">
        <v>12</v>
      </c>
      <c r="J5324" t="s">
        <v>16094</v>
      </c>
    </row>
    <row r="5325" spans="1:10" x14ac:dyDescent="0.25">
      <c r="A5325">
        <v>429653</v>
      </c>
      <c r="B5325" t="s">
        <v>5557</v>
      </c>
      <c r="C5325" t="str">
        <f>"9780754623526"</f>
        <v>9780754623526</v>
      </c>
      <c r="D5325" t="str">
        <f>"9780754680376"</f>
        <v>9780754680376</v>
      </c>
      <c r="E5325" t="s">
        <v>15</v>
      </c>
      <c r="F5325" t="s">
        <v>16</v>
      </c>
      <c r="G5325" s="1">
        <v>39387</v>
      </c>
      <c r="H5325" s="1">
        <v>39935</v>
      </c>
      <c r="I5325" t="s">
        <v>12</v>
      </c>
      <c r="J5325" t="s">
        <v>16095</v>
      </c>
    </row>
    <row r="5326" spans="1:10" x14ac:dyDescent="0.25">
      <c r="A5326">
        <v>429659</v>
      </c>
      <c r="B5326" t="s">
        <v>5558</v>
      </c>
      <c r="C5326" t="str">
        <f>"9780754624189"</f>
        <v>9780754624189</v>
      </c>
      <c r="D5326" t="str">
        <f>"9780754685807"</f>
        <v>9780754685807</v>
      </c>
      <c r="E5326" t="s">
        <v>15</v>
      </c>
      <c r="F5326" t="s">
        <v>16</v>
      </c>
      <c r="G5326" s="1">
        <v>39110</v>
      </c>
      <c r="H5326" s="1">
        <v>39941</v>
      </c>
      <c r="I5326" t="s">
        <v>12</v>
      </c>
      <c r="J5326" t="s">
        <v>16096</v>
      </c>
    </row>
    <row r="5327" spans="1:10" x14ac:dyDescent="0.25">
      <c r="A5327">
        <v>429665</v>
      </c>
      <c r="B5327" t="s">
        <v>5559</v>
      </c>
      <c r="C5327" t="str">
        <f>"9780566087837"</f>
        <v>9780566087837</v>
      </c>
      <c r="D5327" t="str">
        <f>"9780754687764"</f>
        <v>9780754687764</v>
      </c>
      <c r="E5327" t="s">
        <v>15</v>
      </c>
      <c r="F5327" t="s">
        <v>16</v>
      </c>
      <c r="G5327" s="1">
        <v>39322</v>
      </c>
      <c r="H5327" s="1">
        <v>39941</v>
      </c>
      <c r="I5327" t="s">
        <v>12</v>
      </c>
      <c r="J5327" t="s">
        <v>16097</v>
      </c>
    </row>
    <row r="5328" spans="1:10" x14ac:dyDescent="0.25">
      <c r="A5328">
        <v>429688</v>
      </c>
      <c r="B5328" t="s">
        <v>5560</v>
      </c>
      <c r="C5328" t="str">
        <f>"9780754625117"</f>
        <v>9780754625117</v>
      </c>
      <c r="D5328" t="str">
        <f>"9781351217972"</f>
        <v>9781351217972</v>
      </c>
      <c r="E5328" t="s">
        <v>15</v>
      </c>
      <c r="F5328" t="s">
        <v>16</v>
      </c>
      <c r="G5328" s="1">
        <v>38988</v>
      </c>
      <c r="H5328" s="1">
        <v>39941</v>
      </c>
      <c r="I5328" t="s">
        <v>12</v>
      </c>
      <c r="J5328" t="s">
        <v>16098</v>
      </c>
    </row>
    <row r="5329" spans="1:10" x14ac:dyDescent="0.25">
      <c r="A5329">
        <v>429689</v>
      </c>
      <c r="B5329" t="s">
        <v>5561</v>
      </c>
      <c r="C5329" t="str">
        <f>"9780754648000"</f>
        <v>9780754648000</v>
      </c>
      <c r="D5329" t="str">
        <f>"9780754686149"</f>
        <v>9780754686149</v>
      </c>
      <c r="E5329" t="s">
        <v>15</v>
      </c>
      <c r="F5329" t="s">
        <v>16</v>
      </c>
      <c r="G5329" s="1">
        <v>39387</v>
      </c>
      <c r="H5329" s="1">
        <v>39941</v>
      </c>
      <c r="I5329" t="s">
        <v>12</v>
      </c>
      <c r="J5329" t="s">
        <v>16099</v>
      </c>
    </row>
    <row r="5330" spans="1:10" x14ac:dyDescent="0.25">
      <c r="A5330">
        <v>429691</v>
      </c>
      <c r="B5330" t="s">
        <v>5562</v>
      </c>
      <c r="C5330" t="str">
        <f>"9780754608943"</f>
        <v>9780754608943</v>
      </c>
      <c r="D5330" t="str">
        <f>"9780754684053"</f>
        <v>9780754684053</v>
      </c>
      <c r="E5330" t="s">
        <v>15</v>
      </c>
      <c r="F5330" t="s">
        <v>5544</v>
      </c>
      <c r="G5330" s="1">
        <v>39114</v>
      </c>
      <c r="H5330" s="1">
        <v>39941</v>
      </c>
      <c r="I5330" t="s">
        <v>12</v>
      </c>
      <c r="J5330" t="s">
        <v>16100</v>
      </c>
    </row>
    <row r="5331" spans="1:10" x14ac:dyDescent="0.25">
      <c r="A5331">
        <v>429696</v>
      </c>
      <c r="B5331" t="s">
        <v>5563</v>
      </c>
      <c r="C5331" t="str">
        <f>"9780754645771"</f>
        <v>9780754645771</v>
      </c>
      <c r="D5331" t="str">
        <f>"9780754680673"</f>
        <v>9780754680673</v>
      </c>
      <c r="E5331" t="s">
        <v>15</v>
      </c>
      <c r="F5331" t="s">
        <v>16</v>
      </c>
      <c r="G5331" s="1">
        <v>39387</v>
      </c>
      <c r="H5331" s="1">
        <v>39941</v>
      </c>
      <c r="I5331" t="s">
        <v>12</v>
      </c>
      <c r="J5331" t="s">
        <v>16101</v>
      </c>
    </row>
    <row r="5332" spans="1:10" x14ac:dyDescent="0.25">
      <c r="A5332">
        <v>429697</v>
      </c>
      <c r="B5332" t="s">
        <v>5564</v>
      </c>
      <c r="C5332" t="str">
        <f>"9780566086441"</f>
        <v>9780566086441</v>
      </c>
      <c r="D5332" t="str">
        <f>"9780754682837"</f>
        <v>9780754682837</v>
      </c>
      <c r="E5332" t="s">
        <v>15</v>
      </c>
      <c r="F5332" t="s">
        <v>16</v>
      </c>
      <c r="G5332" s="1">
        <v>39387</v>
      </c>
      <c r="H5332" s="1">
        <v>39935</v>
      </c>
      <c r="I5332" t="s">
        <v>12</v>
      </c>
      <c r="J5332" t="s">
        <v>16102</v>
      </c>
    </row>
    <row r="5333" spans="1:10" x14ac:dyDescent="0.25">
      <c r="A5333">
        <v>429721</v>
      </c>
      <c r="B5333" t="s">
        <v>5565</v>
      </c>
      <c r="C5333" t="str">
        <f>"9780754649151"</f>
        <v>9780754649151</v>
      </c>
      <c r="D5333" t="str">
        <f>"9780754683766"</f>
        <v>9780754683766</v>
      </c>
      <c r="E5333" t="s">
        <v>15</v>
      </c>
      <c r="F5333" t="s">
        <v>16</v>
      </c>
      <c r="G5333" s="1">
        <v>39387</v>
      </c>
      <c r="H5333" s="1">
        <v>39941</v>
      </c>
      <c r="I5333" t="s">
        <v>12</v>
      </c>
      <c r="J5333" t="s">
        <v>16103</v>
      </c>
    </row>
    <row r="5334" spans="1:10" x14ac:dyDescent="0.25">
      <c r="A5334">
        <v>429731</v>
      </c>
      <c r="B5334" t="s">
        <v>5566</v>
      </c>
      <c r="C5334" t="str">
        <f>"9780754631651"</f>
        <v>9780754631651</v>
      </c>
      <c r="D5334" t="str">
        <f>"9780754680598"</f>
        <v>9780754680598</v>
      </c>
      <c r="E5334" t="s">
        <v>15</v>
      </c>
      <c r="F5334" t="s">
        <v>16</v>
      </c>
      <c r="G5334" s="1">
        <v>39387</v>
      </c>
      <c r="H5334" s="1">
        <v>39941</v>
      </c>
      <c r="I5334" t="s">
        <v>12</v>
      </c>
      <c r="J5334" t="s">
        <v>16104</v>
      </c>
    </row>
    <row r="5335" spans="1:10" x14ac:dyDescent="0.25">
      <c r="A5335">
        <v>429732</v>
      </c>
      <c r="B5335" t="s">
        <v>5567</v>
      </c>
      <c r="C5335" t="str">
        <f>"9780754635772"</f>
        <v>9780754635772</v>
      </c>
      <c r="D5335" t="str">
        <f>"9780754680017"</f>
        <v>9780754680017</v>
      </c>
      <c r="E5335" t="s">
        <v>15</v>
      </c>
      <c r="F5335" t="s">
        <v>16</v>
      </c>
      <c r="G5335" s="1">
        <v>39387</v>
      </c>
      <c r="H5335" s="1">
        <v>39941</v>
      </c>
      <c r="I5335" t="s">
        <v>12</v>
      </c>
      <c r="J5335" t="s">
        <v>16105</v>
      </c>
    </row>
    <row r="5336" spans="1:10" x14ac:dyDescent="0.25">
      <c r="A5336">
        <v>429738</v>
      </c>
      <c r="B5336" t="s">
        <v>5568</v>
      </c>
      <c r="C5336" t="str">
        <f>"9780754645504"</f>
        <v>9780754645504</v>
      </c>
      <c r="D5336" t="str">
        <f>"9780754683858"</f>
        <v>9780754683858</v>
      </c>
      <c r="E5336" t="s">
        <v>15</v>
      </c>
      <c r="F5336" t="s">
        <v>16</v>
      </c>
      <c r="G5336" s="1">
        <v>39387</v>
      </c>
      <c r="H5336" s="1">
        <v>39941</v>
      </c>
      <c r="I5336" t="s">
        <v>12</v>
      </c>
      <c r="J5336" t="s">
        <v>16106</v>
      </c>
    </row>
    <row r="5337" spans="1:10" x14ac:dyDescent="0.25">
      <c r="A5337">
        <v>429739</v>
      </c>
      <c r="B5337" t="s">
        <v>5569</v>
      </c>
      <c r="C5337" t="str">
        <f>"9780754623564"</f>
        <v>9780754623564</v>
      </c>
      <c r="D5337" t="str">
        <f>"9780754683292"</f>
        <v>9780754683292</v>
      </c>
      <c r="E5337" t="s">
        <v>15</v>
      </c>
      <c r="F5337" t="s">
        <v>16</v>
      </c>
      <c r="G5337" s="1">
        <v>39387</v>
      </c>
      <c r="H5337" s="1">
        <v>39941</v>
      </c>
      <c r="I5337" t="s">
        <v>12</v>
      </c>
      <c r="J5337" t="s">
        <v>16107</v>
      </c>
    </row>
    <row r="5338" spans="1:10" x14ac:dyDescent="0.25">
      <c r="A5338">
        <v>429747</v>
      </c>
      <c r="B5338" t="s">
        <v>5570</v>
      </c>
      <c r="C5338" t="str">
        <f>"9780754649410"</f>
        <v>9780754649410</v>
      </c>
      <c r="D5338" t="str">
        <f>"9780754684794"</f>
        <v>9780754684794</v>
      </c>
      <c r="E5338" t="s">
        <v>15</v>
      </c>
      <c r="F5338" t="s">
        <v>16</v>
      </c>
      <c r="G5338" s="1">
        <v>39387</v>
      </c>
      <c r="H5338" s="1">
        <v>39941</v>
      </c>
      <c r="I5338" t="s">
        <v>12</v>
      </c>
      <c r="J5338" t="s">
        <v>16108</v>
      </c>
    </row>
    <row r="5339" spans="1:10" x14ac:dyDescent="0.25">
      <c r="A5339">
        <v>429756</v>
      </c>
      <c r="B5339" t="s">
        <v>5571</v>
      </c>
      <c r="C5339" t="str">
        <f>"9780754640561"</f>
        <v>9780754640561</v>
      </c>
      <c r="D5339" t="str">
        <f>"9780754681571"</f>
        <v>9780754681571</v>
      </c>
      <c r="E5339" t="s">
        <v>15</v>
      </c>
      <c r="F5339" t="s">
        <v>16</v>
      </c>
      <c r="G5339" s="1">
        <v>38776</v>
      </c>
      <c r="H5339" s="1">
        <v>39941</v>
      </c>
      <c r="I5339" t="s">
        <v>12</v>
      </c>
      <c r="J5339" t="s">
        <v>16109</v>
      </c>
    </row>
    <row r="5340" spans="1:10" x14ac:dyDescent="0.25">
      <c r="A5340">
        <v>429780</v>
      </c>
      <c r="B5340" t="s">
        <v>5572</v>
      </c>
      <c r="C5340" t="str">
        <f>"9780566087721"</f>
        <v>9780566087721</v>
      </c>
      <c r="D5340" t="str">
        <f>"9780754686347"</f>
        <v>9780754686347</v>
      </c>
      <c r="E5340" t="s">
        <v>15</v>
      </c>
      <c r="F5340" t="s">
        <v>5573</v>
      </c>
      <c r="G5340" s="1">
        <v>39387</v>
      </c>
      <c r="H5340" s="1">
        <v>39941</v>
      </c>
      <c r="I5340" t="s">
        <v>12</v>
      </c>
      <c r="J5340" t="s">
        <v>16110</v>
      </c>
    </row>
    <row r="5341" spans="1:10" x14ac:dyDescent="0.25">
      <c r="A5341">
        <v>429785</v>
      </c>
      <c r="B5341" t="s">
        <v>5574</v>
      </c>
      <c r="C5341" t="str">
        <f>"9780754619741"</f>
        <v>9780754619741</v>
      </c>
      <c r="D5341" t="str">
        <f>"9780754680253"</f>
        <v>9780754680253</v>
      </c>
      <c r="E5341" t="s">
        <v>15</v>
      </c>
      <c r="F5341" t="s">
        <v>16</v>
      </c>
      <c r="G5341" s="1">
        <v>39387</v>
      </c>
      <c r="H5341" s="1">
        <v>39941</v>
      </c>
      <c r="I5341" t="s">
        <v>12</v>
      </c>
      <c r="J5341" t="s">
        <v>16111</v>
      </c>
    </row>
    <row r="5342" spans="1:10" x14ac:dyDescent="0.25">
      <c r="A5342">
        <v>429810</v>
      </c>
      <c r="B5342" t="s">
        <v>5575</v>
      </c>
      <c r="C5342" t="str">
        <f>"9780754609216"</f>
        <v>9780754609216</v>
      </c>
      <c r="D5342" t="str">
        <f>"9780754686446"</f>
        <v>9780754686446</v>
      </c>
      <c r="E5342" t="s">
        <v>15</v>
      </c>
      <c r="F5342" t="s">
        <v>16</v>
      </c>
      <c r="G5342" s="1">
        <v>39387</v>
      </c>
      <c r="H5342" s="1">
        <v>39941</v>
      </c>
      <c r="I5342" t="s">
        <v>12</v>
      </c>
      <c r="J5342" t="s">
        <v>16112</v>
      </c>
    </row>
    <row r="5343" spans="1:10" x14ac:dyDescent="0.25">
      <c r="A5343">
        <v>429813</v>
      </c>
      <c r="B5343" t="s">
        <v>5576</v>
      </c>
      <c r="C5343" t="str">
        <f>"9780754648963"</f>
        <v>9780754648963</v>
      </c>
      <c r="D5343" t="str">
        <f>"9780754683278"</f>
        <v>9780754683278</v>
      </c>
      <c r="E5343" t="s">
        <v>15</v>
      </c>
      <c r="F5343" t="s">
        <v>5544</v>
      </c>
      <c r="G5343" s="1">
        <v>39169</v>
      </c>
      <c r="H5343" s="1">
        <v>39941</v>
      </c>
      <c r="I5343" t="s">
        <v>12</v>
      </c>
      <c r="J5343" t="s">
        <v>16113</v>
      </c>
    </row>
    <row r="5344" spans="1:10" x14ac:dyDescent="0.25">
      <c r="A5344">
        <v>429825</v>
      </c>
      <c r="B5344" t="s">
        <v>5577</v>
      </c>
      <c r="C5344" t="str">
        <f>"9780754670735"</f>
        <v>9780754670735</v>
      </c>
      <c r="D5344" t="str">
        <f>"9780754683407"</f>
        <v>9780754683407</v>
      </c>
      <c r="E5344" t="s">
        <v>15</v>
      </c>
      <c r="F5344" t="s">
        <v>16</v>
      </c>
      <c r="G5344" s="1">
        <v>39387</v>
      </c>
      <c r="H5344" s="1">
        <v>39941</v>
      </c>
      <c r="I5344" t="s">
        <v>12</v>
      </c>
      <c r="J5344" t="s">
        <v>16114</v>
      </c>
    </row>
    <row r="5345" spans="1:10" x14ac:dyDescent="0.25">
      <c r="A5345">
        <v>429829</v>
      </c>
      <c r="B5345" t="s">
        <v>5578</v>
      </c>
      <c r="C5345" t="str">
        <f>"9780754646655"</f>
        <v>9780754646655</v>
      </c>
      <c r="D5345" t="str">
        <f>"9780754683414"</f>
        <v>9780754683414</v>
      </c>
      <c r="E5345" t="s">
        <v>15</v>
      </c>
      <c r="F5345" t="s">
        <v>16</v>
      </c>
      <c r="G5345" s="1">
        <v>39387</v>
      </c>
      <c r="H5345" s="1">
        <v>39941</v>
      </c>
      <c r="I5345" t="s">
        <v>12</v>
      </c>
      <c r="J5345" t="s">
        <v>16115</v>
      </c>
    </row>
    <row r="5346" spans="1:10" x14ac:dyDescent="0.25">
      <c r="A5346">
        <v>429832</v>
      </c>
      <c r="B5346" t="s">
        <v>5579</v>
      </c>
      <c r="C5346" t="str">
        <f>"9780754643265"</f>
        <v>9780754643265</v>
      </c>
      <c r="D5346" t="str">
        <f>"9780754681106"</f>
        <v>9780754681106</v>
      </c>
      <c r="E5346" t="s">
        <v>15</v>
      </c>
      <c r="F5346" t="s">
        <v>5573</v>
      </c>
      <c r="G5346" s="1">
        <v>38776</v>
      </c>
      <c r="H5346" s="1">
        <v>39941</v>
      </c>
      <c r="I5346" t="s">
        <v>12</v>
      </c>
      <c r="J5346" t="s">
        <v>16116</v>
      </c>
    </row>
    <row r="5347" spans="1:10" x14ac:dyDescent="0.25">
      <c r="A5347">
        <v>429848</v>
      </c>
      <c r="B5347" t="s">
        <v>5580</v>
      </c>
      <c r="C5347" t="str">
        <f>"9780754646204"</f>
        <v>9780754646204</v>
      </c>
      <c r="D5347" t="str">
        <f>"9780754683339"</f>
        <v>9780754683339</v>
      </c>
      <c r="E5347" t="s">
        <v>15</v>
      </c>
      <c r="F5347" t="s">
        <v>5544</v>
      </c>
      <c r="G5347" s="1">
        <v>39110</v>
      </c>
      <c r="H5347" s="1">
        <v>39941</v>
      </c>
      <c r="I5347" t="s">
        <v>12</v>
      </c>
      <c r="J5347" t="s">
        <v>16117</v>
      </c>
    </row>
    <row r="5348" spans="1:10" x14ac:dyDescent="0.25">
      <c r="A5348">
        <v>429854</v>
      </c>
      <c r="B5348" t="s">
        <v>5581</v>
      </c>
      <c r="C5348" t="str">
        <f>"9780754647522"</f>
        <v>9780754647522</v>
      </c>
      <c r="D5348" t="str">
        <f>"9780754685760"</f>
        <v>9780754685760</v>
      </c>
      <c r="E5348" t="s">
        <v>15</v>
      </c>
      <c r="F5348" t="s">
        <v>16</v>
      </c>
      <c r="G5348" s="1">
        <v>39387</v>
      </c>
      <c r="H5348" s="1">
        <v>39941</v>
      </c>
      <c r="I5348" t="s">
        <v>12</v>
      </c>
      <c r="J5348" t="s">
        <v>16118</v>
      </c>
    </row>
    <row r="5349" spans="1:10" x14ac:dyDescent="0.25">
      <c r="A5349">
        <v>429867</v>
      </c>
      <c r="B5349" t="s">
        <v>5582</v>
      </c>
      <c r="C5349" t="str">
        <f>"9780754647546"</f>
        <v>9780754647546</v>
      </c>
      <c r="D5349" t="str">
        <f>"9780754683742"</f>
        <v>9780754683742</v>
      </c>
      <c r="E5349" t="s">
        <v>15</v>
      </c>
      <c r="F5349" t="s">
        <v>16</v>
      </c>
      <c r="G5349" s="1">
        <v>39197</v>
      </c>
      <c r="H5349" s="1">
        <v>39941</v>
      </c>
      <c r="I5349" t="s">
        <v>12</v>
      </c>
      <c r="J5349" t="s">
        <v>16119</v>
      </c>
    </row>
    <row r="5350" spans="1:10" x14ac:dyDescent="0.25">
      <c r="A5350">
        <v>429880</v>
      </c>
      <c r="B5350" t="s">
        <v>5583</v>
      </c>
      <c r="C5350" t="str">
        <f>"9780754670384"</f>
        <v>9780754670384</v>
      </c>
      <c r="D5350" t="str">
        <f>"9780754683797"</f>
        <v>9780754683797</v>
      </c>
      <c r="E5350" t="s">
        <v>15</v>
      </c>
      <c r="F5350" t="s">
        <v>16</v>
      </c>
      <c r="G5350" s="1">
        <v>39185</v>
      </c>
      <c r="H5350" s="1">
        <v>39941</v>
      </c>
      <c r="I5350" t="s">
        <v>12</v>
      </c>
      <c r="J5350" t="s">
        <v>16120</v>
      </c>
    </row>
    <row r="5351" spans="1:10" x14ac:dyDescent="0.25">
      <c r="A5351">
        <v>429885</v>
      </c>
      <c r="B5351" t="s">
        <v>5584</v>
      </c>
      <c r="C5351" t="str">
        <f>"9780754648901"</f>
        <v>9780754648901</v>
      </c>
      <c r="D5351" t="str">
        <f>"9780754683513"</f>
        <v>9780754683513</v>
      </c>
      <c r="E5351" t="s">
        <v>15</v>
      </c>
      <c r="F5351" t="s">
        <v>16</v>
      </c>
      <c r="G5351" s="1">
        <v>39200</v>
      </c>
      <c r="H5351" s="1">
        <v>39941</v>
      </c>
      <c r="I5351" t="s">
        <v>12</v>
      </c>
      <c r="J5351" t="s">
        <v>16121</v>
      </c>
    </row>
    <row r="5352" spans="1:10" x14ac:dyDescent="0.25">
      <c r="A5352">
        <v>429890</v>
      </c>
      <c r="B5352" t="s">
        <v>5585</v>
      </c>
      <c r="C5352" t="str">
        <f>"9780754643555"</f>
        <v>9780754643555</v>
      </c>
      <c r="D5352" t="str">
        <f>"9780754680031"</f>
        <v>9780754680031</v>
      </c>
      <c r="E5352" t="s">
        <v>15</v>
      </c>
      <c r="F5352" t="s">
        <v>16</v>
      </c>
      <c r="G5352" s="1">
        <v>39387</v>
      </c>
      <c r="H5352" s="1">
        <v>39941</v>
      </c>
      <c r="I5352" t="s">
        <v>12</v>
      </c>
      <c r="J5352" t="s">
        <v>16122</v>
      </c>
    </row>
    <row r="5353" spans="1:10" x14ac:dyDescent="0.25">
      <c r="A5353">
        <v>429901</v>
      </c>
      <c r="B5353" t="s">
        <v>5586</v>
      </c>
      <c r="C5353" t="str">
        <f>"9781844071098"</f>
        <v>9781844071098</v>
      </c>
      <c r="D5353" t="str">
        <f>"9781849772648"</f>
        <v>9781849772648</v>
      </c>
      <c r="E5353" t="s">
        <v>15</v>
      </c>
      <c r="F5353" t="s">
        <v>16</v>
      </c>
      <c r="G5353" s="1">
        <v>38626</v>
      </c>
      <c r="H5353" s="1">
        <v>40244</v>
      </c>
      <c r="I5353" t="s">
        <v>12</v>
      </c>
      <c r="J5353" t="s">
        <v>16123</v>
      </c>
    </row>
    <row r="5354" spans="1:10" x14ac:dyDescent="0.25">
      <c r="A5354">
        <v>429903</v>
      </c>
      <c r="B5354" t="s">
        <v>5587</v>
      </c>
      <c r="C5354" t="str">
        <f>"9781844072989"</f>
        <v>9781844072989</v>
      </c>
      <c r="D5354" t="str">
        <f>"9781849771153"</f>
        <v>9781849771153</v>
      </c>
      <c r="E5354" t="s">
        <v>15</v>
      </c>
      <c r="F5354" t="s">
        <v>16</v>
      </c>
      <c r="G5354" s="1">
        <v>38687</v>
      </c>
      <c r="H5354" s="1">
        <v>40244</v>
      </c>
      <c r="I5354" t="s">
        <v>12</v>
      </c>
      <c r="J5354" t="s">
        <v>16124</v>
      </c>
    </row>
    <row r="5355" spans="1:10" x14ac:dyDescent="0.25">
      <c r="A5355">
        <v>429908</v>
      </c>
      <c r="B5355" t="s">
        <v>5588</v>
      </c>
      <c r="C5355" t="str">
        <f>"9781853839283"</f>
        <v>9781853839283</v>
      </c>
      <c r="D5355" t="str">
        <f>"9781849773195"</f>
        <v>9781849773195</v>
      </c>
      <c r="E5355" t="s">
        <v>15</v>
      </c>
      <c r="F5355" t="s">
        <v>16</v>
      </c>
      <c r="G5355" s="1">
        <v>38322</v>
      </c>
      <c r="H5355" s="1">
        <v>40112</v>
      </c>
      <c r="I5355" t="s">
        <v>12</v>
      </c>
      <c r="J5355" t="s">
        <v>16125</v>
      </c>
    </row>
    <row r="5356" spans="1:10" x14ac:dyDescent="0.25">
      <c r="A5356">
        <v>429911</v>
      </c>
      <c r="B5356" t="s">
        <v>5589</v>
      </c>
      <c r="C5356" t="str">
        <f>"9781844074013"</f>
        <v>9781844074013</v>
      </c>
      <c r="D5356" t="str">
        <f>"9781136571633"</f>
        <v>9781136571633</v>
      </c>
      <c r="E5356" t="s">
        <v>15</v>
      </c>
      <c r="F5356" t="s">
        <v>16</v>
      </c>
      <c r="G5356" s="1">
        <v>39052</v>
      </c>
      <c r="H5356" s="1">
        <v>40244</v>
      </c>
      <c r="I5356" t="s">
        <v>12</v>
      </c>
      <c r="J5356" t="s">
        <v>16126</v>
      </c>
    </row>
    <row r="5357" spans="1:10" x14ac:dyDescent="0.25">
      <c r="A5357">
        <v>429915</v>
      </c>
      <c r="B5357" t="s">
        <v>5590</v>
      </c>
      <c r="C5357" t="str">
        <f>"9781844073634"</f>
        <v>9781844073634</v>
      </c>
      <c r="D5357" t="str">
        <f>"9781849771139"</f>
        <v>9781849771139</v>
      </c>
      <c r="E5357" t="s">
        <v>15</v>
      </c>
      <c r="F5357" t="s">
        <v>16</v>
      </c>
      <c r="G5357" s="1">
        <v>37895</v>
      </c>
      <c r="H5357" s="1">
        <v>40082</v>
      </c>
      <c r="I5357" t="s">
        <v>12</v>
      </c>
      <c r="J5357" t="s">
        <v>16127</v>
      </c>
    </row>
    <row r="5358" spans="1:10" x14ac:dyDescent="0.25">
      <c r="A5358">
        <v>429921</v>
      </c>
      <c r="B5358" t="s">
        <v>5591</v>
      </c>
      <c r="C5358" t="str">
        <f>"9781844071685"</f>
        <v>9781844071685</v>
      </c>
      <c r="D5358" t="str">
        <f>"9781849771504"</f>
        <v>9781849771504</v>
      </c>
      <c r="E5358" t="s">
        <v>15</v>
      </c>
      <c r="F5358" t="s">
        <v>16</v>
      </c>
      <c r="G5358" s="1">
        <v>38292</v>
      </c>
      <c r="H5358" s="1">
        <v>40244</v>
      </c>
      <c r="I5358" t="s">
        <v>12</v>
      </c>
      <c r="J5358" t="s">
        <v>16128</v>
      </c>
    </row>
    <row r="5359" spans="1:10" x14ac:dyDescent="0.25">
      <c r="A5359">
        <v>429931</v>
      </c>
      <c r="B5359" t="s">
        <v>2360</v>
      </c>
      <c r="C5359" t="str">
        <f>"9781844075218"</f>
        <v>9781844075218</v>
      </c>
      <c r="D5359" t="str">
        <f>"9781849770477"</f>
        <v>9781849770477</v>
      </c>
      <c r="E5359" t="s">
        <v>15</v>
      </c>
      <c r="F5359" t="s">
        <v>16</v>
      </c>
      <c r="G5359" s="1">
        <v>39387</v>
      </c>
      <c r="H5359" s="1">
        <v>40244</v>
      </c>
      <c r="I5359" t="s">
        <v>12</v>
      </c>
      <c r="J5359" t="s">
        <v>16129</v>
      </c>
    </row>
    <row r="5360" spans="1:10" x14ac:dyDescent="0.25">
      <c r="A5360">
        <v>429940</v>
      </c>
      <c r="B5360" t="s">
        <v>5592</v>
      </c>
      <c r="C5360" t="str">
        <f>"9781844074242"</f>
        <v>9781844074242</v>
      </c>
      <c r="D5360" t="str">
        <f>"9781849773461"</f>
        <v>9781849773461</v>
      </c>
      <c r="E5360" t="s">
        <v>15</v>
      </c>
      <c r="F5360" t="s">
        <v>16</v>
      </c>
      <c r="G5360" s="1">
        <v>39134</v>
      </c>
      <c r="H5360" s="1">
        <v>40082</v>
      </c>
      <c r="I5360" t="s">
        <v>12</v>
      </c>
      <c r="J5360" t="s">
        <v>16130</v>
      </c>
    </row>
    <row r="5361" spans="1:10" x14ac:dyDescent="0.25">
      <c r="A5361">
        <v>429941</v>
      </c>
      <c r="B5361" t="s">
        <v>5593</v>
      </c>
      <c r="C5361" t="str">
        <f>"9781844074174"</f>
        <v>9781844074174</v>
      </c>
      <c r="D5361" t="str">
        <f>"9781849773720"</f>
        <v>9781849773720</v>
      </c>
      <c r="E5361" t="s">
        <v>15</v>
      </c>
      <c r="F5361" t="s">
        <v>16</v>
      </c>
      <c r="G5361" s="1">
        <v>41026</v>
      </c>
      <c r="H5361" s="1">
        <v>40082</v>
      </c>
      <c r="I5361" t="s">
        <v>12</v>
      </c>
      <c r="J5361" t="s">
        <v>16131</v>
      </c>
    </row>
    <row r="5362" spans="1:10" x14ac:dyDescent="0.25">
      <c r="A5362">
        <v>429946</v>
      </c>
      <c r="B5362" t="s">
        <v>5594</v>
      </c>
      <c r="C5362" t="str">
        <f>"9781844073023"</f>
        <v>9781844073023</v>
      </c>
      <c r="D5362" t="str">
        <f>"9781849771900"</f>
        <v>9781849771900</v>
      </c>
      <c r="E5362" t="s">
        <v>15</v>
      </c>
      <c r="F5362" t="s">
        <v>16</v>
      </c>
      <c r="G5362" s="1">
        <v>39022</v>
      </c>
      <c r="H5362" s="1">
        <v>40082</v>
      </c>
      <c r="I5362" t="s">
        <v>12</v>
      </c>
      <c r="J5362" t="s">
        <v>16132</v>
      </c>
    </row>
    <row r="5363" spans="1:10" x14ac:dyDescent="0.25">
      <c r="A5363">
        <v>429955</v>
      </c>
      <c r="B5363" t="s">
        <v>5595</v>
      </c>
      <c r="C5363" t="str">
        <f>"9781844073696"</f>
        <v>9781844073696</v>
      </c>
      <c r="D5363" t="str">
        <f>"9781849773010"</f>
        <v>9781849773010</v>
      </c>
      <c r="E5363" t="s">
        <v>15</v>
      </c>
      <c r="F5363" t="s">
        <v>16</v>
      </c>
      <c r="G5363" s="1">
        <v>39022</v>
      </c>
      <c r="H5363" s="1">
        <v>40082</v>
      </c>
      <c r="I5363" t="s">
        <v>12</v>
      </c>
      <c r="J5363" t="s">
        <v>16133</v>
      </c>
    </row>
    <row r="5364" spans="1:10" x14ac:dyDescent="0.25">
      <c r="A5364">
        <v>429960</v>
      </c>
      <c r="B5364" t="s">
        <v>5596</v>
      </c>
      <c r="C5364" t="str">
        <f>"9781844076345"</f>
        <v>9781844076345</v>
      </c>
      <c r="D5364" t="str">
        <f>"9781849771283"</f>
        <v>9781849771283</v>
      </c>
      <c r="E5364" t="s">
        <v>15</v>
      </c>
      <c r="F5364" t="s">
        <v>16</v>
      </c>
      <c r="G5364" s="1">
        <v>39786</v>
      </c>
      <c r="H5364" s="1">
        <v>40082</v>
      </c>
      <c r="I5364" t="s">
        <v>12</v>
      </c>
      <c r="J5364" t="s">
        <v>16134</v>
      </c>
    </row>
    <row r="5365" spans="1:10" x14ac:dyDescent="0.25">
      <c r="A5365">
        <v>429989</v>
      </c>
      <c r="B5365" t="s">
        <v>5597</v>
      </c>
      <c r="C5365" t="str">
        <f>"9781844071326"</f>
        <v>9781844071326</v>
      </c>
      <c r="D5365" t="str">
        <f>"9781849772167"</f>
        <v>9781849772167</v>
      </c>
      <c r="E5365" t="s">
        <v>15</v>
      </c>
      <c r="F5365" t="s">
        <v>16</v>
      </c>
      <c r="G5365" s="1">
        <v>38292</v>
      </c>
      <c r="H5365" s="1">
        <v>40259</v>
      </c>
      <c r="I5365" t="s">
        <v>12</v>
      </c>
      <c r="J5365" t="s">
        <v>16135</v>
      </c>
    </row>
    <row r="5366" spans="1:10" x14ac:dyDescent="0.25">
      <c r="A5366">
        <v>429994</v>
      </c>
      <c r="B5366" t="s">
        <v>5598</v>
      </c>
      <c r="C5366" t="str">
        <f>"9781844071296"</f>
        <v>9781844071296</v>
      </c>
      <c r="D5366" t="str">
        <f>"9781849772068"</f>
        <v>9781849772068</v>
      </c>
      <c r="E5366" t="s">
        <v>144</v>
      </c>
      <c r="F5366" t="s">
        <v>16</v>
      </c>
      <c r="G5366" s="1">
        <v>38445</v>
      </c>
      <c r="H5366" s="1">
        <v>40082</v>
      </c>
      <c r="I5366" t="s">
        <v>12</v>
      </c>
      <c r="J5366" t="s">
        <v>16136</v>
      </c>
    </row>
    <row r="5367" spans="1:10" x14ac:dyDescent="0.25">
      <c r="A5367">
        <v>430020</v>
      </c>
      <c r="B5367" t="s">
        <v>5599</v>
      </c>
      <c r="C5367" t="str">
        <f>"9781844073221"</f>
        <v>9781844073221</v>
      </c>
      <c r="D5367" t="str">
        <f>"9781849772471"</f>
        <v>9781849772471</v>
      </c>
      <c r="E5367" t="s">
        <v>15</v>
      </c>
      <c r="F5367" t="s">
        <v>16</v>
      </c>
      <c r="G5367" s="1">
        <v>39052</v>
      </c>
      <c r="H5367" s="1">
        <v>40082</v>
      </c>
      <c r="I5367" t="s">
        <v>12</v>
      </c>
      <c r="J5367" t="s">
        <v>16137</v>
      </c>
    </row>
    <row r="5368" spans="1:10" x14ac:dyDescent="0.25">
      <c r="A5368">
        <v>430023</v>
      </c>
      <c r="B5368" t="s">
        <v>5600</v>
      </c>
      <c r="C5368" t="str">
        <f>"9781844073580"</f>
        <v>9781844073580</v>
      </c>
      <c r="D5368" t="str">
        <f>"9781849772051"</f>
        <v>9781849772051</v>
      </c>
      <c r="E5368" t="s">
        <v>15</v>
      </c>
      <c r="F5368" t="s">
        <v>16</v>
      </c>
      <c r="G5368" s="1">
        <v>38899</v>
      </c>
      <c r="H5368" s="1">
        <v>40082</v>
      </c>
      <c r="I5368" t="s">
        <v>12</v>
      </c>
      <c r="J5368" t="s">
        <v>16138</v>
      </c>
    </row>
    <row r="5369" spans="1:10" x14ac:dyDescent="0.25">
      <c r="A5369">
        <v>430056</v>
      </c>
      <c r="B5369" t="s">
        <v>5601</v>
      </c>
      <c r="C5369" t="str">
        <f>"9781844073269"</f>
        <v>9781844073269</v>
      </c>
      <c r="D5369" t="str">
        <f>"9781849772808"</f>
        <v>9781849772808</v>
      </c>
      <c r="E5369" t="s">
        <v>15</v>
      </c>
      <c r="F5369" t="s">
        <v>16</v>
      </c>
      <c r="G5369" s="1">
        <v>40086</v>
      </c>
      <c r="H5369" s="1">
        <v>40225</v>
      </c>
      <c r="I5369" t="s">
        <v>12</v>
      </c>
      <c r="J5369" t="s">
        <v>16139</v>
      </c>
    </row>
    <row r="5370" spans="1:10" x14ac:dyDescent="0.25">
      <c r="A5370">
        <v>430057</v>
      </c>
      <c r="B5370" t="s">
        <v>5602</v>
      </c>
      <c r="C5370" t="str">
        <f>"9781844073252"</f>
        <v>9781844073252</v>
      </c>
      <c r="D5370" t="str">
        <f>"9781849772792"</f>
        <v>9781849772792</v>
      </c>
      <c r="E5370" t="s">
        <v>15</v>
      </c>
      <c r="F5370" t="s">
        <v>16</v>
      </c>
      <c r="G5370" s="1">
        <v>39052</v>
      </c>
      <c r="H5370" s="1">
        <v>40225</v>
      </c>
      <c r="I5370" t="s">
        <v>12</v>
      </c>
      <c r="J5370" t="s">
        <v>16140</v>
      </c>
    </row>
    <row r="5371" spans="1:10" x14ac:dyDescent="0.25">
      <c r="A5371">
        <v>430063</v>
      </c>
      <c r="B5371" t="s">
        <v>5603</v>
      </c>
      <c r="C5371" t="str">
        <f>"9781844071302"</f>
        <v>9781844071302</v>
      </c>
      <c r="D5371" t="str">
        <f>"9781849770620"</f>
        <v>9781849770620</v>
      </c>
      <c r="E5371" t="s">
        <v>144</v>
      </c>
      <c r="F5371" t="s">
        <v>16</v>
      </c>
      <c r="G5371" s="1">
        <v>38869</v>
      </c>
      <c r="H5371" s="1">
        <v>40082</v>
      </c>
      <c r="I5371" t="s">
        <v>12</v>
      </c>
      <c r="J5371" t="s">
        <v>16141</v>
      </c>
    </row>
    <row r="5372" spans="1:10" x14ac:dyDescent="0.25">
      <c r="A5372">
        <v>430087</v>
      </c>
      <c r="B5372" t="s">
        <v>5604</v>
      </c>
      <c r="C5372" t="str">
        <f>"9781844074211"</f>
        <v>9781844074211</v>
      </c>
      <c r="D5372" t="str">
        <f>"9781849770934"</f>
        <v>9781849770934</v>
      </c>
      <c r="E5372" t="s">
        <v>15</v>
      </c>
      <c r="F5372" t="s">
        <v>16</v>
      </c>
      <c r="G5372" s="1">
        <v>39350</v>
      </c>
      <c r="H5372" s="1">
        <v>40337</v>
      </c>
      <c r="I5372" t="s">
        <v>12</v>
      </c>
      <c r="J5372" t="s">
        <v>16142</v>
      </c>
    </row>
    <row r="5373" spans="1:10" x14ac:dyDescent="0.25">
      <c r="A5373">
        <v>430088</v>
      </c>
      <c r="B5373" t="s">
        <v>5605</v>
      </c>
      <c r="C5373" t="str">
        <f>"9781844071807"</f>
        <v>9781844071807</v>
      </c>
      <c r="D5373" t="str">
        <f>"9781849771092"</f>
        <v>9781849771092</v>
      </c>
      <c r="E5373" t="s">
        <v>15</v>
      </c>
      <c r="F5373" t="s">
        <v>16</v>
      </c>
      <c r="G5373" s="1">
        <v>41026</v>
      </c>
      <c r="H5373" s="1">
        <v>40082</v>
      </c>
      <c r="I5373" t="s">
        <v>12</v>
      </c>
      <c r="J5373" t="s">
        <v>16143</v>
      </c>
    </row>
    <row r="5374" spans="1:10" x14ac:dyDescent="0.25">
      <c r="A5374">
        <v>430099</v>
      </c>
      <c r="B5374" t="s">
        <v>5606</v>
      </c>
      <c r="C5374" t="str">
        <f>"9781844077069"</f>
        <v>9781844077069</v>
      </c>
      <c r="D5374" t="str">
        <f>"9781849773249"</f>
        <v>9781849773249</v>
      </c>
      <c r="E5374" t="s">
        <v>15</v>
      </c>
      <c r="F5374" t="s">
        <v>16</v>
      </c>
      <c r="G5374" s="1">
        <v>39688</v>
      </c>
      <c r="H5374" s="1">
        <v>40082</v>
      </c>
      <c r="I5374" t="s">
        <v>12</v>
      </c>
      <c r="J5374" t="s">
        <v>16144</v>
      </c>
    </row>
    <row r="5375" spans="1:10" x14ac:dyDescent="0.25">
      <c r="A5375">
        <v>430103</v>
      </c>
      <c r="B5375" t="s">
        <v>5607</v>
      </c>
      <c r="C5375" t="str">
        <f>"9781844075249"</f>
        <v>9781844075249</v>
      </c>
      <c r="D5375" t="str">
        <f>"9781849772273"</f>
        <v>9781849772273</v>
      </c>
      <c r="E5375" t="s">
        <v>15</v>
      </c>
      <c r="F5375" t="s">
        <v>16</v>
      </c>
      <c r="G5375" s="1">
        <v>39479</v>
      </c>
      <c r="H5375" s="1">
        <v>40082</v>
      </c>
      <c r="I5375" t="s">
        <v>12</v>
      </c>
      <c r="J5375" t="s">
        <v>16145</v>
      </c>
    </row>
    <row r="5376" spans="1:10" x14ac:dyDescent="0.25">
      <c r="A5376">
        <v>430105</v>
      </c>
      <c r="B5376" t="s">
        <v>5608</v>
      </c>
      <c r="C5376" t="str">
        <f>"9781844073092"</f>
        <v>9781844073092</v>
      </c>
      <c r="D5376" t="str">
        <f>"9781849771535"</f>
        <v>9781849771535</v>
      </c>
      <c r="E5376" t="s">
        <v>15</v>
      </c>
      <c r="F5376" t="s">
        <v>16</v>
      </c>
      <c r="G5376" s="1">
        <v>39163</v>
      </c>
      <c r="H5376" s="1">
        <v>40082</v>
      </c>
      <c r="I5376" t="s">
        <v>12</v>
      </c>
      <c r="J5376" t="s">
        <v>16146</v>
      </c>
    </row>
    <row r="5377" spans="1:10" x14ac:dyDescent="0.25">
      <c r="A5377">
        <v>430108</v>
      </c>
      <c r="B5377" t="s">
        <v>5609</v>
      </c>
      <c r="C5377" t="str">
        <f>"9781844074105"</f>
        <v>9781844074105</v>
      </c>
      <c r="D5377" t="str">
        <f>"9781849773034"</f>
        <v>9781849773034</v>
      </c>
      <c r="E5377" t="s">
        <v>15</v>
      </c>
      <c r="F5377" t="s">
        <v>16</v>
      </c>
      <c r="G5377" s="1">
        <v>39052</v>
      </c>
      <c r="H5377" s="1">
        <v>40082</v>
      </c>
      <c r="I5377" t="s">
        <v>12</v>
      </c>
      <c r="J5377" t="s">
        <v>16147</v>
      </c>
    </row>
    <row r="5378" spans="1:10" x14ac:dyDescent="0.25">
      <c r="A5378">
        <v>430116</v>
      </c>
      <c r="B5378" t="s">
        <v>5610</v>
      </c>
      <c r="C5378" t="str">
        <f>"9781844072439"</f>
        <v>9781844072439</v>
      </c>
      <c r="D5378" t="str">
        <f>"9781849770293"</f>
        <v>9781849770293</v>
      </c>
      <c r="E5378" t="s">
        <v>144</v>
      </c>
      <c r="F5378" t="s">
        <v>16</v>
      </c>
      <c r="G5378" s="1">
        <v>38930</v>
      </c>
      <c r="H5378" s="1">
        <v>40082</v>
      </c>
      <c r="I5378" t="s">
        <v>12</v>
      </c>
      <c r="J5378" t="s">
        <v>16148</v>
      </c>
    </row>
    <row r="5379" spans="1:10" x14ac:dyDescent="0.25">
      <c r="A5379">
        <v>430117</v>
      </c>
      <c r="B5379" t="s">
        <v>5611</v>
      </c>
      <c r="C5379" t="str">
        <f>"9781844073900"</f>
        <v>9781844073900</v>
      </c>
      <c r="D5379" t="str">
        <f>"9781136568763"</f>
        <v>9781136568763</v>
      </c>
      <c r="E5379" t="s">
        <v>15</v>
      </c>
      <c r="F5379" t="s">
        <v>16</v>
      </c>
      <c r="G5379" s="1">
        <v>39184</v>
      </c>
      <c r="H5379" s="1">
        <v>40082</v>
      </c>
      <c r="I5379" t="s">
        <v>12</v>
      </c>
      <c r="J5379" t="s">
        <v>16149</v>
      </c>
    </row>
    <row r="5380" spans="1:10" x14ac:dyDescent="0.25">
      <c r="A5380">
        <v>430119</v>
      </c>
      <c r="B5380" t="s">
        <v>5612</v>
      </c>
      <c r="C5380" t="str">
        <f>"9781844073566"</f>
        <v>9781844073566</v>
      </c>
      <c r="D5380" t="str">
        <f>"9781849770897"</f>
        <v>9781849770897</v>
      </c>
      <c r="E5380" t="s">
        <v>15</v>
      </c>
      <c r="F5380" t="s">
        <v>16</v>
      </c>
      <c r="G5380" s="1">
        <v>39022</v>
      </c>
      <c r="H5380" s="1">
        <v>40082</v>
      </c>
      <c r="I5380" t="s">
        <v>12</v>
      </c>
      <c r="J5380" t="s">
        <v>16150</v>
      </c>
    </row>
    <row r="5381" spans="1:10" x14ac:dyDescent="0.25">
      <c r="A5381">
        <v>430124</v>
      </c>
      <c r="B5381" t="s">
        <v>5613</v>
      </c>
      <c r="C5381" t="str">
        <f>"9781844071579"</f>
        <v>9781844071579</v>
      </c>
      <c r="D5381" t="str">
        <f>"9781849771221"</f>
        <v>9781849771221</v>
      </c>
      <c r="E5381" t="s">
        <v>15</v>
      </c>
      <c r="F5381" t="s">
        <v>16</v>
      </c>
      <c r="G5381" s="1">
        <v>38445</v>
      </c>
      <c r="H5381" s="1">
        <v>40082</v>
      </c>
      <c r="I5381" t="s">
        <v>12</v>
      </c>
      <c r="J5381" t="s">
        <v>16151</v>
      </c>
    </row>
    <row r="5382" spans="1:10" x14ac:dyDescent="0.25">
      <c r="A5382">
        <v>430128</v>
      </c>
      <c r="B5382" t="s">
        <v>5614</v>
      </c>
      <c r="C5382" t="str">
        <f>"9781844072415"</f>
        <v>9781844072415</v>
      </c>
      <c r="D5382" t="str">
        <f>"9781849772822"</f>
        <v>9781849772822</v>
      </c>
      <c r="E5382" t="s">
        <v>15</v>
      </c>
      <c r="F5382" t="s">
        <v>16</v>
      </c>
      <c r="G5382" s="1">
        <v>38565</v>
      </c>
      <c r="H5382" s="1">
        <v>40082</v>
      </c>
      <c r="I5382" t="s">
        <v>12</v>
      </c>
      <c r="J5382" t="s">
        <v>16152</v>
      </c>
    </row>
    <row r="5383" spans="1:10" x14ac:dyDescent="0.25">
      <c r="A5383">
        <v>430142</v>
      </c>
      <c r="B5383" t="s">
        <v>5615</v>
      </c>
      <c r="C5383" t="str">
        <f>"9781844073498"</f>
        <v>9781844073498</v>
      </c>
      <c r="D5383" t="str">
        <f>"9781849770576"</f>
        <v>9781849770576</v>
      </c>
      <c r="E5383" t="s">
        <v>15</v>
      </c>
      <c r="F5383" t="s">
        <v>16</v>
      </c>
      <c r="G5383" s="1">
        <v>39170</v>
      </c>
      <c r="H5383" s="1">
        <v>40082</v>
      </c>
      <c r="I5383" t="s">
        <v>12</v>
      </c>
      <c r="J5383" t="s">
        <v>16153</v>
      </c>
    </row>
    <row r="5384" spans="1:10" x14ac:dyDescent="0.25">
      <c r="A5384">
        <v>430149</v>
      </c>
      <c r="B5384" t="s">
        <v>5616</v>
      </c>
      <c r="C5384" t="str">
        <f>"9781844073450"</f>
        <v>9781844073450</v>
      </c>
      <c r="D5384" t="str">
        <f>"9781849771511"</f>
        <v>9781849771511</v>
      </c>
      <c r="E5384" t="s">
        <v>15</v>
      </c>
      <c r="F5384" t="s">
        <v>16</v>
      </c>
      <c r="G5384" s="1">
        <v>39022</v>
      </c>
      <c r="H5384" s="1">
        <v>40082</v>
      </c>
      <c r="I5384" t="s">
        <v>12</v>
      </c>
      <c r="J5384" t="s">
        <v>16154</v>
      </c>
    </row>
    <row r="5385" spans="1:10" x14ac:dyDescent="0.25">
      <c r="A5385">
        <v>430162</v>
      </c>
      <c r="B5385" t="s">
        <v>5617</v>
      </c>
      <c r="C5385" t="str">
        <f>"9781844074327"</f>
        <v>9781844074327</v>
      </c>
      <c r="D5385" t="str">
        <f>"9781849772969"</f>
        <v>9781849772969</v>
      </c>
      <c r="E5385" t="s">
        <v>15</v>
      </c>
      <c r="F5385" t="s">
        <v>16</v>
      </c>
      <c r="G5385" s="1">
        <v>39203</v>
      </c>
      <c r="H5385" s="1">
        <v>40082</v>
      </c>
      <c r="I5385" t="s">
        <v>12</v>
      </c>
      <c r="J5385" t="s">
        <v>16155</v>
      </c>
    </row>
    <row r="5386" spans="1:10" x14ac:dyDescent="0.25">
      <c r="A5386">
        <v>430163</v>
      </c>
      <c r="B5386" t="s">
        <v>5618</v>
      </c>
      <c r="C5386" t="str">
        <f>"9781844074273"</f>
        <v>9781844074273</v>
      </c>
      <c r="D5386" t="str">
        <f>"9781849772013"</f>
        <v>9781849772013</v>
      </c>
      <c r="E5386" t="s">
        <v>15</v>
      </c>
      <c r="F5386" t="s">
        <v>16</v>
      </c>
      <c r="G5386" s="1">
        <v>39329</v>
      </c>
      <c r="H5386" s="1">
        <v>40082</v>
      </c>
      <c r="I5386" t="s">
        <v>12</v>
      </c>
      <c r="J5386" t="s">
        <v>16156</v>
      </c>
    </row>
    <row r="5387" spans="1:10" x14ac:dyDescent="0.25">
      <c r="A5387">
        <v>430172</v>
      </c>
      <c r="B5387" t="s">
        <v>5619</v>
      </c>
      <c r="C5387" t="str">
        <f>"9781902916422"</f>
        <v>9781902916422</v>
      </c>
      <c r="D5387" t="str">
        <f>"9781849771160"</f>
        <v>9781849771160</v>
      </c>
      <c r="E5387" t="s">
        <v>144</v>
      </c>
      <c r="F5387" t="s">
        <v>16</v>
      </c>
      <c r="G5387" s="1">
        <v>38930</v>
      </c>
      <c r="H5387" s="1">
        <v>40082</v>
      </c>
      <c r="I5387" t="s">
        <v>12</v>
      </c>
      <c r="J5387" t="s">
        <v>16157</v>
      </c>
    </row>
    <row r="5388" spans="1:10" x14ac:dyDescent="0.25">
      <c r="A5388">
        <v>430173</v>
      </c>
      <c r="B5388" t="s">
        <v>5620</v>
      </c>
      <c r="C5388" t="str">
        <f>"9781844073894"</f>
        <v>9781844073894</v>
      </c>
      <c r="D5388" t="str">
        <f>"9781136572470"</f>
        <v>9781136572470</v>
      </c>
      <c r="E5388" t="s">
        <v>16</v>
      </c>
      <c r="F5388" t="s">
        <v>16</v>
      </c>
      <c r="G5388" s="1">
        <v>39629</v>
      </c>
      <c r="H5388" s="1">
        <v>40082</v>
      </c>
      <c r="I5388" t="s">
        <v>12</v>
      </c>
      <c r="J5388" t="s">
        <v>16158</v>
      </c>
    </row>
    <row r="5389" spans="1:10" x14ac:dyDescent="0.25">
      <c r="A5389">
        <v>430174</v>
      </c>
      <c r="B5389" t="s">
        <v>5621</v>
      </c>
      <c r="C5389" t="str">
        <f>"9781844075171"</f>
        <v>9781844075171</v>
      </c>
      <c r="D5389" t="str">
        <f>"9781849770385"</f>
        <v>9781849770385</v>
      </c>
      <c r="E5389" t="s">
        <v>144</v>
      </c>
      <c r="F5389" t="s">
        <v>16</v>
      </c>
      <c r="G5389" s="1">
        <v>39966</v>
      </c>
      <c r="H5389" s="1">
        <v>40082</v>
      </c>
      <c r="I5389" t="s">
        <v>12</v>
      </c>
      <c r="J5389" t="s">
        <v>16159</v>
      </c>
    </row>
    <row r="5390" spans="1:10" x14ac:dyDescent="0.25">
      <c r="A5390">
        <v>430176</v>
      </c>
      <c r="B5390" t="s">
        <v>5622</v>
      </c>
      <c r="C5390" t="str">
        <f>"9781844073559"</f>
        <v>9781844073559</v>
      </c>
      <c r="D5390" t="str">
        <f>"9781849771122"</f>
        <v>9781849771122</v>
      </c>
      <c r="E5390" t="s">
        <v>15</v>
      </c>
      <c r="F5390" t="s">
        <v>16</v>
      </c>
      <c r="G5390" s="1">
        <v>39052</v>
      </c>
      <c r="H5390" s="1">
        <v>40082</v>
      </c>
      <c r="I5390" t="s">
        <v>12</v>
      </c>
      <c r="J5390" t="s">
        <v>16160</v>
      </c>
    </row>
    <row r="5391" spans="1:10" x14ac:dyDescent="0.25">
      <c r="A5391">
        <v>430178</v>
      </c>
      <c r="B5391" t="s">
        <v>5623</v>
      </c>
      <c r="C5391" t="str">
        <f>"9781844073887"</f>
        <v>9781844073887</v>
      </c>
      <c r="D5391" t="str">
        <f>"9781849770873"</f>
        <v>9781849770873</v>
      </c>
      <c r="E5391" t="s">
        <v>15</v>
      </c>
      <c r="F5391" t="s">
        <v>16</v>
      </c>
      <c r="G5391" s="1">
        <v>39603</v>
      </c>
      <c r="H5391" s="1">
        <v>40082</v>
      </c>
      <c r="I5391" t="s">
        <v>12</v>
      </c>
      <c r="J5391" t="s">
        <v>16161</v>
      </c>
    </row>
    <row r="5392" spans="1:10" x14ac:dyDescent="0.25">
      <c r="A5392">
        <v>430180</v>
      </c>
      <c r="B5392" t="s">
        <v>5624</v>
      </c>
      <c r="C5392" t="str">
        <f>"9781844075539"</f>
        <v>9781844075539</v>
      </c>
      <c r="D5392" t="str">
        <f>"9781849771917"</f>
        <v>9781849771917</v>
      </c>
      <c r="E5392" t="s">
        <v>15</v>
      </c>
      <c r="F5392" t="s">
        <v>16</v>
      </c>
      <c r="G5392" s="1">
        <v>39808</v>
      </c>
      <c r="H5392" s="1">
        <v>40082</v>
      </c>
      <c r="I5392" t="s">
        <v>12</v>
      </c>
      <c r="J5392" t="s">
        <v>16162</v>
      </c>
    </row>
    <row r="5393" spans="1:10" x14ac:dyDescent="0.25">
      <c r="A5393">
        <v>430183</v>
      </c>
      <c r="B5393" t="s">
        <v>5625</v>
      </c>
      <c r="C5393" t="str">
        <f>"9781844076390"</f>
        <v>9781844076390</v>
      </c>
      <c r="D5393" t="str">
        <f>"9781849772396"</f>
        <v>9781849772396</v>
      </c>
      <c r="E5393" t="s">
        <v>15</v>
      </c>
      <c r="F5393" t="s">
        <v>16</v>
      </c>
      <c r="G5393" s="1">
        <v>39714</v>
      </c>
      <c r="H5393" s="1">
        <v>40082</v>
      </c>
      <c r="I5393" t="s">
        <v>12</v>
      </c>
      <c r="J5393" t="s">
        <v>16163</v>
      </c>
    </row>
    <row r="5394" spans="1:10" x14ac:dyDescent="0.25">
      <c r="A5394">
        <v>430211</v>
      </c>
      <c r="B5394" t="s">
        <v>5626</v>
      </c>
      <c r="C5394" t="str">
        <f>"9781844073542"</f>
        <v>9781844073542</v>
      </c>
      <c r="D5394" t="str">
        <f>"9781849772747"</f>
        <v>9781849772747</v>
      </c>
      <c r="E5394" t="s">
        <v>15</v>
      </c>
      <c r="F5394" t="s">
        <v>16</v>
      </c>
      <c r="G5394" s="1">
        <v>38961</v>
      </c>
      <c r="H5394" s="1">
        <v>40082</v>
      </c>
      <c r="I5394" t="s">
        <v>12</v>
      </c>
      <c r="J5394" t="s">
        <v>16164</v>
      </c>
    </row>
    <row r="5395" spans="1:10" x14ac:dyDescent="0.25">
      <c r="A5395">
        <v>430223</v>
      </c>
      <c r="B5395" t="s">
        <v>5627</v>
      </c>
      <c r="C5395" t="str">
        <f>"9781844074310"</f>
        <v>9781844074310</v>
      </c>
      <c r="D5395" t="str">
        <f>"9781849772914"</f>
        <v>9781849772914</v>
      </c>
      <c r="E5395" t="s">
        <v>15</v>
      </c>
      <c r="F5395" t="s">
        <v>16</v>
      </c>
      <c r="G5395" s="1">
        <v>39176</v>
      </c>
      <c r="H5395" s="1">
        <v>40082</v>
      </c>
      <c r="I5395" t="s">
        <v>12</v>
      </c>
      <c r="J5395" t="s">
        <v>16165</v>
      </c>
    </row>
    <row r="5396" spans="1:10" x14ac:dyDescent="0.25">
      <c r="A5396">
        <v>430302</v>
      </c>
      <c r="B5396" t="s">
        <v>5628</v>
      </c>
      <c r="C5396" t="str">
        <f>"9780199284535"</f>
        <v>9780199284535</v>
      </c>
      <c r="D5396" t="str">
        <f>"9780191515842"</f>
        <v>9780191515842</v>
      </c>
      <c r="E5396" t="s">
        <v>1133</v>
      </c>
      <c r="F5396" t="s">
        <v>1133</v>
      </c>
      <c r="G5396" s="1">
        <v>38918</v>
      </c>
      <c r="H5396" s="1">
        <v>39938</v>
      </c>
      <c r="I5396" t="s">
        <v>12</v>
      </c>
      <c r="J5396" t="s">
        <v>16166</v>
      </c>
    </row>
    <row r="5397" spans="1:10" x14ac:dyDescent="0.25">
      <c r="A5397">
        <v>430342</v>
      </c>
      <c r="B5397" t="s">
        <v>5629</v>
      </c>
      <c r="C5397" t="str">
        <f>"9780195117431"</f>
        <v>9780195117431</v>
      </c>
      <c r="D5397" t="str">
        <f>"9780198027799"</f>
        <v>9780198027799</v>
      </c>
      <c r="E5397" t="s">
        <v>1268</v>
      </c>
      <c r="F5397" t="s">
        <v>1268</v>
      </c>
      <c r="G5397" s="1">
        <v>38974</v>
      </c>
      <c r="H5397" s="1">
        <v>39939</v>
      </c>
      <c r="I5397" t="s">
        <v>12</v>
      </c>
      <c r="J5397" t="s">
        <v>16167</v>
      </c>
    </row>
    <row r="5398" spans="1:10" x14ac:dyDescent="0.25">
      <c r="A5398">
        <v>430385</v>
      </c>
      <c r="B5398" t="s">
        <v>5630</v>
      </c>
      <c r="C5398" t="str">
        <f>"9780199297870"</f>
        <v>9780199297870</v>
      </c>
      <c r="D5398" t="str">
        <f>"9780191516429"</f>
        <v>9780191516429</v>
      </c>
      <c r="E5398" t="s">
        <v>1133</v>
      </c>
      <c r="F5398" t="s">
        <v>1133</v>
      </c>
      <c r="G5398" s="1">
        <v>38953</v>
      </c>
      <c r="H5398" s="1">
        <v>39938</v>
      </c>
      <c r="I5398" t="s">
        <v>12</v>
      </c>
      <c r="J5398" t="s">
        <v>16168</v>
      </c>
    </row>
    <row r="5399" spans="1:10" x14ac:dyDescent="0.25">
      <c r="A5399">
        <v>430467</v>
      </c>
      <c r="B5399" t="s">
        <v>5631</v>
      </c>
      <c r="C5399" t="str">
        <f>"9780199295753"</f>
        <v>9780199295753</v>
      </c>
      <c r="D5399" t="str">
        <f>"9780191516283"</f>
        <v>9780191516283</v>
      </c>
      <c r="E5399" t="s">
        <v>1133</v>
      </c>
      <c r="F5399" t="s">
        <v>1133</v>
      </c>
      <c r="G5399" s="1">
        <v>38953</v>
      </c>
      <c r="H5399" s="1">
        <v>39938</v>
      </c>
      <c r="I5399" t="s">
        <v>12</v>
      </c>
      <c r="J5399" t="s">
        <v>16169</v>
      </c>
    </row>
    <row r="5400" spans="1:10" x14ac:dyDescent="0.25">
      <c r="A5400">
        <v>430751</v>
      </c>
      <c r="B5400" t="s">
        <v>5632</v>
      </c>
      <c r="C5400" t="str">
        <f>"9780195126792"</f>
        <v>9780195126792</v>
      </c>
      <c r="D5400" t="str">
        <f>"9780195352078"</f>
        <v>9780195352078</v>
      </c>
      <c r="E5400" t="s">
        <v>1270</v>
      </c>
      <c r="F5400" t="s">
        <v>1270</v>
      </c>
      <c r="G5400" s="1">
        <v>36188</v>
      </c>
      <c r="H5400" s="1">
        <v>39938</v>
      </c>
      <c r="I5400" t="s">
        <v>12</v>
      </c>
      <c r="J5400" t="s">
        <v>16170</v>
      </c>
    </row>
    <row r="5401" spans="1:10" x14ac:dyDescent="0.25">
      <c r="A5401">
        <v>430845</v>
      </c>
      <c r="B5401" t="s">
        <v>5633</v>
      </c>
      <c r="C5401" t="str">
        <f>"9780192804280"</f>
        <v>9780192804280</v>
      </c>
      <c r="D5401" t="str">
        <f>"9780191516825"</f>
        <v>9780191516825</v>
      </c>
      <c r="E5401" t="s">
        <v>1133</v>
      </c>
      <c r="F5401" t="s">
        <v>5309</v>
      </c>
      <c r="G5401" s="1">
        <v>39002</v>
      </c>
      <c r="H5401" s="1">
        <v>39938</v>
      </c>
      <c r="I5401" t="s">
        <v>12</v>
      </c>
      <c r="J5401" t="s">
        <v>16171</v>
      </c>
    </row>
    <row r="5402" spans="1:10" x14ac:dyDescent="0.25">
      <c r="A5402">
        <v>430850</v>
      </c>
      <c r="B5402" t="s">
        <v>5634</v>
      </c>
      <c r="C5402" t="str">
        <f>"9780199278503"</f>
        <v>9780199278503</v>
      </c>
      <c r="D5402" t="str">
        <f>"9780191535260"</f>
        <v>9780191535260</v>
      </c>
      <c r="E5402" t="s">
        <v>1268</v>
      </c>
      <c r="F5402" t="s">
        <v>1268</v>
      </c>
      <c r="G5402" s="1">
        <v>39188</v>
      </c>
      <c r="H5402" s="1">
        <v>39938</v>
      </c>
      <c r="I5402" t="s">
        <v>12</v>
      </c>
      <c r="J5402" t="s">
        <v>16172</v>
      </c>
    </row>
    <row r="5403" spans="1:10" x14ac:dyDescent="0.25">
      <c r="A5403">
        <v>430917</v>
      </c>
      <c r="B5403" t="s">
        <v>5635</v>
      </c>
      <c r="C5403" t="str">
        <f>"9780199208494"</f>
        <v>9780199208494</v>
      </c>
      <c r="D5403" t="str">
        <f>"9780191526039"</f>
        <v>9780191526039</v>
      </c>
      <c r="E5403" t="s">
        <v>1270</v>
      </c>
      <c r="F5403" t="s">
        <v>1270</v>
      </c>
      <c r="G5403" s="1">
        <v>39051</v>
      </c>
      <c r="H5403" s="1">
        <v>39939</v>
      </c>
      <c r="I5403" t="s">
        <v>12</v>
      </c>
      <c r="J5403" t="s">
        <v>16173</v>
      </c>
    </row>
    <row r="5404" spans="1:10" x14ac:dyDescent="0.25">
      <c r="A5404">
        <v>430943</v>
      </c>
      <c r="B5404" t="s">
        <v>5636</v>
      </c>
      <c r="C5404" t="str">
        <f>"9780199218981"</f>
        <v>9780199218981</v>
      </c>
      <c r="D5404" t="str">
        <f>"9780191527395"</f>
        <v>9780191527395</v>
      </c>
      <c r="E5404" t="s">
        <v>1133</v>
      </c>
      <c r="F5404" t="s">
        <v>1133</v>
      </c>
      <c r="G5404" s="1">
        <v>39849</v>
      </c>
      <c r="H5404" s="1">
        <v>39939</v>
      </c>
      <c r="I5404" t="s">
        <v>12</v>
      </c>
      <c r="J5404" t="s">
        <v>16174</v>
      </c>
    </row>
    <row r="5405" spans="1:10" x14ac:dyDescent="0.25">
      <c r="A5405">
        <v>431026</v>
      </c>
      <c r="B5405" t="s">
        <v>5637</v>
      </c>
      <c r="C5405" t="str">
        <f>"9780199258659"</f>
        <v>9780199258659</v>
      </c>
      <c r="D5405" t="str">
        <f>"9780191514579"</f>
        <v>9780191514579</v>
      </c>
      <c r="E5405" t="s">
        <v>1133</v>
      </c>
      <c r="F5405" t="s">
        <v>1133</v>
      </c>
      <c r="G5405" s="1">
        <v>38897</v>
      </c>
      <c r="H5405" s="1">
        <v>39939</v>
      </c>
      <c r="I5405" t="s">
        <v>12</v>
      </c>
      <c r="J5405" t="s">
        <v>16175</v>
      </c>
    </row>
    <row r="5406" spans="1:10" x14ac:dyDescent="0.25">
      <c r="A5406">
        <v>431093</v>
      </c>
      <c r="B5406" t="s">
        <v>5638</v>
      </c>
      <c r="C5406" t="str">
        <f>"9780195182392"</f>
        <v>9780195182392</v>
      </c>
      <c r="D5406" t="str">
        <f>"9780199720408"</f>
        <v>9780199720408</v>
      </c>
      <c r="E5406" t="s">
        <v>1268</v>
      </c>
      <c r="F5406" t="s">
        <v>1268</v>
      </c>
      <c r="G5406" s="1">
        <v>39413</v>
      </c>
      <c r="H5406" s="1">
        <v>39939</v>
      </c>
      <c r="I5406" t="s">
        <v>12</v>
      </c>
      <c r="J5406" t="s">
        <v>16176</v>
      </c>
    </row>
    <row r="5407" spans="1:10" x14ac:dyDescent="0.25">
      <c r="A5407">
        <v>431135</v>
      </c>
      <c r="B5407" t="s">
        <v>5639</v>
      </c>
      <c r="C5407" t="str">
        <f>"9780199544394"</f>
        <v>9780199544394</v>
      </c>
      <c r="D5407" t="str">
        <f>"9780191530371"</f>
        <v>9780191530371</v>
      </c>
      <c r="E5407" t="s">
        <v>1133</v>
      </c>
      <c r="F5407" t="s">
        <v>5309</v>
      </c>
      <c r="G5407" s="1">
        <v>38925</v>
      </c>
      <c r="H5407" s="1">
        <v>39939</v>
      </c>
      <c r="I5407" t="s">
        <v>12</v>
      </c>
      <c r="J5407" t="s">
        <v>16177</v>
      </c>
    </row>
    <row r="5408" spans="1:10" x14ac:dyDescent="0.25">
      <c r="A5408">
        <v>431213</v>
      </c>
      <c r="B5408" t="s">
        <v>5640</v>
      </c>
      <c r="C5408" t="str">
        <f>"9780198152712"</f>
        <v>9780198152712</v>
      </c>
      <c r="D5408" t="str">
        <f>"9780191513206"</f>
        <v>9780191513206</v>
      </c>
      <c r="E5408" t="s">
        <v>1133</v>
      </c>
      <c r="F5408" t="s">
        <v>1133</v>
      </c>
      <c r="G5408" s="1">
        <v>38918</v>
      </c>
      <c r="H5408" s="1">
        <v>39939</v>
      </c>
      <c r="I5408" t="s">
        <v>12</v>
      </c>
      <c r="J5408" t="s">
        <v>16178</v>
      </c>
    </row>
    <row r="5409" spans="1:10" x14ac:dyDescent="0.25">
      <c r="A5409">
        <v>431246</v>
      </c>
      <c r="B5409" t="s">
        <v>5641</v>
      </c>
      <c r="C5409" t="str">
        <f>"9780195305739"</f>
        <v>9780195305739</v>
      </c>
      <c r="D5409" t="str">
        <f>"9780195345674"</f>
        <v>9780195345674</v>
      </c>
      <c r="E5409" t="s">
        <v>1270</v>
      </c>
      <c r="F5409" t="s">
        <v>1270</v>
      </c>
      <c r="G5409" s="1">
        <v>39002</v>
      </c>
      <c r="H5409" s="1">
        <v>39939</v>
      </c>
      <c r="I5409" t="s">
        <v>12</v>
      </c>
      <c r="J5409" t="s">
        <v>16179</v>
      </c>
    </row>
    <row r="5410" spans="1:10" x14ac:dyDescent="0.25">
      <c r="A5410">
        <v>431282</v>
      </c>
      <c r="B5410" t="s">
        <v>5642</v>
      </c>
      <c r="C5410" t="str">
        <f>"9780198269335"</f>
        <v>9780198269335</v>
      </c>
      <c r="D5410" t="str">
        <f>"9780191513510"</f>
        <v>9780191513510</v>
      </c>
      <c r="E5410" t="s">
        <v>1270</v>
      </c>
      <c r="F5410" t="s">
        <v>1270</v>
      </c>
      <c r="G5410" s="1">
        <v>35768</v>
      </c>
      <c r="H5410" s="1">
        <v>39939</v>
      </c>
      <c r="I5410" t="s">
        <v>12</v>
      </c>
      <c r="J5410" t="s">
        <v>16180</v>
      </c>
    </row>
    <row r="5411" spans="1:10" x14ac:dyDescent="0.25">
      <c r="A5411">
        <v>431299</v>
      </c>
      <c r="B5411" t="s">
        <v>5643</v>
      </c>
      <c r="C5411" t="str">
        <f>"9780192805973"</f>
        <v>9780192805973</v>
      </c>
      <c r="D5411" t="str">
        <f>"9780191517334"</f>
        <v>9780191517334</v>
      </c>
      <c r="E5411" t="s">
        <v>1268</v>
      </c>
      <c r="F5411" t="s">
        <v>1268</v>
      </c>
      <c r="G5411" s="1">
        <v>39644</v>
      </c>
      <c r="H5411" s="1">
        <v>39938</v>
      </c>
      <c r="I5411" t="s">
        <v>12</v>
      </c>
      <c r="J5411" t="s">
        <v>16181</v>
      </c>
    </row>
    <row r="5412" spans="1:10" x14ac:dyDescent="0.25">
      <c r="A5412">
        <v>431352</v>
      </c>
      <c r="B5412" t="s">
        <v>5644</v>
      </c>
      <c r="C5412" t="str">
        <f>"9780192806918"</f>
        <v>9780192806918</v>
      </c>
      <c r="D5412" t="str">
        <f>"9780191517594"</f>
        <v>9780191517594</v>
      </c>
      <c r="E5412" t="s">
        <v>1133</v>
      </c>
      <c r="F5412" t="s">
        <v>5645</v>
      </c>
      <c r="G5412" s="1">
        <v>39052</v>
      </c>
      <c r="H5412" s="1">
        <v>39293</v>
      </c>
      <c r="I5412" t="s">
        <v>12</v>
      </c>
      <c r="J5412" t="s">
        <v>16182</v>
      </c>
    </row>
    <row r="5413" spans="1:10" x14ac:dyDescent="0.25">
      <c r="A5413">
        <v>431359</v>
      </c>
      <c r="B5413" t="s">
        <v>5646</v>
      </c>
      <c r="C5413" t="str">
        <f>"9780199292486"</f>
        <v>9780199292486</v>
      </c>
      <c r="D5413" t="str">
        <f>"9780191537752"</f>
        <v>9780191537752</v>
      </c>
      <c r="E5413" t="s">
        <v>1270</v>
      </c>
      <c r="F5413" t="s">
        <v>1270</v>
      </c>
      <c r="G5413" s="1">
        <v>39058</v>
      </c>
      <c r="H5413" s="1">
        <v>39939</v>
      </c>
      <c r="I5413" t="s">
        <v>12</v>
      </c>
      <c r="J5413" t="s">
        <v>16183</v>
      </c>
    </row>
    <row r="5414" spans="1:10" x14ac:dyDescent="0.25">
      <c r="A5414">
        <v>431878</v>
      </c>
      <c r="B5414" t="s">
        <v>5647</v>
      </c>
      <c r="C5414" t="str">
        <f>"9781741757408"</f>
        <v>9781741757408</v>
      </c>
      <c r="D5414" t="str">
        <f>"9781741765656"</f>
        <v>9781741765656</v>
      </c>
      <c r="E5414" t="s">
        <v>979</v>
      </c>
      <c r="F5414" t="s">
        <v>979</v>
      </c>
      <c r="G5414" s="1">
        <v>39934</v>
      </c>
      <c r="H5414" s="1">
        <v>39941</v>
      </c>
      <c r="I5414" t="s">
        <v>12</v>
      </c>
      <c r="J5414" t="s">
        <v>16184</v>
      </c>
    </row>
    <row r="5415" spans="1:10" x14ac:dyDescent="0.25">
      <c r="A5415">
        <v>432139</v>
      </c>
      <c r="B5415" t="s">
        <v>5648</v>
      </c>
      <c r="C5415" t="str">
        <f>"9780226260006"</f>
        <v>9780226260006</v>
      </c>
      <c r="D5415" t="str">
        <f>"9780226260235"</f>
        <v>9780226260235</v>
      </c>
      <c r="E5415" t="s">
        <v>5187</v>
      </c>
      <c r="F5415" t="s">
        <v>5187</v>
      </c>
      <c r="G5415" s="1">
        <v>35231</v>
      </c>
      <c r="H5415" s="1">
        <v>39941</v>
      </c>
      <c r="I5415" t="s">
        <v>12</v>
      </c>
      <c r="J5415" t="s">
        <v>16185</v>
      </c>
    </row>
    <row r="5416" spans="1:10" x14ac:dyDescent="0.25">
      <c r="A5416">
        <v>432160</v>
      </c>
      <c r="B5416" t="s">
        <v>5649</v>
      </c>
      <c r="C5416" t="str">
        <f>"9780226172958"</f>
        <v>9780226172958</v>
      </c>
      <c r="D5416" t="str">
        <f>"9780226172965"</f>
        <v>9780226172965</v>
      </c>
      <c r="E5416" t="s">
        <v>5187</v>
      </c>
      <c r="F5416" t="s">
        <v>5187</v>
      </c>
      <c r="G5416" s="1">
        <v>39783</v>
      </c>
      <c r="H5416" s="1">
        <v>39941</v>
      </c>
      <c r="I5416" t="s">
        <v>12</v>
      </c>
      <c r="J5416" t="s">
        <v>16186</v>
      </c>
    </row>
    <row r="5417" spans="1:10" x14ac:dyDescent="0.25">
      <c r="A5417">
        <v>432161</v>
      </c>
      <c r="B5417" t="s">
        <v>5650</v>
      </c>
      <c r="C5417" t="str">
        <f>"9780226060637"</f>
        <v>9780226060637</v>
      </c>
      <c r="D5417" t="str">
        <f>"9780226060620"</f>
        <v>9780226060620</v>
      </c>
      <c r="E5417" t="s">
        <v>5187</v>
      </c>
      <c r="F5417" t="s">
        <v>5187</v>
      </c>
      <c r="G5417" s="1">
        <v>39767</v>
      </c>
      <c r="H5417" s="1">
        <v>39941</v>
      </c>
      <c r="I5417" t="s">
        <v>12</v>
      </c>
      <c r="J5417" t="s">
        <v>16187</v>
      </c>
    </row>
    <row r="5418" spans="1:10" x14ac:dyDescent="0.25">
      <c r="A5418">
        <v>432185</v>
      </c>
      <c r="B5418" t="s">
        <v>5651</v>
      </c>
      <c r="C5418" t="str">
        <f>"9780226132310"</f>
        <v>9780226132310</v>
      </c>
      <c r="D5418" t="str">
        <f>"9780226132327"</f>
        <v>9780226132327</v>
      </c>
      <c r="E5418" t="s">
        <v>5187</v>
      </c>
      <c r="F5418" t="s">
        <v>5187</v>
      </c>
      <c r="G5418" s="1">
        <v>39948</v>
      </c>
      <c r="H5418" s="1">
        <v>39941</v>
      </c>
      <c r="I5418" t="s">
        <v>12</v>
      </c>
      <c r="J5418" t="s">
        <v>16188</v>
      </c>
    </row>
    <row r="5419" spans="1:10" x14ac:dyDescent="0.25">
      <c r="A5419">
        <v>432209</v>
      </c>
      <c r="B5419" t="s">
        <v>5652</v>
      </c>
      <c r="C5419" t="str">
        <f>"9780226142296"</f>
        <v>9780226142296</v>
      </c>
      <c r="D5419" t="str">
        <f>"9780226142319"</f>
        <v>9780226142319</v>
      </c>
      <c r="E5419" t="s">
        <v>5187</v>
      </c>
      <c r="F5419" t="s">
        <v>5187</v>
      </c>
      <c r="G5419" s="1">
        <v>38436</v>
      </c>
      <c r="H5419" s="1">
        <v>39941</v>
      </c>
      <c r="I5419" t="s">
        <v>12</v>
      </c>
      <c r="J5419" t="s">
        <v>16189</v>
      </c>
    </row>
    <row r="5420" spans="1:10" x14ac:dyDescent="0.25">
      <c r="A5420">
        <v>432253</v>
      </c>
      <c r="B5420" t="s">
        <v>5653</v>
      </c>
      <c r="C5420" t="str">
        <f>"9780226437002"</f>
        <v>9780226437002</v>
      </c>
      <c r="D5420" t="str">
        <f>"9780226437095"</f>
        <v>9780226437095</v>
      </c>
      <c r="E5420" t="s">
        <v>5187</v>
      </c>
      <c r="F5420" t="s">
        <v>5187</v>
      </c>
      <c r="G5420" s="1">
        <v>39767</v>
      </c>
      <c r="H5420" s="1">
        <v>39941</v>
      </c>
      <c r="I5420" t="s">
        <v>12</v>
      </c>
      <c r="J5420" t="s">
        <v>16190</v>
      </c>
    </row>
    <row r="5421" spans="1:10" x14ac:dyDescent="0.25">
      <c r="A5421">
        <v>432257</v>
      </c>
      <c r="B5421" t="s">
        <v>5654</v>
      </c>
      <c r="C5421" t="str">
        <f>"9780226473000"</f>
        <v>9780226473000</v>
      </c>
      <c r="D5421" t="str">
        <f>"9780226473024"</f>
        <v>9780226473024</v>
      </c>
      <c r="E5421" t="s">
        <v>5187</v>
      </c>
      <c r="F5421" t="s">
        <v>5187</v>
      </c>
      <c r="G5421" s="1">
        <v>39614</v>
      </c>
      <c r="H5421" s="1">
        <v>39941</v>
      </c>
      <c r="I5421" t="s">
        <v>12</v>
      </c>
      <c r="J5421" t="s">
        <v>16191</v>
      </c>
    </row>
    <row r="5422" spans="1:10" x14ac:dyDescent="0.25">
      <c r="A5422">
        <v>432262</v>
      </c>
      <c r="B5422" t="s">
        <v>5655</v>
      </c>
      <c r="C5422" t="str">
        <f>"9780226493121"</f>
        <v>9780226493121</v>
      </c>
      <c r="D5422" t="str">
        <f>"9780226493244"</f>
        <v>9780226493244</v>
      </c>
      <c r="E5422" t="s">
        <v>5187</v>
      </c>
      <c r="F5422" t="s">
        <v>5187</v>
      </c>
      <c r="G5422" s="1">
        <v>39753</v>
      </c>
      <c r="H5422" s="1">
        <v>39941</v>
      </c>
      <c r="I5422" t="s">
        <v>12</v>
      </c>
      <c r="J5422" t="s">
        <v>16192</v>
      </c>
    </row>
    <row r="5423" spans="1:10" x14ac:dyDescent="0.25">
      <c r="A5423">
        <v>432268</v>
      </c>
      <c r="B5423" t="s">
        <v>5656</v>
      </c>
      <c r="C5423" t="str">
        <f>"9780226534770"</f>
        <v>9780226534770</v>
      </c>
      <c r="D5423" t="str">
        <f>"9780226534794"</f>
        <v>9780226534794</v>
      </c>
      <c r="E5423" t="s">
        <v>5187</v>
      </c>
      <c r="F5423" t="s">
        <v>5187</v>
      </c>
      <c r="G5423" s="1">
        <v>35518</v>
      </c>
      <c r="H5423" s="1">
        <v>39942</v>
      </c>
      <c r="I5423" t="s">
        <v>12</v>
      </c>
      <c r="J5423" t="s">
        <v>16193</v>
      </c>
    </row>
    <row r="5424" spans="1:10" x14ac:dyDescent="0.25">
      <c r="A5424">
        <v>432280</v>
      </c>
      <c r="B5424" t="s">
        <v>5657</v>
      </c>
      <c r="C5424" t="str">
        <f>"9780226678702"</f>
        <v>9780226678702</v>
      </c>
      <c r="D5424" t="str">
        <f>"9780226678719"</f>
        <v>9780226678719</v>
      </c>
      <c r="E5424" t="s">
        <v>5187</v>
      </c>
      <c r="F5424" t="s">
        <v>5187</v>
      </c>
      <c r="G5424" s="1">
        <v>39706</v>
      </c>
      <c r="H5424" s="1">
        <v>39942</v>
      </c>
      <c r="I5424" t="s">
        <v>12</v>
      </c>
      <c r="J5424" t="s">
        <v>16194</v>
      </c>
    </row>
    <row r="5425" spans="1:10" x14ac:dyDescent="0.25">
      <c r="A5425">
        <v>432299</v>
      </c>
      <c r="B5425" t="s">
        <v>5658</v>
      </c>
      <c r="C5425" t="str">
        <f>"9780226762821"</f>
        <v>9780226762821</v>
      </c>
      <c r="D5425" t="str">
        <f>"9780226762951"</f>
        <v>9780226762951</v>
      </c>
      <c r="E5425" t="s">
        <v>5187</v>
      </c>
      <c r="F5425" t="s">
        <v>5187</v>
      </c>
      <c r="G5425" s="1">
        <v>39203</v>
      </c>
      <c r="H5425" s="1">
        <v>39942</v>
      </c>
      <c r="I5425" t="s">
        <v>12</v>
      </c>
      <c r="J5425" t="s">
        <v>16195</v>
      </c>
    </row>
    <row r="5426" spans="1:10" x14ac:dyDescent="0.25">
      <c r="A5426">
        <v>432302</v>
      </c>
      <c r="B5426" t="s">
        <v>5659</v>
      </c>
      <c r="C5426" t="str">
        <f>"9780226781716"</f>
        <v>9780226781716</v>
      </c>
      <c r="D5426" t="str">
        <f>"9780226781723"</f>
        <v>9780226781723</v>
      </c>
      <c r="E5426" t="s">
        <v>5187</v>
      </c>
      <c r="F5426" t="s">
        <v>5187</v>
      </c>
      <c r="G5426" s="1">
        <v>39767</v>
      </c>
      <c r="H5426" s="1">
        <v>39942</v>
      </c>
      <c r="I5426" t="s">
        <v>12</v>
      </c>
      <c r="J5426" t="s">
        <v>16196</v>
      </c>
    </row>
    <row r="5427" spans="1:10" x14ac:dyDescent="0.25">
      <c r="A5427">
        <v>432307</v>
      </c>
      <c r="B5427" t="s">
        <v>5660</v>
      </c>
      <c r="C5427" t="str">
        <f>"9780226842707"</f>
        <v>9780226842707</v>
      </c>
      <c r="D5427" t="str">
        <f>"9780226842738"</f>
        <v>9780226842738</v>
      </c>
      <c r="E5427" t="s">
        <v>5187</v>
      </c>
      <c r="F5427" t="s">
        <v>5187</v>
      </c>
      <c r="G5427" s="1">
        <v>39790</v>
      </c>
      <c r="H5427" s="1">
        <v>39942</v>
      </c>
      <c r="I5427" t="s">
        <v>12</v>
      </c>
      <c r="J5427" t="s">
        <v>16197</v>
      </c>
    </row>
    <row r="5428" spans="1:10" x14ac:dyDescent="0.25">
      <c r="A5428">
        <v>432842</v>
      </c>
      <c r="B5428" t="s">
        <v>5661</v>
      </c>
      <c r="C5428" t="str">
        <f>"9781592138579"</f>
        <v>9781592138579</v>
      </c>
      <c r="D5428" t="str">
        <f>"9781592138593"</f>
        <v>9781592138593</v>
      </c>
      <c r="E5428" t="s">
        <v>3604</v>
      </c>
      <c r="F5428" t="s">
        <v>3604</v>
      </c>
      <c r="G5428" s="1">
        <v>39961</v>
      </c>
      <c r="H5428" s="1">
        <v>39947</v>
      </c>
      <c r="I5428" t="s">
        <v>12</v>
      </c>
      <c r="J5428" t="s">
        <v>16198</v>
      </c>
    </row>
    <row r="5429" spans="1:10" x14ac:dyDescent="0.25">
      <c r="A5429">
        <v>433152</v>
      </c>
      <c r="B5429" t="s">
        <v>5662</v>
      </c>
      <c r="C5429" t="str">
        <f>"9780749454531"</f>
        <v>9780749454531</v>
      </c>
      <c r="D5429" t="str">
        <f>"9780749456061"</f>
        <v>9780749456061</v>
      </c>
      <c r="E5429" t="s">
        <v>1059</v>
      </c>
      <c r="F5429" t="s">
        <v>1059</v>
      </c>
      <c r="G5429" s="1">
        <v>39845</v>
      </c>
      <c r="H5429" s="1">
        <v>39943</v>
      </c>
      <c r="I5429" t="s">
        <v>12</v>
      </c>
      <c r="J5429" t="s">
        <v>16199</v>
      </c>
    </row>
    <row r="5430" spans="1:10" x14ac:dyDescent="0.25">
      <c r="A5430">
        <v>433159</v>
      </c>
      <c r="B5430" t="s">
        <v>5663</v>
      </c>
      <c r="C5430" t="str">
        <f>"9780749452759"</f>
        <v>9780749452759</v>
      </c>
      <c r="D5430" t="str">
        <f>"9780749456078"</f>
        <v>9780749456078</v>
      </c>
      <c r="E5430" t="s">
        <v>1770</v>
      </c>
      <c r="F5430" t="s">
        <v>1770</v>
      </c>
      <c r="G5430" s="1">
        <v>39847</v>
      </c>
      <c r="H5430" s="1">
        <v>39943</v>
      </c>
      <c r="I5430" t="s">
        <v>12</v>
      </c>
      <c r="J5430" t="s">
        <v>16200</v>
      </c>
    </row>
    <row r="5431" spans="1:10" x14ac:dyDescent="0.25">
      <c r="A5431">
        <v>433165</v>
      </c>
      <c r="B5431" t="s">
        <v>5664</v>
      </c>
      <c r="C5431" t="str">
        <f>"9780816656387"</f>
        <v>9780816656387</v>
      </c>
      <c r="D5431" t="str">
        <f>"9780816666478"</f>
        <v>9780816666478</v>
      </c>
      <c r="E5431" t="s">
        <v>3970</v>
      </c>
      <c r="F5431" t="s">
        <v>3970</v>
      </c>
      <c r="G5431" s="1">
        <v>39814</v>
      </c>
      <c r="H5431" s="1">
        <v>40017</v>
      </c>
      <c r="I5431" t="s">
        <v>12</v>
      </c>
      <c r="J5431" t="s">
        <v>16201</v>
      </c>
    </row>
    <row r="5432" spans="1:10" x14ac:dyDescent="0.25">
      <c r="A5432">
        <v>433188</v>
      </c>
      <c r="B5432" t="s">
        <v>5665</v>
      </c>
      <c r="C5432" t="str">
        <f>"9780816646227"</f>
        <v>9780816646227</v>
      </c>
      <c r="D5432" t="str">
        <f>"9780816666270"</f>
        <v>9780816666270</v>
      </c>
      <c r="E5432" t="s">
        <v>3970</v>
      </c>
      <c r="F5432" t="s">
        <v>3970</v>
      </c>
      <c r="G5432" s="1">
        <v>39814</v>
      </c>
      <c r="H5432" s="1">
        <v>40017</v>
      </c>
      <c r="I5432" t="s">
        <v>12</v>
      </c>
      <c r="J5432" t="s">
        <v>16202</v>
      </c>
    </row>
    <row r="5433" spans="1:10" x14ac:dyDescent="0.25">
      <c r="A5433">
        <v>433193</v>
      </c>
      <c r="B5433" t="s">
        <v>5666</v>
      </c>
      <c r="C5433" t="str">
        <f>"9780816650019"</f>
        <v>9780816650019</v>
      </c>
      <c r="D5433" t="str">
        <f>"9780816667925"</f>
        <v>9780816667925</v>
      </c>
      <c r="E5433" t="s">
        <v>3970</v>
      </c>
      <c r="F5433" t="s">
        <v>3970</v>
      </c>
      <c r="G5433" s="1">
        <v>39885</v>
      </c>
      <c r="H5433" s="1">
        <v>39943</v>
      </c>
      <c r="I5433" t="s">
        <v>12</v>
      </c>
      <c r="J5433" t="s">
        <v>16203</v>
      </c>
    </row>
    <row r="5434" spans="1:10" x14ac:dyDescent="0.25">
      <c r="A5434">
        <v>433383</v>
      </c>
      <c r="B5434" t="s">
        <v>5667</v>
      </c>
      <c r="C5434" t="str">
        <f>"9781599960517"</f>
        <v>9781599960517</v>
      </c>
      <c r="D5434" t="str">
        <f>"9781599968803"</f>
        <v>9781599968803</v>
      </c>
      <c r="E5434" t="s">
        <v>4259</v>
      </c>
      <c r="F5434" t="s">
        <v>4259</v>
      </c>
      <c r="G5434" s="1">
        <v>38727</v>
      </c>
      <c r="H5434" s="1">
        <v>39946</v>
      </c>
      <c r="I5434" t="s">
        <v>12</v>
      </c>
      <c r="J5434" t="s">
        <v>16204</v>
      </c>
    </row>
    <row r="5435" spans="1:10" x14ac:dyDescent="0.25">
      <c r="A5435">
        <v>433398</v>
      </c>
      <c r="B5435" t="s">
        <v>5668</v>
      </c>
      <c r="C5435" t="str">
        <f>"9780874259490"</f>
        <v>9780874259490</v>
      </c>
      <c r="D5435" t="str">
        <f>"9781599968773"</f>
        <v>9781599968773</v>
      </c>
      <c r="E5435" t="s">
        <v>4259</v>
      </c>
      <c r="F5435" t="s">
        <v>4259</v>
      </c>
      <c r="G5435" s="1">
        <v>39083</v>
      </c>
      <c r="H5435" s="1">
        <v>39946</v>
      </c>
      <c r="I5435" t="s">
        <v>12</v>
      </c>
      <c r="J5435" t="s">
        <v>16205</v>
      </c>
    </row>
    <row r="5436" spans="1:10" x14ac:dyDescent="0.25">
      <c r="A5436">
        <v>433407</v>
      </c>
      <c r="B5436" t="s">
        <v>5669</v>
      </c>
      <c r="C5436" t="str">
        <f>"9780874259353"</f>
        <v>9780874259353</v>
      </c>
      <c r="D5436" t="str">
        <f>"9781599964096"</f>
        <v>9781599964096</v>
      </c>
      <c r="E5436" t="s">
        <v>4259</v>
      </c>
      <c r="F5436" t="s">
        <v>4259</v>
      </c>
      <c r="G5436" s="1">
        <v>39083</v>
      </c>
      <c r="H5436" s="1">
        <v>39946</v>
      </c>
      <c r="I5436" t="s">
        <v>12</v>
      </c>
      <c r="J5436" t="s">
        <v>16206</v>
      </c>
    </row>
    <row r="5437" spans="1:10" x14ac:dyDescent="0.25">
      <c r="A5437">
        <v>433622</v>
      </c>
      <c r="B5437" t="s">
        <v>5670</v>
      </c>
      <c r="C5437" t="str">
        <f>"9781412907316"</f>
        <v>9781412907316</v>
      </c>
      <c r="D5437" t="str">
        <f>"9781849203623"</f>
        <v>9781849203623</v>
      </c>
      <c r="E5437" t="s">
        <v>1569</v>
      </c>
      <c r="F5437" t="s">
        <v>1570</v>
      </c>
      <c r="G5437" s="1">
        <v>39387</v>
      </c>
      <c r="H5437" s="1">
        <v>39948</v>
      </c>
      <c r="I5437" t="s">
        <v>12</v>
      </c>
      <c r="J5437" t="s">
        <v>16207</v>
      </c>
    </row>
    <row r="5438" spans="1:10" x14ac:dyDescent="0.25">
      <c r="A5438">
        <v>433628</v>
      </c>
      <c r="B5438" t="s">
        <v>5671</v>
      </c>
      <c r="C5438" t="str">
        <f>"9781412929011"</f>
        <v>9781412929011</v>
      </c>
      <c r="D5438" t="str">
        <f>"9781849203555"</f>
        <v>9781849203555</v>
      </c>
      <c r="E5438" t="s">
        <v>1569</v>
      </c>
      <c r="F5438" t="s">
        <v>1570</v>
      </c>
      <c r="G5438" s="1">
        <v>39428</v>
      </c>
      <c r="H5438" s="1">
        <v>39948</v>
      </c>
      <c r="I5438" t="s">
        <v>12</v>
      </c>
      <c r="J5438" t="s">
        <v>16208</v>
      </c>
    </row>
    <row r="5439" spans="1:10" x14ac:dyDescent="0.25">
      <c r="A5439">
        <v>433641</v>
      </c>
      <c r="B5439" t="s">
        <v>5672</v>
      </c>
      <c r="C5439" t="str">
        <f>"9781412935197"</f>
        <v>9781412935197</v>
      </c>
      <c r="D5439" t="str">
        <f>"9781849203487"</f>
        <v>9781849203487</v>
      </c>
      <c r="E5439" t="s">
        <v>1569</v>
      </c>
      <c r="F5439" t="s">
        <v>1570</v>
      </c>
      <c r="G5439" s="1">
        <v>39357</v>
      </c>
      <c r="H5439" s="1">
        <v>39948</v>
      </c>
      <c r="I5439" t="s">
        <v>12</v>
      </c>
      <c r="J5439" t="s">
        <v>16209</v>
      </c>
    </row>
    <row r="5440" spans="1:10" x14ac:dyDescent="0.25">
      <c r="A5440">
        <v>433972</v>
      </c>
      <c r="B5440" t="s">
        <v>5673</v>
      </c>
      <c r="C5440" t="str">
        <f>"9781741147889"</f>
        <v>9781741147889</v>
      </c>
      <c r="D5440" t="str">
        <f>"9781741158663"</f>
        <v>9781741158663</v>
      </c>
      <c r="E5440" t="s">
        <v>979</v>
      </c>
      <c r="F5440" t="s">
        <v>979</v>
      </c>
      <c r="G5440" s="1">
        <v>39934</v>
      </c>
      <c r="H5440" s="1">
        <v>39946</v>
      </c>
      <c r="I5440" t="s">
        <v>12</v>
      </c>
      <c r="J5440" t="s">
        <v>16210</v>
      </c>
    </row>
    <row r="5441" spans="1:10" x14ac:dyDescent="0.25">
      <c r="A5441">
        <v>434115</v>
      </c>
      <c r="B5441" t="s">
        <v>5674</v>
      </c>
      <c r="C5441" t="str">
        <f>"9781933864433"</f>
        <v>9781933864433</v>
      </c>
      <c r="D5441" t="str">
        <f>"9781934559994"</f>
        <v>9781934559994</v>
      </c>
      <c r="E5441" t="s">
        <v>3016</v>
      </c>
      <c r="F5441" t="s">
        <v>5675</v>
      </c>
      <c r="G5441" s="1">
        <v>39679</v>
      </c>
      <c r="H5441" s="1">
        <v>39951</v>
      </c>
      <c r="I5441" t="s">
        <v>12</v>
      </c>
      <c r="J5441" t="s">
        <v>16211</v>
      </c>
    </row>
    <row r="5442" spans="1:10" x14ac:dyDescent="0.25">
      <c r="A5442">
        <v>434174</v>
      </c>
      <c r="B5442" t="s">
        <v>5676</v>
      </c>
      <c r="C5442" t="str">
        <f>"9788178299273"</f>
        <v>9788178299273</v>
      </c>
      <c r="D5442" t="str">
        <f>"9788132102199"</f>
        <v>9788132102199</v>
      </c>
      <c r="E5442" t="s">
        <v>1569</v>
      </c>
      <c r="F5442" t="s">
        <v>5273</v>
      </c>
      <c r="G5442" s="1">
        <v>39946</v>
      </c>
      <c r="H5442" s="1">
        <v>39948</v>
      </c>
      <c r="I5442" t="s">
        <v>12</v>
      </c>
      <c r="J5442" t="s">
        <v>16212</v>
      </c>
    </row>
    <row r="5443" spans="1:10" x14ac:dyDescent="0.25">
      <c r="A5443">
        <v>434179</v>
      </c>
      <c r="B5443" t="s">
        <v>5677</v>
      </c>
      <c r="C5443" t="str">
        <f>"9788178298528"</f>
        <v>9788178298528</v>
      </c>
      <c r="D5443" t="str">
        <f>"9788132101420"</f>
        <v>9788132101420</v>
      </c>
      <c r="E5443" t="s">
        <v>1569</v>
      </c>
      <c r="F5443" t="s">
        <v>5273</v>
      </c>
      <c r="G5443" s="1">
        <v>39889</v>
      </c>
      <c r="H5443" s="1">
        <v>39948</v>
      </c>
      <c r="I5443" t="s">
        <v>12</v>
      </c>
      <c r="J5443" t="s">
        <v>16213</v>
      </c>
    </row>
    <row r="5444" spans="1:10" x14ac:dyDescent="0.25">
      <c r="A5444">
        <v>434212</v>
      </c>
      <c r="B5444" t="s">
        <v>5678</v>
      </c>
      <c r="C5444" t="str">
        <f>"9780761932611"</f>
        <v>9780761932611</v>
      </c>
      <c r="D5444" t="str">
        <f>"9788132101840"</f>
        <v>9788132101840</v>
      </c>
      <c r="E5444" t="s">
        <v>5444</v>
      </c>
      <c r="F5444" t="s">
        <v>5444</v>
      </c>
      <c r="G5444" s="1">
        <v>38169</v>
      </c>
      <c r="H5444" s="1">
        <v>39948</v>
      </c>
      <c r="I5444" t="s">
        <v>12</v>
      </c>
      <c r="J5444" t="s">
        <v>16214</v>
      </c>
    </row>
    <row r="5445" spans="1:10" x14ac:dyDescent="0.25">
      <c r="A5445">
        <v>434300</v>
      </c>
      <c r="B5445" t="s">
        <v>5679</v>
      </c>
      <c r="C5445" t="str">
        <f>"9780748625215"</f>
        <v>9780748625215</v>
      </c>
      <c r="D5445" t="str">
        <f>"9780748630851"</f>
        <v>9780748630851</v>
      </c>
      <c r="E5445" t="s">
        <v>1942</v>
      </c>
      <c r="F5445" t="s">
        <v>1942</v>
      </c>
      <c r="G5445" s="1">
        <v>39873</v>
      </c>
      <c r="H5445" s="1">
        <v>39949</v>
      </c>
      <c r="I5445" t="s">
        <v>12</v>
      </c>
      <c r="J5445" t="s">
        <v>16215</v>
      </c>
    </row>
    <row r="5446" spans="1:10" x14ac:dyDescent="0.25">
      <c r="A5446">
        <v>434304</v>
      </c>
      <c r="B5446" t="s">
        <v>5680</v>
      </c>
      <c r="C5446" t="str">
        <f>"9780748621422"</f>
        <v>9780748621422</v>
      </c>
      <c r="D5446" t="str">
        <f>"9780748631537"</f>
        <v>9780748631537</v>
      </c>
      <c r="E5446" t="s">
        <v>1942</v>
      </c>
      <c r="F5446" t="s">
        <v>1942</v>
      </c>
      <c r="G5446" s="1">
        <v>39863</v>
      </c>
      <c r="H5446" s="1">
        <v>39949</v>
      </c>
      <c r="I5446" t="s">
        <v>12</v>
      </c>
      <c r="J5446" t="s">
        <v>16216</v>
      </c>
    </row>
    <row r="5447" spans="1:10" x14ac:dyDescent="0.25">
      <c r="A5447">
        <v>434305</v>
      </c>
      <c r="B5447" t="s">
        <v>5681</v>
      </c>
      <c r="C5447" t="str">
        <f>"9780748634552"</f>
        <v>9780748634552</v>
      </c>
      <c r="D5447" t="str">
        <f>"9780748634569"</f>
        <v>9780748634569</v>
      </c>
      <c r="E5447" t="s">
        <v>1942</v>
      </c>
      <c r="F5447" t="s">
        <v>1942</v>
      </c>
      <c r="G5447" s="1">
        <v>39869</v>
      </c>
      <c r="H5447" s="1">
        <v>39949</v>
      </c>
      <c r="I5447" t="s">
        <v>12</v>
      </c>
      <c r="J5447" t="s">
        <v>16217</v>
      </c>
    </row>
    <row r="5448" spans="1:10" x14ac:dyDescent="0.25">
      <c r="A5448">
        <v>434310</v>
      </c>
      <c r="B5448" t="s">
        <v>5682</v>
      </c>
      <c r="C5448" t="str">
        <f>"9780748632954"</f>
        <v>9780748632954</v>
      </c>
      <c r="D5448" t="str">
        <f>"9780748632282"</f>
        <v>9780748632282</v>
      </c>
      <c r="E5448" t="s">
        <v>1942</v>
      </c>
      <c r="F5448" t="s">
        <v>1942</v>
      </c>
      <c r="G5448" s="1">
        <v>39892</v>
      </c>
      <c r="H5448" s="1">
        <v>39949</v>
      </c>
      <c r="I5448" t="s">
        <v>12</v>
      </c>
      <c r="J5448" t="s">
        <v>16218</v>
      </c>
    </row>
    <row r="5449" spans="1:10" x14ac:dyDescent="0.25">
      <c r="A5449">
        <v>434312</v>
      </c>
      <c r="B5449" t="s">
        <v>5683</v>
      </c>
      <c r="C5449" t="str">
        <f>"9780748632855"</f>
        <v>9780748632855</v>
      </c>
      <c r="D5449" t="str">
        <f>"9780748632510"</f>
        <v>9780748632510</v>
      </c>
      <c r="E5449" t="s">
        <v>1942</v>
      </c>
      <c r="F5449" t="s">
        <v>1942</v>
      </c>
      <c r="G5449" s="1">
        <v>39900</v>
      </c>
      <c r="H5449" s="1">
        <v>39949</v>
      </c>
      <c r="I5449" t="s">
        <v>12</v>
      </c>
      <c r="J5449" t="s">
        <v>16219</v>
      </c>
    </row>
    <row r="5450" spans="1:10" x14ac:dyDescent="0.25">
      <c r="A5450">
        <v>434397</v>
      </c>
      <c r="B5450" t="s">
        <v>5684</v>
      </c>
      <c r="C5450" t="str">
        <f>"9781556527746"</f>
        <v>9781556527746</v>
      </c>
      <c r="D5450" t="str">
        <f>"9781569762523"</f>
        <v>9781569762523</v>
      </c>
      <c r="E5450" t="s">
        <v>3090</v>
      </c>
      <c r="F5450" t="s">
        <v>3090</v>
      </c>
      <c r="G5450" s="1">
        <v>39845</v>
      </c>
      <c r="H5450" s="1">
        <v>39961</v>
      </c>
      <c r="I5450" t="s">
        <v>12</v>
      </c>
      <c r="J5450" t="s">
        <v>16220</v>
      </c>
    </row>
    <row r="5451" spans="1:10" x14ac:dyDescent="0.25">
      <c r="A5451">
        <v>434423</v>
      </c>
      <c r="B5451" t="s">
        <v>5685</v>
      </c>
      <c r="C5451" t="str">
        <f>"9781556528019"</f>
        <v>9781556528019</v>
      </c>
      <c r="D5451" t="str">
        <f>"9781569762554"</f>
        <v>9781569762554</v>
      </c>
      <c r="E5451" t="s">
        <v>3090</v>
      </c>
      <c r="F5451" t="s">
        <v>3090</v>
      </c>
      <c r="G5451" s="1">
        <v>39845</v>
      </c>
      <c r="H5451" s="1">
        <v>39962</v>
      </c>
      <c r="I5451" t="s">
        <v>12</v>
      </c>
      <c r="J5451" t="s">
        <v>16221</v>
      </c>
    </row>
    <row r="5452" spans="1:10" x14ac:dyDescent="0.25">
      <c r="A5452">
        <v>434434</v>
      </c>
      <c r="B5452" t="s">
        <v>5686</v>
      </c>
      <c r="C5452" t="str">
        <f>"9781931448086"</f>
        <v>9781931448086</v>
      </c>
      <c r="D5452" t="str">
        <f>"9781931448093"</f>
        <v>9781931448093</v>
      </c>
      <c r="E5452" t="s">
        <v>280</v>
      </c>
      <c r="F5452" t="s">
        <v>280</v>
      </c>
      <c r="G5452" s="1">
        <v>39965</v>
      </c>
      <c r="H5452" s="1">
        <v>40025</v>
      </c>
      <c r="I5452" t="s">
        <v>12</v>
      </c>
      <c r="J5452" t="s">
        <v>16222</v>
      </c>
    </row>
    <row r="5453" spans="1:10" x14ac:dyDescent="0.25">
      <c r="A5453">
        <v>434476</v>
      </c>
      <c r="B5453" t="s">
        <v>5687</v>
      </c>
      <c r="C5453" t="str">
        <f>"9781932802405"</f>
        <v>9781932802405</v>
      </c>
      <c r="D5453" t="str">
        <f>"9781932802504"</f>
        <v>9781932802504</v>
      </c>
      <c r="E5453" t="s">
        <v>5688</v>
      </c>
      <c r="F5453" t="s">
        <v>5688</v>
      </c>
      <c r="G5453" s="1">
        <v>39904</v>
      </c>
      <c r="H5453" s="1">
        <v>39962</v>
      </c>
      <c r="I5453" t="s">
        <v>12</v>
      </c>
      <c r="J5453" t="s">
        <v>16223</v>
      </c>
    </row>
    <row r="5454" spans="1:10" x14ac:dyDescent="0.25">
      <c r="A5454">
        <v>434507</v>
      </c>
      <c r="B5454" t="s">
        <v>5689</v>
      </c>
      <c r="C5454" t="str">
        <f>"9781893020467"</f>
        <v>9781893020467</v>
      </c>
      <c r="D5454" t="str">
        <f>"9781893020771"</f>
        <v>9781893020771</v>
      </c>
      <c r="E5454" t="s">
        <v>5690</v>
      </c>
      <c r="F5454" t="s">
        <v>5690</v>
      </c>
      <c r="G5454" s="1">
        <v>39539</v>
      </c>
      <c r="H5454" s="1">
        <v>39962</v>
      </c>
      <c r="I5454" t="s">
        <v>12</v>
      </c>
      <c r="J5454" t="s">
        <v>16224</v>
      </c>
    </row>
    <row r="5455" spans="1:10" x14ac:dyDescent="0.25">
      <c r="A5455">
        <v>434508</v>
      </c>
      <c r="B5455" t="s">
        <v>5691</v>
      </c>
      <c r="C5455" t="str">
        <f>"9780942257458"</f>
        <v>9780942257458</v>
      </c>
      <c r="D5455" t="str">
        <f>"9780942257601"</f>
        <v>9780942257601</v>
      </c>
      <c r="E5455" t="s">
        <v>5692</v>
      </c>
      <c r="F5455" t="s">
        <v>5692</v>
      </c>
      <c r="G5455" s="1">
        <v>39783</v>
      </c>
      <c r="H5455" s="1">
        <v>39962</v>
      </c>
      <c r="I5455" t="s">
        <v>12</v>
      </c>
      <c r="J5455" t="s">
        <v>16225</v>
      </c>
    </row>
    <row r="5456" spans="1:10" x14ac:dyDescent="0.25">
      <c r="A5456">
        <v>434948</v>
      </c>
      <c r="B5456" t="s">
        <v>5693</v>
      </c>
      <c r="C5456" t="str">
        <f>"9781581807875"</f>
        <v>9781581807875</v>
      </c>
      <c r="D5456" t="str">
        <f>"9781600612459"</f>
        <v>9781600612459</v>
      </c>
      <c r="E5456" t="s">
        <v>5176</v>
      </c>
      <c r="F5456" t="s">
        <v>5694</v>
      </c>
      <c r="G5456" s="1">
        <v>40434</v>
      </c>
      <c r="H5456" s="1">
        <v>39959</v>
      </c>
      <c r="I5456" t="s">
        <v>12</v>
      </c>
      <c r="J5456" t="s">
        <v>16226</v>
      </c>
    </row>
    <row r="5457" spans="1:10" x14ac:dyDescent="0.25">
      <c r="A5457">
        <v>434959</v>
      </c>
      <c r="B5457" t="s">
        <v>5695</v>
      </c>
      <c r="C5457" t="str">
        <f>"9781581809640"</f>
        <v>9781581809640</v>
      </c>
      <c r="D5457" t="str">
        <f>"9781600613661"</f>
        <v>9781600613661</v>
      </c>
      <c r="E5457" t="s">
        <v>5176</v>
      </c>
      <c r="F5457" t="s">
        <v>5696</v>
      </c>
      <c r="G5457" s="1">
        <v>39493</v>
      </c>
      <c r="H5457" s="1">
        <v>39954</v>
      </c>
      <c r="I5457" t="s">
        <v>12</v>
      </c>
      <c r="J5457" t="s">
        <v>16227</v>
      </c>
    </row>
    <row r="5458" spans="1:10" x14ac:dyDescent="0.25">
      <c r="A5458">
        <v>434971</v>
      </c>
      <c r="B5458" t="s">
        <v>5697</v>
      </c>
      <c r="C5458" t="str">
        <f>"9781558707887"</f>
        <v>9781558707887</v>
      </c>
      <c r="D5458" t="str">
        <f>"9781558709508"</f>
        <v>9781558709508</v>
      </c>
      <c r="E5458" t="s">
        <v>5176</v>
      </c>
      <c r="F5458" t="s">
        <v>5698</v>
      </c>
      <c r="G5458" s="1">
        <v>39178</v>
      </c>
      <c r="H5458" s="1">
        <v>40245</v>
      </c>
      <c r="I5458" t="s">
        <v>12</v>
      </c>
      <c r="J5458" t="s">
        <v>16228</v>
      </c>
    </row>
    <row r="5459" spans="1:10" x14ac:dyDescent="0.25">
      <c r="A5459">
        <v>434976</v>
      </c>
      <c r="B5459" t="s">
        <v>5699</v>
      </c>
      <c r="C5459" t="str">
        <f>"9780814409138"</f>
        <v>9780814409138</v>
      </c>
      <c r="D5459" t="str">
        <f>"9780814409763"</f>
        <v>9780814409763</v>
      </c>
      <c r="E5459" t="s">
        <v>1080</v>
      </c>
      <c r="F5459" t="s">
        <v>1080</v>
      </c>
      <c r="G5459" s="1">
        <v>39547</v>
      </c>
      <c r="H5459" s="1">
        <v>39954</v>
      </c>
      <c r="I5459" t="s">
        <v>12</v>
      </c>
      <c r="J5459" t="s">
        <v>16229</v>
      </c>
    </row>
    <row r="5460" spans="1:10" x14ac:dyDescent="0.25">
      <c r="A5460">
        <v>434979</v>
      </c>
      <c r="B5460" t="s">
        <v>5700</v>
      </c>
      <c r="C5460" t="str">
        <f>"9780814415214"</f>
        <v>9780814415214</v>
      </c>
      <c r="D5460" t="str">
        <f>"9780814415245"</f>
        <v>9780814415245</v>
      </c>
      <c r="E5460" t="s">
        <v>1080</v>
      </c>
      <c r="F5460" t="s">
        <v>1080</v>
      </c>
      <c r="G5460" s="1">
        <v>39948</v>
      </c>
      <c r="H5460" s="1">
        <v>39954</v>
      </c>
      <c r="I5460" t="s">
        <v>12</v>
      </c>
      <c r="J5460" t="s">
        <v>16230</v>
      </c>
    </row>
    <row r="5461" spans="1:10" x14ac:dyDescent="0.25">
      <c r="A5461">
        <v>434981</v>
      </c>
      <c r="B5461" t="s">
        <v>5701</v>
      </c>
      <c r="C5461" t="str">
        <f>"9780814410721"</f>
        <v>9780814410721</v>
      </c>
      <c r="D5461" t="str">
        <f>"9780814410790"</f>
        <v>9780814410790</v>
      </c>
      <c r="E5461" t="s">
        <v>1080</v>
      </c>
      <c r="F5461" t="s">
        <v>1080</v>
      </c>
      <c r="G5461" s="1">
        <v>39827</v>
      </c>
      <c r="H5461" s="1">
        <v>39954</v>
      </c>
      <c r="I5461" t="s">
        <v>12</v>
      </c>
      <c r="J5461" t="s">
        <v>16231</v>
      </c>
    </row>
    <row r="5462" spans="1:10" x14ac:dyDescent="0.25">
      <c r="A5462">
        <v>434988</v>
      </c>
      <c r="B5462" t="s">
        <v>5702</v>
      </c>
      <c r="C5462" t="str">
        <f>"9780814410530"</f>
        <v>9780814410530</v>
      </c>
      <c r="D5462" t="str">
        <f>"9780814410547"</f>
        <v>9780814410547</v>
      </c>
      <c r="E5462" t="s">
        <v>1080</v>
      </c>
      <c r="F5462" t="s">
        <v>1080</v>
      </c>
      <c r="G5462" s="1">
        <v>39946</v>
      </c>
      <c r="H5462" s="1">
        <v>39954</v>
      </c>
      <c r="I5462" t="s">
        <v>12</v>
      </c>
      <c r="J5462" t="s">
        <v>16232</v>
      </c>
    </row>
    <row r="5463" spans="1:10" x14ac:dyDescent="0.25">
      <c r="A5463">
        <v>434991</v>
      </c>
      <c r="B5463" t="s">
        <v>5703</v>
      </c>
      <c r="C5463" t="str">
        <f>"9780814413487"</f>
        <v>9780814413487</v>
      </c>
      <c r="D5463" t="str">
        <f>"9780814413494"</f>
        <v>9780814413494</v>
      </c>
      <c r="E5463" t="s">
        <v>1080</v>
      </c>
      <c r="F5463" t="s">
        <v>1080</v>
      </c>
      <c r="G5463" s="1">
        <v>39911</v>
      </c>
      <c r="H5463" s="1">
        <v>39954</v>
      </c>
      <c r="I5463" t="s">
        <v>12</v>
      </c>
      <c r="J5463" t="s">
        <v>16233</v>
      </c>
    </row>
    <row r="5464" spans="1:10" x14ac:dyDescent="0.25">
      <c r="A5464">
        <v>434992</v>
      </c>
      <c r="B5464" t="s">
        <v>5704</v>
      </c>
      <c r="C5464" t="str">
        <f>"9780814410653"</f>
        <v>9780814410653</v>
      </c>
      <c r="D5464" t="str">
        <f>"9780814410783"</f>
        <v>9780814410783</v>
      </c>
      <c r="E5464" t="s">
        <v>1080</v>
      </c>
      <c r="F5464" t="s">
        <v>1080</v>
      </c>
      <c r="G5464" s="1">
        <v>39820</v>
      </c>
      <c r="H5464" s="1">
        <v>39954</v>
      </c>
      <c r="I5464" t="s">
        <v>12</v>
      </c>
      <c r="J5464" t="s">
        <v>16234</v>
      </c>
    </row>
    <row r="5465" spans="1:10" x14ac:dyDescent="0.25">
      <c r="A5465">
        <v>434996</v>
      </c>
      <c r="B5465" t="s">
        <v>5705</v>
      </c>
      <c r="C5465" t="str">
        <f>"9780814413333"</f>
        <v>9780814413333</v>
      </c>
      <c r="D5465" t="str">
        <f>"9780814413340"</f>
        <v>9780814413340</v>
      </c>
      <c r="E5465" t="s">
        <v>1080</v>
      </c>
      <c r="F5465" t="s">
        <v>1080</v>
      </c>
      <c r="G5465" s="1">
        <v>39946</v>
      </c>
      <c r="H5465" s="1">
        <v>39954</v>
      </c>
      <c r="I5465" t="s">
        <v>12</v>
      </c>
      <c r="J5465" t="s">
        <v>16235</v>
      </c>
    </row>
    <row r="5466" spans="1:10" x14ac:dyDescent="0.25">
      <c r="A5466">
        <v>435000</v>
      </c>
      <c r="B5466" t="s">
        <v>5706</v>
      </c>
      <c r="C5466" t="str">
        <f>"9780814410738"</f>
        <v>9780814410738</v>
      </c>
      <c r="D5466" t="str">
        <f>"9780814410752"</f>
        <v>9780814410752</v>
      </c>
      <c r="E5466" t="s">
        <v>1080</v>
      </c>
      <c r="F5466" t="s">
        <v>1080</v>
      </c>
      <c r="G5466" s="1">
        <v>40148</v>
      </c>
      <c r="H5466" s="1">
        <v>39954</v>
      </c>
      <c r="I5466" t="s">
        <v>12</v>
      </c>
      <c r="J5466" t="s">
        <v>16236</v>
      </c>
    </row>
    <row r="5467" spans="1:10" x14ac:dyDescent="0.25">
      <c r="A5467">
        <v>435002</v>
      </c>
      <c r="B5467" t="s">
        <v>5707</v>
      </c>
      <c r="C5467" t="str">
        <f>"9780814410707"</f>
        <v>9780814410707</v>
      </c>
      <c r="D5467" t="str">
        <f>"9780814410714"</f>
        <v>9780814410714</v>
      </c>
      <c r="E5467" t="s">
        <v>1080</v>
      </c>
      <c r="F5467" t="s">
        <v>1080</v>
      </c>
      <c r="G5467" s="1">
        <v>39918</v>
      </c>
      <c r="H5467" s="1">
        <v>39954</v>
      </c>
      <c r="I5467" t="s">
        <v>12</v>
      </c>
      <c r="J5467" t="s">
        <v>16237</v>
      </c>
    </row>
    <row r="5468" spans="1:10" x14ac:dyDescent="0.25">
      <c r="A5468">
        <v>435003</v>
      </c>
      <c r="B5468" t="s">
        <v>5708</v>
      </c>
      <c r="C5468" t="str">
        <f>"9780814409343"</f>
        <v>9780814409343</v>
      </c>
      <c r="D5468" t="str">
        <f>"9780814410318"</f>
        <v>9780814410318</v>
      </c>
      <c r="E5468" t="s">
        <v>5709</v>
      </c>
      <c r="F5468" t="s">
        <v>5710</v>
      </c>
      <c r="G5468" s="1">
        <v>40148</v>
      </c>
      <c r="H5468" s="1">
        <v>39942</v>
      </c>
      <c r="I5468" t="s">
        <v>12</v>
      </c>
      <c r="J5468" t="s">
        <v>16238</v>
      </c>
    </row>
    <row r="5469" spans="1:10" x14ac:dyDescent="0.25">
      <c r="A5469">
        <v>435046</v>
      </c>
      <c r="B5469" t="s">
        <v>5711</v>
      </c>
      <c r="C5469" t="str">
        <f>"9780813544809"</f>
        <v>9780813544809</v>
      </c>
      <c r="D5469" t="str">
        <f>"9780813546957"</f>
        <v>9780813546957</v>
      </c>
      <c r="E5469" t="s">
        <v>4859</v>
      </c>
      <c r="F5469" t="s">
        <v>4859</v>
      </c>
      <c r="G5469" s="1">
        <v>39860</v>
      </c>
      <c r="H5469" s="1">
        <v>39953</v>
      </c>
      <c r="I5469" t="s">
        <v>12</v>
      </c>
      <c r="J5469" t="s">
        <v>16239</v>
      </c>
    </row>
    <row r="5470" spans="1:10" x14ac:dyDescent="0.25">
      <c r="A5470">
        <v>435051</v>
      </c>
      <c r="B5470" t="s">
        <v>5712</v>
      </c>
      <c r="C5470" t="str">
        <f>"9780813544298"</f>
        <v>9780813544298</v>
      </c>
      <c r="D5470" t="str">
        <f>"9780813546964"</f>
        <v>9780813546964</v>
      </c>
      <c r="E5470" t="s">
        <v>4859</v>
      </c>
      <c r="F5470" t="s">
        <v>4859</v>
      </c>
      <c r="G5470" s="1">
        <v>39853</v>
      </c>
      <c r="H5470" s="1">
        <v>39953</v>
      </c>
      <c r="I5470" t="s">
        <v>12</v>
      </c>
      <c r="J5470" t="s">
        <v>16240</v>
      </c>
    </row>
    <row r="5471" spans="1:10" x14ac:dyDescent="0.25">
      <c r="A5471">
        <v>435061</v>
      </c>
      <c r="B5471" t="s">
        <v>5713</v>
      </c>
      <c r="C5471" t="str">
        <f>"9780813545424"</f>
        <v>9780813545424</v>
      </c>
      <c r="D5471" t="str">
        <f>"9780813546995"</f>
        <v>9780813546995</v>
      </c>
      <c r="E5471" t="s">
        <v>4859</v>
      </c>
      <c r="F5471" t="s">
        <v>4859</v>
      </c>
      <c r="G5471" s="1">
        <v>39918</v>
      </c>
      <c r="H5471" s="1">
        <v>39953</v>
      </c>
      <c r="I5471" t="s">
        <v>12</v>
      </c>
      <c r="J5471" t="s">
        <v>16241</v>
      </c>
    </row>
    <row r="5472" spans="1:10" x14ac:dyDescent="0.25">
      <c r="A5472">
        <v>435187</v>
      </c>
      <c r="B5472" t="s">
        <v>5714</v>
      </c>
      <c r="C5472" t="str">
        <f>"9781842779569"</f>
        <v>9781842779569</v>
      </c>
      <c r="D5472" t="str">
        <f>"9781848133785"</f>
        <v>9781848133785</v>
      </c>
      <c r="E5472" t="s">
        <v>4626</v>
      </c>
      <c r="F5472" t="s">
        <v>4626</v>
      </c>
      <c r="G5472" s="1">
        <v>39706</v>
      </c>
      <c r="H5472" s="1">
        <v>39953</v>
      </c>
      <c r="I5472" t="s">
        <v>12</v>
      </c>
      <c r="J5472" t="s">
        <v>16242</v>
      </c>
    </row>
    <row r="5473" spans="1:10" x14ac:dyDescent="0.25">
      <c r="A5473">
        <v>435193</v>
      </c>
      <c r="B5473" t="s">
        <v>5715</v>
      </c>
      <c r="C5473" t="str">
        <f>"9781842778890"</f>
        <v>9781842778890</v>
      </c>
      <c r="D5473" t="str">
        <f>"9781848133693"</f>
        <v>9781848133693</v>
      </c>
      <c r="E5473" t="s">
        <v>4626</v>
      </c>
      <c r="F5473" t="s">
        <v>4626</v>
      </c>
      <c r="G5473" s="1">
        <v>39722</v>
      </c>
      <c r="H5473" s="1">
        <v>39953</v>
      </c>
      <c r="I5473" t="s">
        <v>12</v>
      </c>
      <c r="J5473" t="s">
        <v>16243</v>
      </c>
    </row>
    <row r="5474" spans="1:10" x14ac:dyDescent="0.25">
      <c r="A5474">
        <v>435249</v>
      </c>
      <c r="B5474" t="s">
        <v>5716</v>
      </c>
      <c r="C5474" t="str">
        <f>"9780765618085"</f>
        <v>9780765618085</v>
      </c>
      <c r="D5474" t="str">
        <f>"9780765622341"</f>
        <v>9780765622341</v>
      </c>
      <c r="E5474" t="s">
        <v>15</v>
      </c>
      <c r="F5474" t="s">
        <v>16</v>
      </c>
      <c r="G5474" s="1">
        <v>40101</v>
      </c>
      <c r="H5474" s="1">
        <v>40112</v>
      </c>
      <c r="I5474" t="s">
        <v>12</v>
      </c>
      <c r="J5474" t="s">
        <v>16244</v>
      </c>
    </row>
    <row r="5475" spans="1:10" x14ac:dyDescent="0.25">
      <c r="A5475">
        <v>435379</v>
      </c>
      <c r="B5475" t="s">
        <v>5717</v>
      </c>
      <c r="C5475" t="str">
        <f>"9781412935494"</f>
        <v>9781412935494</v>
      </c>
      <c r="D5475" t="str">
        <f>"9781849204927"</f>
        <v>9781849204927</v>
      </c>
      <c r="E5475" t="s">
        <v>1569</v>
      </c>
      <c r="F5475" t="s">
        <v>1570</v>
      </c>
      <c r="G5475" s="1">
        <v>39506</v>
      </c>
      <c r="H5475" s="1">
        <v>39954</v>
      </c>
      <c r="I5475" t="s">
        <v>12</v>
      </c>
      <c r="J5475" t="s">
        <v>16245</v>
      </c>
    </row>
    <row r="5476" spans="1:10" x14ac:dyDescent="0.25">
      <c r="A5476">
        <v>435380</v>
      </c>
      <c r="B5476" t="s">
        <v>5718</v>
      </c>
      <c r="C5476" t="str">
        <f>"9781412928571"</f>
        <v>9781412928571</v>
      </c>
      <c r="D5476" t="str">
        <f>"9781849204910"</f>
        <v>9781849204910</v>
      </c>
      <c r="E5476" t="s">
        <v>1569</v>
      </c>
      <c r="F5476" t="s">
        <v>1570</v>
      </c>
      <c r="G5476" s="1">
        <v>39510</v>
      </c>
      <c r="H5476" s="1">
        <v>39954</v>
      </c>
      <c r="I5476" t="s">
        <v>12</v>
      </c>
      <c r="J5476" t="s">
        <v>16246</v>
      </c>
    </row>
    <row r="5477" spans="1:10" x14ac:dyDescent="0.25">
      <c r="A5477">
        <v>435381</v>
      </c>
      <c r="B5477" t="s">
        <v>5719</v>
      </c>
      <c r="C5477" t="str">
        <f>"9781412946872"</f>
        <v>9781412946872</v>
      </c>
      <c r="D5477" t="str">
        <f>"9781849204880"</f>
        <v>9781849204880</v>
      </c>
      <c r="E5477" t="s">
        <v>1569</v>
      </c>
      <c r="F5477" t="s">
        <v>1570</v>
      </c>
      <c r="G5477" s="1">
        <v>39496</v>
      </c>
      <c r="H5477" s="1">
        <v>39954</v>
      </c>
      <c r="I5477" t="s">
        <v>12</v>
      </c>
      <c r="J5477" t="s">
        <v>16247</v>
      </c>
    </row>
    <row r="5478" spans="1:10" x14ac:dyDescent="0.25">
      <c r="A5478">
        <v>435383</v>
      </c>
      <c r="B5478" t="s">
        <v>5720</v>
      </c>
      <c r="C5478" t="str">
        <f>"9781412947978"</f>
        <v>9781412947978</v>
      </c>
      <c r="D5478" t="str">
        <f>"9781849204903"</f>
        <v>9781849204903</v>
      </c>
      <c r="E5478" t="s">
        <v>1569</v>
      </c>
      <c r="F5478" t="s">
        <v>1570</v>
      </c>
      <c r="G5478" s="1">
        <v>39539</v>
      </c>
      <c r="H5478" s="1">
        <v>39954</v>
      </c>
      <c r="I5478" t="s">
        <v>12</v>
      </c>
      <c r="J5478" t="s">
        <v>16248</v>
      </c>
    </row>
    <row r="5479" spans="1:10" x14ac:dyDescent="0.25">
      <c r="A5479">
        <v>435388</v>
      </c>
      <c r="B5479" t="s">
        <v>5721</v>
      </c>
      <c r="C5479" t="str">
        <f>"9781412921572"</f>
        <v>9781412921572</v>
      </c>
      <c r="D5479" t="str">
        <f>"9781849204989"</f>
        <v>9781849204989</v>
      </c>
      <c r="E5479" t="s">
        <v>1569</v>
      </c>
      <c r="F5479" t="s">
        <v>1570</v>
      </c>
      <c r="G5479" s="1">
        <v>39465</v>
      </c>
      <c r="H5479" s="1">
        <v>39954</v>
      </c>
      <c r="I5479" t="s">
        <v>12</v>
      </c>
      <c r="J5479" t="s">
        <v>16249</v>
      </c>
    </row>
    <row r="5480" spans="1:10" x14ac:dyDescent="0.25">
      <c r="A5480">
        <v>435389</v>
      </c>
      <c r="B5480" t="s">
        <v>5722</v>
      </c>
      <c r="C5480" t="str">
        <f>"9781412918954"</f>
        <v>9781412918954</v>
      </c>
      <c r="D5480" t="str">
        <f>"9781849204972"</f>
        <v>9781849204972</v>
      </c>
      <c r="E5480" t="s">
        <v>1569</v>
      </c>
      <c r="F5480" t="s">
        <v>1570</v>
      </c>
      <c r="G5480" s="1">
        <v>39415</v>
      </c>
      <c r="H5480" s="1">
        <v>39954</v>
      </c>
      <c r="I5480" t="s">
        <v>12</v>
      </c>
      <c r="J5480" t="s">
        <v>16250</v>
      </c>
    </row>
    <row r="5481" spans="1:10" x14ac:dyDescent="0.25">
      <c r="A5481">
        <v>435487</v>
      </c>
      <c r="B5481" t="s">
        <v>5723</v>
      </c>
      <c r="C5481" t="str">
        <f>"9789056295455"</f>
        <v>9789056295455</v>
      </c>
      <c r="D5481" t="str">
        <f>"9789048508020"</f>
        <v>9789048508020</v>
      </c>
      <c r="E5481" t="s">
        <v>5284</v>
      </c>
      <c r="F5481" t="s">
        <v>5398</v>
      </c>
      <c r="G5481" s="1">
        <v>39873</v>
      </c>
      <c r="H5481" s="1">
        <v>40112</v>
      </c>
      <c r="I5481" t="s">
        <v>12</v>
      </c>
      <c r="J5481" t="s">
        <v>16251</v>
      </c>
    </row>
    <row r="5482" spans="1:10" x14ac:dyDescent="0.25">
      <c r="A5482">
        <v>435501</v>
      </c>
      <c r="B5482" t="s">
        <v>5724</v>
      </c>
      <c r="C5482" t="str">
        <f>"9789056295653"</f>
        <v>9789056295653</v>
      </c>
      <c r="D5482" t="str">
        <f>"9789048510467"</f>
        <v>9789048510467</v>
      </c>
      <c r="E5482" t="s">
        <v>5284</v>
      </c>
      <c r="F5482" t="s">
        <v>5398</v>
      </c>
      <c r="G5482" s="1">
        <v>39934</v>
      </c>
      <c r="H5482" s="1">
        <v>40112</v>
      </c>
      <c r="I5482" t="s">
        <v>12</v>
      </c>
      <c r="J5482" t="s">
        <v>16252</v>
      </c>
    </row>
    <row r="5483" spans="1:10" x14ac:dyDescent="0.25">
      <c r="A5483">
        <v>435515</v>
      </c>
      <c r="B5483" t="s">
        <v>5725</v>
      </c>
      <c r="C5483" t="str">
        <f>"9780803616882"</f>
        <v>9780803616882</v>
      </c>
      <c r="D5483" t="str">
        <f>"9780803622401"</f>
        <v>9780803622401</v>
      </c>
      <c r="E5483" t="s">
        <v>1445</v>
      </c>
      <c r="F5483" t="s">
        <v>1445</v>
      </c>
      <c r="G5483" s="1">
        <v>39752</v>
      </c>
      <c r="H5483" s="1">
        <v>39956</v>
      </c>
      <c r="I5483" t="s">
        <v>12</v>
      </c>
      <c r="J5483" t="s">
        <v>16253</v>
      </c>
    </row>
    <row r="5484" spans="1:10" x14ac:dyDescent="0.25">
      <c r="A5484">
        <v>435529</v>
      </c>
      <c r="B5484" t="s">
        <v>5726</v>
      </c>
      <c r="C5484" t="str">
        <f>"9780874251838"</f>
        <v>9780874251838</v>
      </c>
      <c r="D5484" t="str">
        <f>"9781599965116"</f>
        <v>9781599965116</v>
      </c>
      <c r="E5484" t="s">
        <v>4259</v>
      </c>
      <c r="F5484" t="s">
        <v>4259</v>
      </c>
      <c r="G5484" s="1">
        <v>33239</v>
      </c>
      <c r="H5484" s="1">
        <v>39963</v>
      </c>
      <c r="I5484" t="s">
        <v>12</v>
      </c>
      <c r="J5484" t="s">
        <v>16254</v>
      </c>
    </row>
    <row r="5485" spans="1:10" x14ac:dyDescent="0.25">
      <c r="A5485">
        <v>435550</v>
      </c>
      <c r="B5485" t="s">
        <v>5727</v>
      </c>
      <c r="C5485" t="str">
        <f>"9780874259483"</f>
        <v>9780874259483</v>
      </c>
      <c r="D5485" t="str">
        <f>"9781599968766"</f>
        <v>9781599968766</v>
      </c>
      <c r="E5485" t="s">
        <v>4259</v>
      </c>
      <c r="F5485" t="s">
        <v>4259</v>
      </c>
      <c r="G5485" s="1">
        <v>39022</v>
      </c>
      <c r="H5485" s="1">
        <v>39966</v>
      </c>
      <c r="I5485" t="s">
        <v>12</v>
      </c>
      <c r="J5485" t="s">
        <v>16255</v>
      </c>
    </row>
    <row r="5486" spans="1:10" x14ac:dyDescent="0.25">
      <c r="A5486">
        <v>435582</v>
      </c>
      <c r="B5486" t="s">
        <v>5728</v>
      </c>
      <c r="C5486" t="str">
        <f>"9781843109457"</f>
        <v>9781843109457</v>
      </c>
      <c r="D5486" t="str">
        <f>"9781846428944"</f>
        <v>9781846428944</v>
      </c>
      <c r="E5486" t="s">
        <v>2950</v>
      </c>
      <c r="F5486" t="s">
        <v>2950</v>
      </c>
      <c r="G5486" s="1">
        <v>39828</v>
      </c>
      <c r="H5486" s="1">
        <v>39970</v>
      </c>
      <c r="I5486" t="s">
        <v>12</v>
      </c>
      <c r="J5486" t="s">
        <v>16256</v>
      </c>
    </row>
    <row r="5487" spans="1:10" x14ac:dyDescent="0.25">
      <c r="A5487">
        <v>435588</v>
      </c>
      <c r="B5487" t="s">
        <v>5729</v>
      </c>
      <c r="C5487" t="str">
        <f>"9781843106951"</f>
        <v>9781843106951</v>
      </c>
      <c r="D5487" t="str">
        <f>"9781846426933"</f>
        <v>9781846426933</v>
      </c>
      <c r="E5487" t="s">
        <v>2950</v>
      </c>
      <c r="F5487" t="s">
        <v>2950</v>
      </c>
      <c r="G5487" s="1">
        <v>39828</v>
      </c>
      <c r="H5487" s="1">
        <v>39970</v>
      </c>
      <c r="I5487" t="s">
        <v>12</v>
      </c>
      <c r="J5487" t="s">
        <v>16257</v>
      </c>
    </row>
    <row r="5488" spans="1:10" x14ac:dyDescent="0.25">
      <c r="A5488">
        <v>436204</v>
      </c>
      <c r="B5488" t="s">
        <v>5730</v>
      </c>
      <c r="C5488" t="str">
        <f>"9781441191809"</f>
        <v>9781441191809</v>
      </c>
      <c r="D5488" t="str">
        <f>"9780826432391"</f>
        <v>9780826432391</v>
      </c>
      <c r="E5488" t="s">
        <v>4180</v>
      </c>
      <c r="F5488" t="s">
        <v>4180</v>
      </c>
      <c r="G5488" s="1">
        <v>41025</v>
      </c>
      <c r="H5488" s="1">
        <v>41844</v>
      </c>
      <c r="I5488" t="s">
        <v>12</v>
      </c>
      <c r="J5488" t="s">
        <v>16258</v>
      </c>
    </row>
    <row r="5489" spans="1:10" x14ac:dyDescent="0.25">
      <c r="A5489">
        <v>437059</v>
      </c>
      <c r="B5489" t="s">
        <v>5731</v>
      </c>
      <c r="C5489" t="str">
        <f>"9783484431072"</f>
        <v>9783484431072</v>
      </c>
      <c r="D5489" t="str">
        <f>"9783484431089"</f>
        <v>9783484431089</v>
      </c>
      <c r="E5489" t="s">
        <v>2482</v>
      </c>
      <c r="F5489" t="s">
        <v>5732</v>
      </c>
      <c r="G5489" s="1">
        <v>39906</v>
      </c>
      <c r="H5489" s="1">
        <v>39958</v>
      </c>
      <c r="I5489" t="s">
        <v>12</v>
      </c>
      <c r="J5489" t="s">
        <v>16259</v>
      </c>
    </row>
    <row r="5490" spans="1:10" x14ac:dyDescent="0.25">
      <c r="A5490">
        <v>437060</v>
      </c>
      <c r="B5490" t="s">
        <v>5733</v>
      </c>
      <c r="C5490" t="str">
        <f>"9783484431065"</f>
        <v>9783484431065</v>
      </c>
      <c r="D5490" t="str">
        <f>"9783484431195"</f>
        <v>9783484431195</v>
      </c>
      <c r="E5490" t="s">
        <v>2482</v>
      </c>
      <c r="F5490" t="s">
        <v>5732</v>
      </c>
      <c r="G5490" s="1">
        <v>39906</v>
      </c>
      <c r="H5490" s="1">
        <v>39958</v>
      </c>
      <c r="I5490" t="s">
        <v>12</v>
      </c>
      <c r="J5490" t="s">
        <v>16260</v>
      </c>
    </row>
    <row r="5491" spans="1:10" x14ac:dyDescent="0.25">
      <c r="A5491">
        <v>437361</v>
      </c>
      <c r="B5491" t="s">
        <v>5734</v>
      </c>
      <c r="C5491" t="str">
        <f>"9781842773574"</f>
        <v>9781842773574</v>
      </c>
      <c r="D5491" t="str">
        <f>"9781848130708"</f>
        <v>9781848130708</v>
      </c>
      <c r="E5491" t="s">
        <v>4626</v>
      </c>
      <c r="F5491" t="s">
        <v>4626</v>
      </c>
      <c r="G5491" s="1">
        <v>38231</v>
      </c>
      <c r="H5491" s="1">
        <v>39961</v>
      </c>
      <c r="I5491" t="s">
        <v>12</v>
      </c>
      <c r="J5491" t="s">
        <v>16261</v>
      </c>
    </row>
    <row r="5492" spans="1:10" x14ac:dyDescent="0.25">
      <c r="A5492">
        <v>437570</v>
      </c>
      <c r="B5492" t="s">
        <v>5735</v>
      </c>
      <c r="C5492" t="str">
        <f>"9789053568576"</f>
        <v>9789053568576</v>
      </c>
      <c r="D5492" t="str">
        <f>"9789048504138"</f>
        <v>9789048504138</v>
      </c>
      <c r="E5492" t="s">
        <v>5284</v>
      </c>
      <c r="F5492" t="s">
        <v>5284</v>
      </c>
      <c r="G5492" s="1">
        <v>38777</v>
      </c>
      <c r="H5492" s="1">
        <v>39962</v>
      </c>
      <c r="I5492" t="s">
        <v>12</v>
      </c>
      <c r="J5492" t="s">
        <v>16262</v>
      </c>
    </row>
    <row r="5493" spans="1:10" x14ac:dyDescent="0.25">
      <c r="A5493">
        <v>437582</v>
      </c>
      <c r="B5493" t="s">
        <v>5736</v>
      </c>
      <c r="C5493" t="str">
        <f>"9789053560594"</f>
        <v>9789053560594</v>
      </c>
      <c r="D5493" t="str">
        <f>"9789048503506"</f>
        <v>9789048503506</v>
      </c>
      <c r="E5493" t="s">
        <v>5284</v>
      </c>
      <c r="F5493" t="s">
        <v>5284</v>
      </c>
      <c r="G5493" s="1">
        <v>35217</v>
      </c>
      <c r="H5493" s="1">
        <v>40245</v>
      </c>
      <c r="I5493" t="s">
        <v>12</v>
      </c>
      <c r="J5493" t="s">
        <v>16263</v>
      </c>
    </row>
    <row r="5494" spans="1:10" x14ac:dyDescent="0.25">
      <c r="A5494">
        <v>437592</v>
      </c>
      <c r="B5494" t="s">
        <v>5737</v>
      </c>
      <c r="C5494" t="str">
        <f>"9789053564448"</f>
        <v>9789053564448</v>
      </c>
      <c r="D5494" t="str">
        <f>"9789048505814"</f>
        <v>9789048505814</v>
      </c>
      <c r="E5494" t="s">
        <v>5284</v>
      </c>
      <c r="F5494" t="s">
        <v>5284</v>
      </c>
      <c r="G5494" s="1">
        <v>36678</v>
      </c>
      <c r="H5494" s="1">
        <v>40598</v>
      </c>
      <c r="I5494" t="s">
        <v>12</v>
      </c>
      <c r="J5494" t="s">
        <v>16264</v>
      </c>
    </row>
    <row r="5495" spans="1:10" x14ac:dyDescent="0.25">
      <c r="A5495">
        <v>437611</v>
      </c>
      <c r="B5495" t="s">
        <v>5738</v>
      </c>
      <c r="C5495" t="str">
        <f>"9789053563137"</f>
        <v>9789053563137</v>
      </c>
      <c r="D5495" t="str">
        <f>"9789048503568"</f>
        <v>9789048503568</v>
      </c>
      <c r="E5495" t="s">
        <v>5284</v>
      </c>
      <c r="F5495" t="s">
        <v>5284</v>
      </c>
      <c r="G5495" s="1">
        <v>36312</v>
      </c>
      <c r="H5495" s="1">
        <v>39966</v>
      </c>
      <c r="I5495" t="s">
        <v>12</v>
      </c>
      <c r="J5495" t="s">
        <v>16265</v>
      </c>
    </row>
    <row r="5496" spans="1:10" x14ac:dyDescent="0.25">
      <c r="A5496">
        <v>437619</v>
      </c>
      <c r="B5496" t="s">
        <v>5739</v>
      </c>
      <c r="C5496" t="str">
        <f>"9780253352453"</f>
        <v>9780253352453</v>
      </c>
      <c r="D5496" t="str">
        <f>"9780253002631"</f>
        <v>9780253002631</v>
      </c>
      <c r="E5496" t="s">
        <v>4527</v>
      </c>
      <c r="F5496" t="s">
        <v>4527</v>
      </c>
      <c r="G5496" s="1">
        <v>39790</v>
      </c>
      <c r="H5496" s="1">
        <v>39962</v>
      </c>
      <c r="I5496" t="s">
        <v>12</v>
      </c>
      <c r="J5496" t="s">
        <v>16266</v>
      </c>
    </row>
    <row r="5497" spans="1:10" x14ac:dyDescent="0.25">
      <c r="A5497">
        <v>437714</v>
      </c>
      <c r="B5497" t="s">
        <v>5740</v>
      </c>
      <c r="C5497" t="str">
        <f>"9788122424669"</f>
        <v>9788122424669</v>
      </c>
      <c r="D5497" t="str">
        <f>"9788122428810"</f>
        <v>9788122428810</v>
      </c>
      <c r="E5497" t="s">
        <v>4636</v>
      </c>
      <c r="F5497" t="s">
        <v>4637</v>
      </c>
      <c r="G5497" s="1">
        <v>39814</v>
      </c>
      <c r="H5497" s="1">
        <v>39996</v>
      </c>
      <c r="I5497" t="s">
        <v>12</v>
      </c>
      <c r="J5497" t="s">
        <v>16267</v>
      </c>
    </row>
    <row r="5498" spans="1:10" x14ac:dyDescent="0.25">
      <c r="A5498">
        <v>437718</v>
      </c>
      <c r="B5498" t="s">
        <v>5741</v>
      </c>
      <c r="C5498" t="str">
        <f>"9788122422122"</f>
        <v>9788122422122</v>
      </c>
      <c r="D5498" t="str">
        <f>"9788122427011"</f>
        <v>9788122427011</v>
      </c>
      <c r="E5498" t="s">
        <v>4636</v>
      </c>
      <c r="F5498" t="s">
        <v>4637</v>
      </c>
      <c r="G5498" s="1">
        <v>39508</v>
      </c>
      <c r="H5498" s="1">
        <v>39996</v>
      </c>
      <c r="I5498" t="s">
        <v>12</v>
      </c>
      <c r="J5498" t="s">
        <v>16268</v>
      </c>
    </row>
    <row r="5499" spans="1:10" x14ac:dyDescent="0.25">
      <c r="A5499">
        <v>437762</v>
      </c>
      <c r="B5499" t="s">
        <v>5742</v>
      </c>
      <c r="C5499" t="str">
        <f>"9789264054295"</f>
        <v>9789264054295</v>
      </c>
      <c r="D5499" t="str">
        <f>"9789264054288"</f>
        <v>9789264054288</v>
      </c>
      <c r="E5499" t="s">
        <v>1185</v>
      </c>
      <c r="F5499" t="s">
        <v>1186</v>
      </c>
      <c r="G5499" s="1">
        <v>39814</v>
      </c>
      <c r="H5499" s="1">
        <v>39962</v>
      </c>
      <c r="I5499" t="s">
        <v>12</v>
      </c>
      <c r="J5499" t="s">
        <v>16269</v>
      </c>
    </row>
    <row r="5500" spans="1:10" x14ac:dyDescent="0.25">
      <c r="A5500">
        <v>438117</v>
      </c>
      <c r="B5500" t="s">
        <v>5743</v>
      </c>
      <c r="C5500" t="str">
        <f>"9780817313784"</f>
        <v>9780817313784</v>
      </c>
      <c r="D5500" t="str">
        <f>"9780817380960"</f>
        <v>9780817380960</v>
      </c>
      <c r="E5500" t="s">
        <v>5744</v>
      </c>
      <c r="F5500" t="s">
        <v>5744</v>
      </c>
      <c r="G5500" s="1">
        <v>37909</v>
      </c>
      <c r="H5500" s="1">
        <v>39962</v>
      </c>
      <c r="I5500" t="s">
        <v>12</v>
      </c>
      <c r="J5500" t="s">
        <v>16270</v>
      </c>
    </row>
    <row r="5501" spans="1:10" x14ac:dyDescent="0.25">
      <c r="A5501">
        <v>438124</v>
      </c>
      <c r="B5501" t="s">
        <v>5745</v>
      </c>
      <c r="C5501" t="str">
        <f>"9780817311681"</f>
        <v>9780817311681</v>
      </c>
      <c r="D5501" t="str">
        <f>"9780817381905"</f>
        <v>9780817381905</v>
      </c>
      <c r="E5501" t="s">
        <v>5744</v>
      </c>
      <c r="F5501" t="s">
        <v>5744</v>
      </c>
      <c r="G5501" s="1">
        <v>37524</v>
      </c>
      <c r="H5501" s="1">
        <v>39962</v>
      </c>
      <c r="I5501" t="s">
        <v>12</v>
      </c>
      <c r="J5501" t="s">
        <v>16271</v>
      </c>
    </row>
    <row r="5502" spans="1:10" x14ac:dyDescent="0.25">
      <c r="A5502">
        <v>438150</v>
      </c>
      <c r="B5502" t="s">
        <v>5746</v>
      </c>
      <c r="C5502" t="str">
        <f>"9780817315832"</f>
        <v>9780817315832</v>
      </c>
      <c r="D5502" t="str">
        <f>"9780817380809"</f>
        <v>9780817380809</v>
      </c>
      <c r="E5502" t="s">
        <v>5744</v>
      </c>
      <c r="F5502" t="s">
        <v>5744</v>
      </c>
      <c r="G5502" s="1">
        <v>39334</v>
      </c>
      <c r="H5502" s="1">
        <v>39987</v>
      </c>
      <c r="I5502" t="s">
        <v>12</v>
      </c>
      <c r="J5502" t="s">
        <v>16272</v>
      </c>
    </row>
    <row r="5503" spans="1:10" x14ac:dyDescent="0.25">
      <c r="A5503">
        <v>438154</v>
      </c>
      <c r="B5503" t="s">
        <v>5747</v>
      </c>
      <c r="C5503" t="str">
        <f>"9780817313838"</f>
        <v>9780817313838</v>
      </c>
      <c r="D5503" t="str">
        <f>"9780817381684"</f>
        <v>9780817381684</v>
      </c>
      <c r="E5503" t="s">
        <v>5744</v>
      </c>
      <c r="F5503" t="s">
        <v>5744</v>
      </c>
      <c r="G5503" s="1">
        <v>37992</v>
      </c>
      <c r="H5503" s="1">
        <v>39987</v>
      </c>
      <c r="I5503" t="s">
        <v>12</v>
      </c>
      <c r="J5503" t="s">
        <v>16273</v>
      </c>
    </row>
    <row r="5504" spans="1:10" x14ac:dyDescent="0.25">
      <c r="A5504">
        <v>438156</v>
      </c>
      <c r="B5504" t="s">
        <v>5748</v>
      </c>
      <c r="C5504" t="str">
        <f>"9780817315719"</f>
        <v>9780817315719</v>
      </c>
      <c r="D5504" t="str">
        <f>"9780817380823"</f>
        <v>9780817380823</v>
      </c>
      <c r="E5504" t="s">
        <v>5744</v>
      </c>
      <c r="F5504" t="s">
        <v>5744</v>
      </c>
      <c r="G5504" s="1">
        <v>39261</v>
      </c>
      <c r="H5504" s="1">
        <v>39987</v>
      </c>
      <c r="I5504" t="s">
        <v>12</v>
      </c>
      <c r="J5504" t="s">
        <v>16274</v>
      </c>
    </row>
    <row r="5505" spans="1:10" x14ac:dyDescent="0.25">
      <c r="A5505">
        <v>438302</v>
      </c>
      <c r="B5505" t="s">
        <v>5749</v>
      </c>
      <c r="C5505" t="str">
        <f>"9780566088025"</f>
        <v>9780566088025</v>
      </c>
      <c r="D5505" t="str">
        <f>"9780754687771"</f>
        <v>9780754687771</v>
      </c>
      <c r="E5505" t="s">
        <v>15</v>
      </c>
      <c r="F5505" t="s">
        <v>16</v>
      </c>
      <c r="G5505" s="1">
        <v>39387</v>
      </c>
      <c r="H5505" s="1">
        <v>39972</v>
      </c>
      <c r="I5505" t="s">
        <v>12</v>
      </c>
      <c r="J5505" t="s">
        <v>16275</v>
      </c>
    </row>
    <row r="5506" spans="1:10" x14ac:dyDescent="0.25">
      <c r="A5506">
        <v>438336</v>
      </c>
      <c r="B5506" t="s">
        <v>5750</v>
      </c>
      <c r="C5506" t="str">
        <f>"9780754646761"</f>
        <v>9780754646761</v>
      </c>
      <c r="D5506" t="str">
        <f>"9780754686286"</f>
        <v>9780754686286</v>
      </c>
      <c r="E5506" t="s">
        <v>15</v>
      </c>
      <c r="F5506" t="s">
        <v>16</v>
      </c>
      <c r="G5506" s="1">
        <v>39479</v>
      </c>
      <c r="H5506" s="1">
        <v>39972</v>
      </c>
      <c r="I5506" t="s">
        <v>12</v>
      </c>
      <c r="J5506" t="s">
        <v>16276</v>
      </c>
    </row>
    <row r="5507" spans="1:10" x14ac:dyDescent="0.25">
      <c r="A5507">
        <v>438377</v>
      </c>
      <c r="B5507" t="s">
        <v>5751</v>
      </c>
      <c r="C5507" t="str">
        <f>"9780566086847"</f>
        <v>9780566086847</v>
      </c>
      <c r="D5507" t="str">
        <f>"9780754687788"</f>
        <v>9780754687788</v>
      </c>
      <c r="E5507" t="s">
        <v>15</v>
      </c>
      <c r="F5507" t="s">
        <v>16</v>
      </c>
      <c r="G5507" s="1">
        <v>39387</v>
      </c>
      <c r="H5507" s="1">
        <v>39969</v>
      </c>
      <c r="I5507" t="s">
        <v>12</v>
      </c>
      <c r="J5507" t="s">
        <v>16277</v>
      </c>
    </row>
    <row r="5508" spans="1:10" x14ac:dyDescent="0.25">
      <c r="A5508">
        <v>438386</v>
      </c>
      <c r="B5508" t="s">
        <v>5752</v>
      </c>
      <c r="C5508" t="str">
        <f>"9780754654261"</f>
        <v>9780754654261</v>
      </c>
      <c r="D5508" t="str">
        <f>"9780754684121"</f>
        <v>9780754684121</v>
      </c>
      <c r="E5508" t="s">
        <v>15</v>
      </c>
      <c r="F5508" t="s">
        <v>16</v>
      </c>
      <c r="G5508" s="1">
        <v>39387</v>
      </c>
      <c r="H5508" s="1">
        <v>39969</v>
      </c>
      <c r="I5508" t="s">
        <v>12</v>
      </c>
      <c r="J5508" t="s">
        <v>16278</v>
      </c>
    </row>
    <row r="5509" spans="1:10" x14ac:dyDescent="0.25">
      <c r="A5509">
        <v>438404</v>
      </c>
      <c r="B5509" t="s">
        <v>5753</v>
      </c>
      <c r="C5509" t="str">
        <f>"9780754670124"</f>
        <v>9780754670124</v>
      </c>
      <c r="D5509" t="str">
        <f>"9780754688983"</f>
        <v>9780754688983</v>
      </c>
      <c r="E5509" t="s">
        <v>15</v>
      </c>
      <c r="F5509" t="s">
        <v>16</v>
      </c>
      <c r="G5509" s="1">
        <v>39508</v>
      </c>
      <c r="H5509" s="1">
        <v>39969</v>
      </c>
      <c r="I5509" t="s">
        <v>12</v>
      </c>
      <c r="J5509" t="s">
        <v>16279</v>
      </c>
    </row>
    <row r="5510" spans="1:10" x14ac:dyDescent="0.25">
      <c r="A5510">
        <v>438407</v>
      </c>
      <c r="B5510" t="s">
        <v>5754</v>
      </c>
      <c r="C5510" t="str">
        <f>"9780754648598"</f>
        <v>9780754648598</v>
      </c>
      <c r="D5510" t="str">
        <f>"9780754684831"</f>
        <v>9780754684831</v>
      </c>
      <c r="E5510" t="s">
        <v>15</v>
      </c>
      <c r="F5510" t="s">
        <v>16</v>
      </c>
      <c r="G5510" s="1">
        <v>39448</v>
      </c>
      <c r="H5510" s="1">
        <v>39969</v>
      </c>
      <c r="I5510" t="s">
        <v>12</v>
      </c>
      <c r="J5510" t="s">
        <v>16280</v>
      </c>
    </row>
    <row r="5511" spans="1:10" x14ac:dyDescent="0.25">
      <c r="A5511">
        <v>438421</v>
      </c>
      <c r="B5511" t="s">
        <v>5755</v>
      </c>
      <c r="C5511" t="str">
        <f>"9780754654582"</f>
        <v>9780754654582</v>
      </c>
      <c r="D5511" t="str">
        <f>"9780754686927"</f>
        <v>9780754686927</v>
      </c>
      <c r="E5511" t="s">
        <v>15</v>
      </c>
      <c r="F5511" t="s">
        <v>16</v>
      </c>
      <c r="G5511" s="1">
        <v>39387</v>
      </c>
      <c r="H5511" s="1">
        <v>39969</v>
      </c>
      <c r="I5511" t="s">
        <v>12</v>
      </c>
      <c r="J5511" t="s">
        <v>16281</v>
      </c>
    </row>
    <row r="5512" spans="1:10" x14ac:dyDescent="0.25">
      <c r="A5512">
        <v>438430</v>
      </c>
      <c r="B5512" t="s">
        <v>5756</v>
      </c>
      <c r="C5512" t="str">
        <f>"9780754648895"</f>
        <v>9780754648895</v>
      </c>
      <c r="D5512" t="str">
        <f>"9780754688808"</f>
        <v>9780754688808</v>
      </c>
      <c r="E5512" t="s">
        <v>15</v>
      </c>
      <c r="F5512" t="s">
        <v>16</v>
      </c>
      <c r="G5512" s="1">
        <v>39261</v>
      </c>
      <c r="H5512" s="1">
        <v>40112</v>
      </c>
      <c r="I5512" t="s">
        <v>12</v>
      </c>
      <c r="J5512" t="s">
        <v>16282</v>
      </c>
    </row>
    <row r="5513" spans="1:10" x14ac:dyDescent="0.25">
      <c r="A5513">
        <v>438440</v>
      </c>
      <c r="B5513" t="s">
        <v>5757</v>
      </c>
      <c r="C5513" t="str">
        <f>"9780754648352"</f>
        <v>9780754648352</v>
      </c>
      <c r="D5513" t="str">
        <f>"9780754685395"</f>
        <v>9780754685395</v>
      </c>
      <c r="E5513" t="s">
        <v>15</v>
      </c>
      <c r="F5513" t="s">
        <v>5544</v>
      </c>
      <c r="G5513" s="1">
        <v>39444</v>
      </c>
      <c r="H5513" s="1">
        <v>39969</v>
      </c>
      <c r="I5513" t="s">
        <v>12</v>
      </c>
      <c r="J5513" t="s">
        <v>16283</v>
      </c>
    </row>
    <row r="5514" spans="1:10" x14ac:dyDescent="0.25">
      <c r="A5514">
        <v>438466</v>
      </c>
      <c r="B5514" t="s">
        <v>5758</v>
      </c>
      <c r="C5514" t="str">
        <f>"9780754648611"</f>
        <v>9780754648611</v>
      </c>
      <c r="D5514" t="str">
        <f>"9780754685401"</f>
        <v>9780754685401</v>
      </c>
      <c r="E5514" t="s">
        <v>15</v>
      </c>
      <c r="F5514" t="s">
        <v>16</v>
      </c>
      <c r="G5514" s="1">
        <v>39448</v>
      </c>
      <c r="H5514" s="1">
        <v>39969</v>
      </c>
      <c r="I5514" t="s">
        <v>12</v>
      </c>
      <c r="J5514" t="s">
        <v>16284</v>
      </c>
    </row>
    <row r="5515" spans="1:10" x14ac:dyDescent="0.25">
      <c r="A5515">
        <v>438478</v>
      </c>
      <c r="B5515" t="s">
        <v>5759</v>
      </c>
      <c r="C5515" t="str">
        <f>"9780754644811"</f>
        <v>9780754644811</v>
      </c>
      <c r="D5515" t="str">
        <f>"9780754685661"</f>
        <v>9780754685661</v>
      </c>
      <c r="E5515" t="s">
        <v>15</v>
      </c>
      <c r="F5515" t="s">
        <v>16</v>
      </c>
      <c r="G5515" s="1">
        <v>39448</v>
      </c>
      <c r="H5515" s="1">
        <v>39969</v>
      </c>
      <c r="I5515" t="s">
        <v>12</v>
      </c>
      <c r="J5515" t="s">
        <v>16285</v>
      </c>
    </row>
    <row r="5516" spans="1:10" x14ac:dyDescent="0.25">
      <c r="A5516">
        <v>438481</v>
      </c>
      <c r="B5516" t="s">
        <v>5760</v>
      </c>
      <c r="C5516" t="str">
        <f>"9780566086991"</f>
        <v>9780566086991</v>
      </c>
      <c r="D5516" t="str">
        <f>"9780754682943"</f>
        <v>9780754682943</v>
      </c>
      <c r="E5516" t="s">
        <v>15</v>
      </c>
      <c r="F5516" t="s">
        <v>16</v>
      </c>
      <c r="G5516" s="1">
        <v>39448</v>
      </c>
      <c r="H5516" s="1">
        <v>39994</v>
      </c>
      <c r="I5516" t="s">
        <v>12</v>
      </c>
      <c r="J5516" t="s">
        <v>16286</v>
      </c>
    </row>
    <row r="5517" spans="1:10" x14ac:dyDescent="0.25">
      <c r="A5517">
        <v>438487</v>
      </c>
      <c r="B5517" t="s">
        <v>5761</v>
      </c>
      <c r="C5517" t="str">
        <f>"9780754652328"</f>
        <v>9780754652328</v>
      </c>
      <c r="D5517" t="str">
        <f>"9781351906418"</f>
        <v>9781351906418</v>
      </c>
      <c r="E5517" t="s">
        <v>15</v>
      </c>
      <c r="F5517" t="s">
        <v>16</v>
      </c>
      <c r="G5517" s="1">
        <v>39444</v>
      </c>
      <c r="H5517" s="1">
        <v>39969</v>
      </c>
      <c r="I5517" t="s">
        <v>12</v>
      </c>
      <c r="J5517" t="s">
        <v>16287</v>
      </c>
    </row>
    <row r="5518" spans="1:10" x14ac:dyDescent="0.25">
      <c r="A5518">
        <v>438494</v>
      </c>
      <c r="B5518" t="s">
        <v>5762</v>
      </c>
      <c r="C5518" t="str">
        <f>"9780754648925"</f>
        <v>9780754648925</v>
      </c>
      <c r="D5518" t="str">
        <f>"9780754688815"</f>
        <v>9780754688815</v>
      </c>
      <c r="E5518" t="s">
        <v>15</v>
      </c>
      <c r="F5518" t="s">
        <v>16</v>
      </c>
      <c r="G5518" s="1">
        <v>39448</v>
      </c>
      <c r="H5518" s="1">
        <v>39994</v>
      </c>
      <c r="I5518" t="s">
        <v>12</v>
      </c>
      <c r="J5518" t="s">
        <v>16288</v>
      </c>
    </row>
    <row r="5519" spans="1:10" x14ac:dyDescent="0.25">
      <c r="A5519">
        <v>438496</v>
      </c>
      <c r="B5519" t="s">
        <v>5763</v>
      </c>
      <c r="C5519" t="str">
        <f>"9780754605140"</f>
        <v>9780754605140</v>
      </c>
      <c r="D5519" t="str">
        <f>"9780754684237"</f>
        <v>9780754684237</v>
      </c>
      <c r="E5519" t="s">
        <v>15</v>
      </c>
      <c r="F5519" t="s">
        <v>16</v>
      </c>
      <c r="G5519" s="1">
        <v>39387</v>
      </c>
      <c r="H5519" s="1">
        <v>39983</v>
      </c>
      <c r="I5519" t="s">
        <v>12</v>
      </c>
      <c r="J5519" t="s">
        <v>16289</v>
      </c>
    </row>
    <row r="5520" spans="1:10" x14ac:dyDescent="0.25">
      <c r="A5520">
        <v>438509</v>
      </c>
      <c r="B5520" t="s">
        <v>5764</v>
      </c>
      <c r="C5520" t="str">
        <f>"9780754649496"</f>
        <v>9780754649496</v>
      </c>
      <c r="D5520" t="str">
        <f>"9780754685166"</f>
        <v>9780754685166</v>
      </c>
      <c r="E5520" t="s">
        <v>15</v>
      </c>
      <c r="F5520" t="s">
        <v>16</v>
      </c>
      <c r="G5520" s="1">
        <v>39387</v>
      </c>
      <c r="H5520" s="1">
        <v>39968</v>
      </c>
      <c r="I5520" t="s">
        <v>12</v>
      </c>
      <c r="J5520" t="s">
        <v>16290</v>
      </c>
    </row>
    <row r="5521" spans="1:10" x14ac:dyDescent="0.25">
      <c r="A5521">
        <v>438522</v>
      </c>
      <c r="B5521" t="s">
        <v>5765</v>
      </c>
      <c r="C5521" t="str">
        <f>"9780566087240"</f>
        <v>9780566087240</v>
      </c>
      <c r="D5521" t="str">
        <f>"9780754688907"</f>
        <v>9780754688907</v>
      </c>
      <c r="E5521" t="s">
        <v>15</v>
      </c>
      <c r="F5521" t="s">
        <v>16</v>
      </c>
      <c r="G5521" s="1">
        <v>39508</v>
      </c>
      <c r="H5521" s="1">
        <v>39994</v>
      </c>
      <c r="I5521" t="s">
        <v>12</v>
      </c>
      <c r="J5521" t="s">
        <v>16291</v>
      </c>
    </row>
    <row r="5522" spans="1:10" x14ac:dyDescent="0.25">
      <c r="A5522">
        <v>438542</v>
      </c>
      <c r="B5522" t="s">
        <v>5766</v>
      </c>
      <c r="C5522" t="str">
        <f>"9780754647317"</f>
        <v>9780754647317</v>
      </c>
      <c r="D5522" t="str">
        <f>"9780754684978"</f>
        <v>9780754684978</v>
      </c>
      <c r="E5522" t="s">
        <v>15</v>
      </c>
      <c r="F5522" t="s">
        <v>16</v>
      </c>
      <c r="G5522" s="1">
        <v>39387</v>
      </c>
      <c r="H5522" s="1">
        <v>39968</v>
      </c>
      <c r="I5522" t="s">
        <v>12</v>
      </c>
      <c r="J5522" t="s">
        <v>16292</v>
      </c>
    </row>
    <row r="5523" spans="1:10" x14ac:dyDescent="0.25">
      <c r="A5523">
        <v>438543</v>
      </c>
      <c r="B5523" t="s">
        <v>5767</v>
      </c>
      <c r="C5523" t="str">
        <f>"9780754656784"</f>
        <v>9780754656784</v>
      </c>
      <c r="D5523" t="str">
        <f>"9780754686743"</f>
        <v>9780754686743</v>
      </c>
      <c r="E5523" t="s">
        <v>15</v>
      </c>
      <c r="F5523" t="s">
        <v>16</v>
      </c>
      <c r="G5523" s="1">
        <v>39387</v>
      </c>
      <c r="H5523" s="1">
        <v>39968</v>
      </c>
      <c r="I5523" t="s">
        <v>12</v>
      </c>
      <c r="J5523" t="s">
        <v>16293</v>
      </c>
    </row>
    <row r="5524" spans="1:10" x14ac:dyDescent="0.25">
      <c r="A5524">
        <v>438551</v>
      </c>
      <c r="B5524" t="s">
        <v>5768</v>
      </c>
      <c r="C5524" t="str">
        <f>"9780566087066"</f>
        <v>9780566087066</v>
      </c>
      <c r="D5524" t="str">
        <f>"9780754687740"</f>
        <v>9780754687740</v>
      </c>
      <c r="E5524" t="s">
        <v>15</v>
      </c>
      <c r="F5524" t="s">
        <v>16</v>
      </c>
      <c r="G5524" s="1">
        <v>39448</v>
      </c>
      <c r="H5524" s="1">
        <v>39994</v>
      </c>
      <c r="I5524" t="s">
        <v>12</v>
      </c>
      <c r="J5524" t="s">
        <v>16294</v>
      </c>
    </row>
    <row r="5525" spans="1:10" x14ac:dyDescent="0.25">
      <c r="A5525">
        <v>438573</v>
      </c>
      <c r="B5525" t="s">
        <v>5769</v>
      </c>
      <c r="C5525" t="str">
        <f>"9780754645061"</f>
        <v>9780754645061</v>
      </c>
      <c r="D5525" t="str">
        <f>"9780754688846"</f>
        <v>9780754688846</v>
      </c>
      <c r="E5525" t="s">
        <v>15</v>
      </c>
      <c r="F5525" t="s">
        <v>16</v>
      </c>
      <c r="G5525" s="1">
        <v>39448</v>
      </c>
      <c r="H5525" s="1">
        <v>39968</v>
      </c>
      <c r="I5525" t="s">
        <v>12</v>
      </c>
      <c r="J5525" t="s">
        <v>16295</v>
      </c>
    </row>
    <row r="5526" spans="1:10" x14ac:dyDescent="0.25">
      <c r="A5526">
        <v>438576</v>
      </c>
      <c r="B5526" t="s">
        <v>5770</v>
      </c>
      <c r="C5526" t="str">
        <f>"9780754640226"</f>
        <v>9780754640226</v>
      </c>
      <c r="D5526" t="str">
        <f>"9780754684381"</f>
        <v>9780754684381</v>
      </c>
      <c r="E5526" t="s">
        <v>15</v>
      </c>
      <c r="F5526" t="s">
        <v>16</v>
      </c>
      <c r="G5526" s="1">
        <v>39230</v>
      </c>
      <c r="H5526" s="1">
        <v>40112</v>
      </c>
      <c r="I5526" t="s">
        <v>12</v>
      </c>
      <c r="J5526" t="s">
        <v>16296</v>
      </c>
    </row>
    <row r="5527" spans="1:10" x14ac:dyDescent="0.25">
      <c r="A5527">
        <v>438597</v>
      </c>
      <c r="B5527" t="s">
        <v>5771</v>
      </c>
      <c r="C5527" t="str">
        <f>"9780754653738"</f>
        <v>9780754653738</v>
      </c>
      <c r="D5527" t="str">
        <f>"9780754687870"</f>
        <v>9780754687870</v>
      </c>
      <c r="E5527" t="s">
        <v>15</v>
      </c>
      <c r="F5527" t="s">
        <v>16</v>
      </c>
      <c r="G5527" s="1">
        <v>39387</v>
      </c>
      <c r="H5527" s="1">
        <v>39968</v>
      </c>
      <c r="I5527" t="s">
        <v>12</v>
      </c>
      <c r="J5527" t="s">
        <v>16297</v>
      </c>
    </row>
    <row r="5528" spans="1:10" x14ac:dyDescent="0.25">
      <c r="A5528">
        <v>438605</v>
      </c>
      <c r="B5528" t="s">
        <v>5772</v>
      </c>
      <c r="C5528" t="str">
        <f>"9780754655695"</f>
        <v>9780754655695</v>
      </c>
      <c r="D5528" t="str">
        <f>"9780754687146"</f>
        <v>9780754687146</v>
      </c>
      <c r="E5528" t="s">
        <v>15</v>
      </c>
      <c r="F5528" t="s">
        <v>16</v>
      </c>
      <c r="G5528" s="1">
        <v>39387</v>
      </c>
      <c r="H5528" s="1">
        <v>39968</v>
      </c>
      <c r="I5528" t="s">
        <v>12</v>
      </c>
      <c r="J5528" t="s">
        <v>16298</v>
      </c>
    </row>
    <row r="5529" spans="1:10" x14ac:dyDescent="0.25">
      <c r="A5529">
        <v>438618</v>
      </c>
      <c r="B5529" t="s">
        <v>5773</v>
      </c>
      <c r="C5529" t="str">
        <f>"9780566088155"</f>
        <v>9780566088155</v>
      </c>
      <c r="D5529" t="str">
        <f>"9780754688945"</f>
        <v>9780754688945</v>
      </c>
      <c r="E5529" t="s">
        <v>15</v>
      </c>
      <c r="F5529" t="s">
        <v>16</v>
      </c>
      <c r="G5529" s="1">
        <v>39506</v>
      </c>
      <c r="H5529" s="1">
        <v>40112</v>
      </c>
      <c r="I5529" t="s">
        <v>12</v>
      </c>
      <c r="J5529" t="s">
        <v>16299</v>
      </c>
    </row>
    <row r="5530" spans="1:10" x14ac:dyDescent="0.25">
      <c r="A5530">
        <v>438623</v>
      </c>
      <c r="B5530" t="s">
        <v>5774</v>
      </c>
      <c r="C5530" t="str">
        <f>"9780754670377"</f>
        <v>9780754670377</v>
      </c>
      <c r="D5530" t="str">
        <f>"9780754683995"</f>
        <v>9780754683995</v>
      </c>
      <c r="E5530" t="s">
        <v>15</v>
      </c>
      <c r="F5530" t="s">
        <v>16</v>
      </c>
      <c r="G5530" s="1">
        <v>39387</v>
      </c>
      <c r="H5530" s="1">
        <v>39994</v>
      </c>
      <c r="I5530" t="s">
        <v>12</v>
      </c>
      <c r="J5530" t="s">
        <v>16300</v>
      </c>
    </row>
    <row r="5531" spans="1:10" x14ac:dyDescent="0.25">
      <c r="A5531">
        <v>438630</v>
      </c>
      <c r="B5531" t="s">
        <v>5775</v>
      </c>
      <c r="C5531" t="str">
        <f>"9780754644989"</f>
        <v>9780754644989</v>
      </c>
      <c r="D5531" t="str">
        <f>"9780754683469"</f>
        <v>9780754683469</v>
      </c>
      <c r="E5531" t="s">
        <v>15</v>
      </c>
      <c r="F5531" t="s">
        <v>5544</v>
      </c>
      <c r="G5531" s="1">
        <v>39173</v>
      </c>
      <c r="H5531" s="1">
        <v>39994</v>
      </c>
      <c r="I5531" t="s">
        <v>12</v>
      </c>
      <c r="J5531" t="s">
        <v>16301</v>
      </c>
    </row>
    <row r="5532" spans="1:10" x14ac:dyDescent="0.25">
      <c r="A5532">
        <v>438646</v>
      </c>
      <c r="B5532" t="s">
        <v>5776</v>
      </c>
      <c r="C5532" t="str">
        <f>"9780754660132"</f>
        <v>9780754660132</v>
      </c>
      <c r="D5532" t="str">
        <f>"9780754687078"</f>
        <v>9780754687078</v>
      </c>
      <c r="E5532" t="s">
        <v>15</v>
      </c>
      <c r="F5532" t="s">
        <v>16</v>
      </c>
      <c r="G5532" s="1">
        <v>39414</v>
      </c>
      <c r="H5532" s="1">
        <v>39968</v>
      </c>
      <c r="I5532" t="s">
        <v>12</v>
      </c>
      <c r="J5532" t="s">
        <v>16302</v>
      </c>
    </row>
    <row r="5533" spans="1:10" x14ac:dyDescent="0.25">
      <c r="A5533">
        <v>438717</v>
      </c>
      <c r="B5533" t="s">
        <v>5777</v>
      </c>
      <c r="C5533" t="str">
        <f>"9780754651499"</f>
        <v>9780754651499</v>
      </c>
      <c r="D5533" t="str">
        <f>"9780754686934"</f>
        <v>9780754686934</v>
      </c>
      <c r="E5533" t="s">
        <v>15</v>
      </c>
      <c r="F5533" t="s">
        <v>16</v>
      </c>
      <c r="G5533" s="1">
        <v>39448</v>
      </c>
      <c r="H5533" s="1">
        <v>39968</v>
      </c>
      <c r="I5533" t="s">
        <v>12</v>
      </c>
      <c r="J5533" t="s">
        <v>16303</v>
      </c>
    </row>
    <row r="5534" spans="1:10" x14ac:dyDescent="0.25">
      <c r="A5534">
        <v>438740</v>
      </c>
      <c r="B5534" t="s">
        <v>5778</v>
      </c>
      <c r="C5534" t="str">
        <f>"9780566088100"</f>
        <v>9780566088100</v>
      </c>
      <c r="D5534" t="str">
        <f>"9780754682882"</f>
        <v>9780754682882</v>
      </c>
      <c r="E5534" t="s">
        <v>15</v>
      </c>
      <c r="F5534" t="s">
        <v>5573</v>
      </c>
      <c r="G5534" s="1">
        <v>39506</v>
      </c>
      <c r="H5534" s="1">
        <v>39994</v>
      </c>
      <c r="I5534" t="s">
        <v>12</v>
      </c>
      <c r="J5534" t="s">
        <v>16304</v>
      </c>
    </row>
    <row r="5535" spans="1:10" x14ac:dyDescent="0.25">
      <c r="A5535">
        <v>438754</v>
      </c>
      <c r="B5535" t="s">
        <v>5779</v>
      </c>
      <c r="C5535" t="str">
        <f>"9780754653974"</f>
        <v>9780754653974</v>
      </c>
      <c r="D5535" t="str">
        <f>"9780754687849"</f>
        <v>9780754687849</v>
      </c>
      <c r="E5535" t="s">
        <v>15</v>
      </c>
      <c r="F5535" t="s">
        <v>16</v>
      </c>
      <c r="G5535" s="1">
        <v>39387</v>
      </c>
      <c r="H5535" s="1">
        <v>39968</v>
      </c>
      <c r="I5535" t="s">
        <v>12</v>
      </c>
      <c r="J5535" t="s">
        <v>16305</v>
      </c>
    </row>
    <row r="5536" spans="1:10" x14ac:dyDescent="0.25">
      <c r="A5536">
        <v>438775</v>
      </c>
      <c r="B5536" t="s">
        <v>5780</v>
      </c>
      <c r="C5536" t="str">
        <f>"9780754660163"</f>
        <v>9780754660163</v>
      </c>
      <c r="D5536" t="str">
        <f>"9780754686972"</f>
        <v>9780754686972</v>
      </c>
      <c r="E5536" t="s">
        <v>15</v>
      </c>
      <c r="F5536" t="s">
        <v>16</v>
      </c>
      <c r="G5536" s="1">
        <v>39387</v>
      </c>
      <c r="H5536" s="1">
        <v>39968</v>
      </c>
      <c r="I5536" t="s">
        <v>12</v>
      </c>
      <c r="J5536" t="s">
        <v>16306</v>
      </c>
    </row>
    <row r="5537" spans="1:10" x14ac:dyDescent="0.25">
      <c r="A5537">
        <v>438781</v>
      </c>
      <c r="B5537" t="s">
        <v>5781</v>
      </c>
      <c r="C5537" t="str">
        <f>"9780754656432"</f>
        <v>9780754656432</v>
      </c>
      <c r="D5537" t="str">
        <f>"9780754687153"</f>
        <v>9780754687153</v>
      </c>
      <c r="E5537" t="s">
        <v>15</v>
      </c>
      <c r="F5537" t="s">
        <v>16</v>
      </c>
      <c r="G5537" s="1">
        <v>39448</v>
      </c>
      <c r="H5537" s="1">
        <v>39968</v>
      </c>
      <c r="I5537" t="s">
        <v>12</v>
      </c>
      <c r="J5537" t="s">
        <v>16307</v>
      </c>
    </row>
    <row r="5538" spans="1:10" x14ac:dyDescent="0.25">
      <c r="A5538">
        <v>438785</v>
      </c>
      <c r="B5538" t="s">
        <v>5782</v>
      </c>
      <c r="C5538" t="str">
        <f>"9780754657194"</f>
        <v>9780754657194</v>
      </c>
      <c r="D5538" t="str">
        <f>"9780754684190"</f>
        <v>9780754684190</v>
      </c>
      <c r="E5538" t="s">
        <v>15</v>
      </c>
      <c r="F5538" t="s">
        <v>16</v>
      </c>
      <c r="G5538" s="1">
        <v>39387</v>
      </c>
      <c r="H5538" s="1">
        <v>39968</v>
      </c>
      <c r="I5538" t="s">
        <v>12</v>
      </c>
      <c r="J5538" t="s">
        <v>16308</v>
      </c>
    </row>
    <row r="5539" spans="1:10" x14ac:dyDescent="0.25">
      <c r="A5539">
        <v>438823</v>
      </c>
      <c r="B5539" t="s">
        <v>5783</v>
      </c>
      <c r="C5539" t="str">
        <f>"9780754670551"</f>
        <v>9780754670551</v>
      </c>
      <c r="D5539" t="str">
        <f>"9780754684923"</f>
        <v>9780754684923</v>
      </c>
      <c r="E5539" t="s">
        <v>15</v>
      </c>
      <c r="F5539" t="s">
        <v>16</v>
      </c>
      <c r="G5539" s="1">
        <v>39322</v>
      </c>
      <c r="H5539" s="1">
        <v>39994</v>
      </c>
      <c r="I5539" t="s">
        <v>12</v>
      </c>
      <c r="J5539" t="s">
        <v>16309</v>
      </c>
    </row>
    <row r="5540" spans="1:10" x14ac:dyDescent="0.25">
      <c r="A5540">
        <v>438840</v>
      </c>
      <c r="B5540" t="s">
        <v>5784</v>
      </c>
      <c r="C5540" t="str">
        <f>"9780754671343"</f>
        <v>9780754671343</v>
      </c>
      <c r="D5540" t="str">
        <f>"9780754684763"</f>
        <v>9780754684763</v>
      </c>
      <c r="E5540" t="s">
        <v>15</v>
      </c>
      <c r="F5540" t="s">
        <v>5544</v>
      </c>
      <c r="G5540" s="1">
        <v>39356</v>
      </c>
      <c r="H5540" s="1">
        <v>39994</v>
      </c>
      <c r="I5540" t="s">
        <v>12</v>
      </c>
      <c r="J5540" t="s">
        <v>16310</v>
      </c>
    </row>
    <row r="5541" spans="1:10" x14ac:dyDescent="0.25">
      <c r="A5541">
        <v>438852</v>
      </c>
      <c r="B5541" t="s">
        <v>5785</v>
      </c>
      <c r="C5541" t="str">
        <f>"9780754660019"</f>
        <v>9780754660019</v>
      </c>
      <c r="D5541" t="str">
        <f>"9780754684473"</f>
        <v>9780754684473</v>
      </c>
      <c r="E5541" t="s">
        <v>15</v>
      </c>
      <c r="F5541" t="s">
        <v>16</v>
      </c>
      <c r="G5541" s="1">
        <v>39200</v>
      </c>
      <c r="H5541" s="1">
        <v>40112</v>
      </c>
      <c r="I5541" t="s">
        <v>12</v>
      </c>
      <c r="J5541" t="s">
        <v>16311</v>
      </c>
    </row>
    <row r="5542" spans="1:10" x14ac:dyDescent="0.25">
      <c r="A5542">
        <v>438865</v>
      </c>
      <c r="B5542" t="s">
        <v>5786</v>
      </c>
      <c r="C5542" t="str">
        <f>"9780754656746"</f>
        <v>9780754656746</v>
      </c>
      <c r="D5542" t="str">
        <f>"9780754684527"</f>
        <v>9780754684527</v>
      </c>
      <c r="E5542" t="s">
        <v>15</v>
      </c>
      <c r="F5542" t="s">
        <v>16</v>
      </c>
      <c r="G5542" s="1">
        <v>39387</v>
      </c>
      <c r="H5542" s="1">
        <v>39968</v>
      </c>
      <c r="I5542" t="s">
        <v>12</v>
      </c>
      <c r="J5542" t="s">
        <v>16312</v>
      </c>
    </row>
    <row r="5543" spans="1:10" x14ac:dyDescent="0.25">
      <c r="A5543">
        <v>438871</v>
      </c>
      <c r="B5543" t="s">
        <v>5787</v>
      </c>
      <c r="C5543" t="str">
        <f>"9780754656074"</f>
        <v>9780754656074</v>
      </c>
      <c r="D5543" t="str">
        <f>"9780754686521"</f>
        <v>9780754686521</v>
      </c>
      <c r="E5543" t="s">
        <v>15</v>
      </c>
      <c r="F5543" t="s">
        <v>5544</v>
      </c>
      <c r="G5543" s="1">
        <v>39387</v>
      </c>
      <c r="H5543" s="1">
        <v>39968</v>
      </c>
      <c r="I5543" t="s">
        <v>12</v>
      </c>
      <c r="J5543" t="s">
        <v>16313</v>
      </c>
    </row>
    <row r="5544" spans="1:10" x14ac:dyDescent="0.25">
      <c r="A5544">
        <v>438905</v>
      </c>
      <c r="B5544" t="s">
        <v>5788</v>
      </c>
      <c r="C5544" t="str">
        <f>"9780566087745"</f>
        <v>9780566087745</v>
      </c>
      <c r="D5544" t="str">
        <f>"9780754688969"</f>
        <v>9780754688969</v>
      </c>
      <c r="E5544" t="s">
        <v>15</v>
      </c>
      <c r="F5544" t="s">
        <v>16</v>
      </c>
      <c r="G5544" s="1">
        <v>39479</v>
      </c>
      <c r="H5544" s="1">
        <v>39994</v>
      </c>
      <c r="I5544" t="s">
        <v>12</v>
      </c>
      <c r="J5544" t="s">
        <v>16314</v>
      </c>
    </row>
    <row r="5545" spans="1:10" x14ac:dyDescent="0.25">
      <c r="A5545">
        <v>438913</v>
      </c>
      <c r="B5545" t="s">
        <v>5789</v>
      </c>
      <c r="C5545" t="str">
        <f>"9780754655800"</f>
        <v>9780754655800</v>
      </c>
      <c r="D5545" t="str">
        <f>"9780754687207"</f>
        <v>9780754687207</v>
      </c>
      <c r="E5545" t="s">
        <v>15</v>
      </c>
      <c r="F5545" t="s">
        <v>16</v>
      </c>
      <c r="G5545" s="1">
        <v>39414</v>
      </c>
      <c r="H5545" s="1">
        <v>39968</v>
      </c>
      <c r="I5545" t="s">
        <v>12</v>
      </c>
      <c r="J5545" t="s">
        <v>16315</v>
      </c>
    </row>
    <row r="5546" spans="1:10" x14ac:dyDescent="0.25">
      <c r="A5546">
        <v>438934</v>
      </c>
      <c r="B5546" t="s">
        <v>5790</v>
      </c>
      <c r="C5546" t="str">
        <f>"9780566085611"</f>
        <v>9780566085611</v>
      </c>
      <c r="D5546" t="str">
        <f>"9780754681809"</f>
        <v>9780754681809</v>
      </c>
      <c r="E5546" t="s">
        <v>15</v>
      </c>
      <c r="F5546" t="s">
        <v>5573</v>
      </c>
      <c r="G5546" s="1">
        <v>39261</v>
      </c>
      <c r="H5546" s="1">
        <v>39994</v>
      </c>
      <c r="I5546" t="s">
        <v>12</v>
      </c>
      <c r="J5546" t="s">
        <v>16316</v>
      </c>
    </row>
    <row r="5547" spans="1:10" x14ac:dyDescent="0.25">
      <c r="A5547">
        <v>438937</v>
      </c>
      <c r="B5547" t="s">
        <v>5791</v>
      </c>
      <c r="C5547" t="str">
        <f>"9780566087363"</f>
        <v>9780566087363</v>
      </c>
      <c r="D5547" t="str">
        <f>"9780754681908"</f>
        <v>9780754681908</v>
      </c>
      <c r="E5547" t="s">
        <v>15</v>
      </c>
      <c r="F5547" t="s">
        <v>16</v>
      </c>
      <c r="G5547" s="1">
        <v>39448</v>
      </c>
      <c r="H5547" s="1">
        <v>39994</v>
      </c>
      <c r="I5547" t="s">
        <v>12</v>
      </c>
      <c r="J5547" t="s">
        <v>16317</v>
      </c>
    </row>
    <row r="5548" spans="1:10" x14ac:dyDescent="0.25">
      <c r="A5548">
        <v>438969</v>
      </c>
      <c r="B5548" t="s">
        <v>5792</v>
      </c>
      <c r="C5548" t="str">
        <f>"9780754649441"</f>
        <v>9780754649441</v>
      </c>
      <c r="D5548" t="str">
        <f>"9780754686170"</f>
        <v>9780754686170</v>
      </c>
      <c r="E5548" t="s">
        <v>15</v>
      </c>
      <c r="F5548" t="s">
        <v>5544</v>
      </c>
      <c r="G5548" s="1">
        <v>39444</v>
      </c>
      <c r="H5548" s="1">
        <v>39968</v>
      </c>
      <c r="I5548" t="s">
        <v>12</v>
      </c>
      <c r="J5548" t="s">
        <v>16318</v>
      </c>
    </row>
    <row r="5549" spans="1:10" x14ac:dyDescent="0.25">
      <c r="A5549">
        <v>438992</v>
      </c>
      <c r="B5549" t="s">
        <v>5793</v>
      </c>
      <c r="C5549" t="str">
        <f>"9780754660569"</f>
        <v>9780754660569</v>
      </c>
      <c r="D5549" t="str">
        <f>"9780754687290"</f>
        <v>9780754687290</v>
      </c>
      <c r="E5549" t="s">
        <v>15</v>
      </c>
      <c r="F5549" t="s">
        <v>16</v>
      </c>
      <c r="G5549" s="1">
        <v>39448</v>
      </c>
      <c r="H5549" s="1">
        <v>40112</v>
      </c>
      <c r="I5549" t="s">
        <v>12</v>
      </c>
      <c r="J5549" t="s">
        <v>16319</v>
      </c>
    </row>
    <row r="5550" spans="1:10" x14ac:dyDescent="0.25">
      <c r="A5550">
        <v>438993</v>
      </c>
      <c r="B5550" t="s">
        <v>5794</v>
      </c>
      <c r="C5550" t="str">
        <f>"9780754654148"</f>
        <v>9780754654148</v>
      </c>
      <c r="D5550" t="str">
        <f>"9780754684060"</f>
        <v>9780754684060</v>
      </c>
      <c r="E5550" t="s">
        <v>15</v>
      </c>
      <c r="F5550" t="s">
        <v>16</v>
      </c>
      <c r="G5550" s="1">
        <v>39387</v>
      </c>
      <c r="H5550" s="1">
        <v>39994</v>
      </c>
      <c r="I5550" t="s">
        <v>12</v>
      </c>
      <c r="J5550" t="s">
        <v>16320</v>
      </c>
    </row>
    <row r="5551" spans="1:10" x14ac:dyDescent="0.25">
      <c r="A5551">
        <v>439044</v>
      </c>
      <c r="B5551" t="s">
        <v>5795</v>
      </c>
      <c r="C5551" t="str">
        <f>"9781932181104"</f>
        <v>9781932181104</v>
      </c>
      <c r="D5551" t="str">
        <f>"9781932181289"</f>
        <v>9781932181289</v>
      </c>
      <c r="E5551" t="s">
        <v>5796</v>
      </c>
      <c r="F5551" t="s">
        <v>5796</v>
      </c>
      <c r="G5551" s="1">
        <v>37926</v>
      </c>
      <c r="H5551" s="1">
        <v>39994</v>
      </c>
      <c r="I5551" t="s">
        <v>12</v>
      </c>
      <c r="J5551" t="s">
        <v>16321</v>
      </c>
    </row>
    <row r="5552" spans="1:10" x14ac:dyDescent="0.25">
      <c r="A5552">
        <v>439045</v>
      </c>
      <c r="B5552" t="s">
        <v>5797</v>
      </c>
      <c r="C5552" t="str">
        <f>"9781932181098"</f>
        <v>9781932181098</v>
      </c>
      <c r="D5552" t="str">
        <f>"9781932181272"</f>
        <v>9781932181272</v>
      </c>
      <c r="E5552" t="s">
        <v>5796</v>
      </c>
      <c r="F5552" t="s">
        <v>5796</v>
      </c>
      <c r="G5552" s="1">
        <v>37926</v>
      </c>
      <c r="H5552" s="1">
        <v>39994</v>
      </c>
      <c r="I5552" t="s">
        <v>12</v>
      </c>
      <c r="J5552" t="s">
        <v>16322</v>
      </c>
    </row>
    <row r="5553" spans="1:10" x14ac:dyDescent="0.25">
      <c r="A5553">
        <v>439046</v>
      </c>
      <c r="B5553" t="s">
        <v>5798</v>
      </c>
      <c r="C5553" t="str">
        <f>"9781932181265"</f>
        <v>9781932181265</v>
      </c>
      <c r="D5553" t="str">
        <f>"9781932181296"</f>
        <v>9781932181296</v>
      </c>
      <c r="E5553" t="s">
        <v>5796</v>
      </c>
      <c r="F5553" t="s">
        <v>5796</v>
      </c>
      <c r="G5553" s="1">
        <v>39569</v>
      </c>
      <c r="H5553" s="1">
        <v>39994</v>
      </c>
      <c r="I5553" t="s">
        <v>12</v>
      </c>
      <c r="J5553" t="s">
        <v>16323</v>
      </c>
    </row>
    <row r="5554" spans="1:10" x14ac:dyDescent="0.25">
      <c r="A5554">
        <v>439047</v>
      </c>
      <c r="B5554" t="s">
        <v>5799</v>
      </c>
      <c r="C5554" t="str">
        <f>"9781932181241"</f>
        <v>9781932181241</v>
      </c>
      <c r="D5554" t="str">
        <f>"9781932181302"</f>
        <v>9781932181302</v>
      </c>
      <c r="E5554" t="s">
        <v>5796</v>
      </c>
      <c r="F5554" t="s">
        <v>5796</v>
      </c>
      <c r="G5554" s="1">
        <v>39230</v>
      </c>
      <c r="H5554" s="1">
        <v>39994</v>
      </c>
      <c r="I5554" t="s">
        <v>12</v>
      </c>
      <c r="J5554" t="s">
        <v>16324</v>
      </c>
    </row>
    <row r="5555" spans="1:10" x14ac:dyDescent="0.25">
      <c r="A5555">
        <v>439050</v>
      </c>
      <c r="B5555" t="s">
        <v>5800</v>
      </c>
      <c r="C5555" t="str">
        <f>"9780195145663"</f>
        <v>9780195145663</v>
      </c>
      <c r="D5555" t="str">
        <f>"9780198033295"</f>
        <v>9780198033295</v>
      </c>
      <c r="E5555" t="s">
        <v>1270</v>
      </c>
      <c r="F5555" t="s">
        <v>1270</v>
      </c>
      <c r="G5555" s="1">
        <v>38939</v>
      </c>
      <c r="H5555" s="1">
        <v>39968</v>
      </c>
      <c r="I5555" t="s">
        <v>12</v>
      </c>
      <c r="J5555" t="s">
        <v>16325</v>
      </c>
    </row>
    <row r="5556" spans="1:10" x14ac:dyDescent="0.25">
      <c r="A5556">
        <v>439390</v>
      </c>
      <c r="B5556" t="s">
        <v>5801</v>
      </c>
      <c r="C5556" t="str">
        <f>"9781607800026"</f>
        <v>9781607800026</v>
      </c>
      <c r="D5556" t="str">
        <f>"9781607800743"</f>
        <v>9781607800743</v>
      </c>
      <c r="E5556" t="s">
        <v>5802</v>
      </c>
      <c r="F5556" t="s">
        <v>5802</v>
      </c>
      <c r="G5556" s="1">
        <v>39783</v>
      </c>
      <c r="H5556" s="1">
        <v>39983</v>
      </c>
      <c r="I5556" t="s">
        <v>12</v>
      </c>
      <c r="J5556" t="s">
        <v>16326</v>
      </c>
    </row>
    <row r="5557" spans="1:10" x14ac:dyDescent="0.25">
      <c r="A5557">
        <v>439426</v>
      </c>
      <c r="B5557" t="s">
        <v>5803</v>
      </c>
      <c r="C5557" t="str">
        <f>"9781607800408"</f>
        <v>9781607800408</v>
      </c>
      <c r="D5557" t="str">
        <f>"9781607801122"</f>
        <v>9781607801122</v>
      </c>
      <c r="E5557" t="s">
        <v>5802</v>
      </c>
      <c r="F5557" t="s">
        <v>5802</v>
      </c>
      <c r="G5557" s="1">
        <v>39783</v>
      </c>
      <c r="H5557" s="1">
        <v>39983</v>
      </c>
      <c r="I5557" t="s">
        <v>12</v>
      </c>
      <c r="J5557" t="s">
        <v>16327</v>
      </c>
    </row>
    <row r="5558" spans="1:10" x14ac:dyDescent="0.25">
      <c r="A5558">
        <v>439427</v>
      </c>
      <c r="B5558" t="s">
        <v>5804</v>
      </c>
      <c r="C5558" t="str">
        <f>"9781607800422"</f>
        <v>9781607800422</v>
      </c>
      <c r="D5558" t="str">
        <f>"9781607801146"</f>
        <v>9781607801146</v>
      </c>
      <c r="E5558" t="s">
        <v>5802</v>
      </c>
      <c r="F5558" t="s">
        <v>5802</v>
      </c>
      <c r="G5558" s="1">
        <v>39783</v>
      </c>
      <c r="H5558" s="1">
        <v>39983</v>
      </c>
      <c r="I5558" t="s">
        <v>12</v>
      </c>
      <c r="J5558" t="s">
        <v>16328</v>
      </c>
    </row>
    <row r="5559" spans="1:10" x14ac:dyDescent="0.25">
      <c r="A5559">
        <v>439430</v>
      </c>
      <c r="B5559" t="s">
        <v>5805</v>
      </c>
      <c r="C5559" t="str">
        <f>"9781607800460"</f>
        <v>9781607800460</v>
      </c>
      <c r="D5559" t="str">
        <f>"9781607801184"</f>
        <v>9781607801184</v>
      </c>
      <c r="E5559" t="s">
        <v>5802</v>
      </c>
      <c r="F5559" t="s">
        <v>5802</v>
      </c>
      <c r="G5559" s="1">
        <v>39783</v>
      </c>
      <c r="H5559" s="1">
        <v>39983</v>
      </c>
      <c r="I5559" t="s">
        <v>12</v>
      </c>
      <c r="J5559" t="s">
        <v>16329</v>
      </c>
    </row>
    <row r="5560" spans="1:10" x14ac:dyDescent="0.25">
      <c r="A5560">
        <v>439433</v>
      </c>
      <c r="B5560" t="s">
        <v>5806</v>
      </c>
      <c r="C5560" t="str">
        <f>"9781607800477"</f>
        <v>9781607800477</v>
      </c>
      <c r="D5560" t="str">
        <f>"9781607801191"</f>
        <v>9781607801191</v>
      </c>
      <c r="E5560" t="s">
        <v>5802</v>
      </c>
      <c r="F5560" t="s">
        <v>5802</v>
      </c>
      <c r="G5560" s="1">
        <v>39783</v>
      </c>
      <c r="H5560" s="1">
        <v>39983</v>
      </c>
      <c r="I5560" t="s">
        <v>12</v>
      </c>
      <c r="J5560" t="s">
        <v>16330</v>
      </c>
    </row>
    <row r="5561" spans="1:10" x14ac:dyDescent="0.25">
      <c r="A5561">
        <v>439435</v>
      </c>
      <c r="B5561" t="s">
        <v>5807</v>
      </c>
      <c r="C5561" t="str">
        <f>"9781607800033"</f>
        <v>9781607800033</v>
      </c>
      <c r="D5561" t="str">
        <f>"9781607800750"</f>
        <v>9781607800750</v>
      </c>
      <c r="E5561" t="s">
        <v>5802</v>
      </c>
      <c r="F5561" t="s">
        <v>5802</v>
      </c>
      <c r="G5561" s="1">
        <v>39783</v>
      </c>
      <c r="H5561" s="1">
        <v>39983</v>
      </c>
      <c r="I5561" t="s">
        <v>12</v>
      </c>
      <c r="J5561" t="s">
        <v>16331</v>
      </c>
    </row>
    <row r="5562" spans="1:10" x14ac:dyDescent="0.25">
      <c r="A5562">
        <v>439436</v>
      </c>
      <c r="B5562" t="s">
        <v>5808</v>
      </c>
      <c r="C5562" t="str">
        <f>"9781607800057"</f>
        <v>9781607800057</v>
      </c>
      <c r="D5562" t="str">
        <f>"9781607800774"</f>
        <v>9781607800774</v>
      </c>
      <c r="E5562" t="s">
        <v>5802</v>
      </c>
      <c r="F5562" t="s">
        <v>5802</v>
      </c>
      <c r="G5562" s="1">
        <v>39783</v>
      </c>
      <c r="H5562" s="1">
        <v>39983</v>
      </c>
      <c r="I5562" t="s">
        <v>12</v>
      </c>
      <c r="J5562" t="s">
        <v>16332</v>
      </c>
    </row>
    <row r="5563" spans="1:10" x14ac:dyDescent="0.25">
      <c r="A5563">
        <v>442130</v>
      </c>
      <c r="B5563" t="s">
        <v>5809</v>
      </c>
      <c r="C5563" t="str">
        <f>"9788122421828"</f>
        <v>9788122421828</v>
      </c>
      <c r="D5563" t="str">
        <f>"9788122428735"</f>
        <v>9788122428735</v>
      </c>
      <c r="E5563" t="s">
        <v>4636</v>
      </c>
      <c r="F5563" t="s">
        <v>4637</v>
      </c>
      <c r="G5563" s="1">
        <v>39448</v>
      </c>
      <c r="H5563" s="1">
        <v>40036</v>
      </c>
      <c r="I5563" t="s">
        <v>12</v>
      </c>
      <c r="J5563" t="s">
        <v>16333</v>
      </c>
    </row>
    <row r="5564" spans="1:10" x14ac:dyDescent="0.25">
      <c r="A5564">
        <v>442132</v>
      </c>
      <c r="B5564" t="s">
        <v>5810</v>
      </c>
      <c r="C5564" t="str">
        <f>"9788122426069"</f>
        <v>9788122426069</v>
      </c>
      <c r="D5564" t="str">
        <f>"9788122428780"</f>
        <v>9788122428780</v>
      </c>
      <c r="E5564" t="s">
        <v>4636</v>
      </c>
      <c r="F5564" t="s">
        <v>4637</v>
      </c>
      <c r="G5564" s="1">
        <v>39814</v>
      </c>
      <c r="H5564" s="1">
        <v>40246</v>
      </c>
      <c r="I5564" t="s">
        <v>12</v>
      </c>
      <c r="J5564" t="s">
        <v>16334</v>
      </c>
    </row>
    <row r="5565" spans="1:10" x14ac:dyDescent="0.25">
      <c r="A5565">
        <v>442140</v>
      </c>
      <c r="B5565" t="s">
        <v>5811</v>
      </c>
      <c r="C5565" t="str">
        <f>"9788122422061"</f>
        <v>9788122422061</v>
      </c>
      <c r="D5565" t="str">
        <f>"9788122428681"</f>
        <v>9788122428681</v>
      </c>
      <c r="E5565" t="s">
        <v>4636</v>
      </c>
      <c r="F5565" t="s">
        <v>4637</v>
      </c>
      <c r="G5565" s="1">
        <v>39600</v>
      </c>
      <c r="H5565" s="1">
        <v>40036</v>
      </c>
      <c r="I5565" t="s">
        <v>12</v>
      </c>
      <c r="J5565" t="s">
        <v>16335</v>
      </c>
    </row>
    <row r="5566" spans="1:10" x14ac:dyDescent="0.25">
      <c r="A5566">
        <v>443680</v>
      </c>
      <c r="B5566" t="s">
        <v>5812</v>
      </c>
      <c r="C5566" t="str">
        <f>"9781593859732"</f>
        <v>9781593859732</v>
      </c>
      <c r="D5566" t="str">
        <f>"9781606232958"</f>
        <v>9781606232958</v>
      </c>
      <c r="E5566" t="s">
        <v>3740</v>
      </c>
      <c r="F5566" t="s">
        <v>3741</v>
      </c>
      <c r="G5566" s="1">
        <v>39982</v>
      </c>
      <c r="H5566" s="1">
        <v>40013</v>
      </c>
      <c r="I5566" t="s">
        <v>12</v>
      </c>
      <c r="J5566" t="s">
        <v>16336</v>
      </c>
    </row>
    <row r="5567" spans="1:10" x14ac:dyDescent="0.25">
      <c r="A5567">
        <v>443682</v>
      </c>
      <c r="B5567" t="s">
        <v>5813</v>
      </c>
      <c r="C5567" t="str">
        <f>"9781606232866"</f>
        <v>9781606232866</v>
      </c>
      <c r="D5567" t="str">
        <f>"9781606232903"</f>
        <v>9781606232903</v>
      </c>
      <c r="E5567" t="s">
        <v>3740</v>
      </c>
      <c r="F5567" t="s">
        <v>3741</v>
      </c>
      <c r="G5567" s="1">
        <v>39937</v>
      </c>
      <c r="H5567" s="1">
        <v>40013</v>
      </c>
      <c r="I5567" t="s">
        <v>12</v>
      </c>
      <c r="J5567" t="s">
        <v>16337</v>
      </c>
    </row>
    <row r="5568" spans="1:10" x14ac:dyDescent="0.25">
      <c r="A5568">
        <v>443686</v>
      </c>
      <c r="B5568" t="s">
        <v>5814</v>
      </c>
      <c r="C5568" t="str">
        <f>"9781606233009"</f>
        <v>9781606233009</v>
      </c>
      <c r="D5568" t="str">
        <f>"9781606233016"</f>
        <v>9781606233016</v>
      </c>
      <c r="E5568" t="s">
        <v>3740</v>
      </c>
      <c r="F5568" t="s">
        <v>3741</v>
      </c>
      <c r="G5568" s="1">
        <v>39982</v>
      </c>
      <c r="H5568" s="1">
        <v>40013</v>
      </c>
      <c r="I5568" t="s">
        <v>12</v>
      </c>
      <c r="J5568" t="s">
        <v>16338</v>
      </c>
    </row>
    <row r="5569" spans="1:10" x14ac:dyDescent="0.25">
      <c r="A5569">
        <v>443690</v>
      </c>
      <c r="B5569" t="s">
        <v>5815</v>
      </c>
      <c r="C5569" t="str">
        <f>"9781606233108"</f>
        <v>9781606233108</v>
      </c>
      <c r="D5569" t="str">
        <f>"9781606233122"</f>
        <v>9781606233122</v>
      </c>
      <c r="E5569" t="s">
        <v>3740</v>
      </c>
      <c r="F5569" t="s">
        <v>3741</v>
      </c>
      <c r="G5569" s="1">
        <v>39983</v>
      </c>
      <c r="H5569" s="1">
        <v>40013</v>
      </c>
      <c r="I5569" t="s">
        <v>12</v>
      </c>
      <c r="J5569" t="s">
        <v>16339</v>
      </c>
    </row>
    <row r="5570" spans="1:10" x14ac:dyDescent="0.25">
      <c r="A5570">
        <v>445247</v>
      </c>
      <c r="B5570" t="s">
        <v>5816</v>
      </c>
      <c r="C5570" t="str">
        <f>"9781604860344"</f>
        <v>9781604860344</v>
      </c>
      <c r="D5570" t="str">
        <f>"9781604861747"</f>
        <v>9781604861747</v>
      </c>
      <c r="E5570" t="s">
        <v>5817</v>
      </c>
      <c r="F5570" t="s">
        <v>5817</v>
      </c>
      <c r="G5570" s="1">
        <v>39692</v>
      </c>
      <c r="H5570" s="1">
        <v>40025</v>
      </c>
      <c r="I5570" t="s">
        <v>12</v>
      </c>
      <c r="J5570" t="s">
        <v>16340</v>
      </c>
    </row>
    <row r="5571" spans="1:10" x14ac:dyDescent="0.25">
      <c r="A5571">
        <v>445253</v>
      </c>
      <c r="B5571" t="s">
        <v>5818</v>
      </c>
      <c r="C5571" t="str">
        <f>"9781604860504"</f>
        <v>9781604860504</v>
      </c>
      <c r="D5571" t="str">
        <f>"9781604861174"</f>
        <v>9781604861174</v>
      </c>
      <c r="E5571" t="s">
        <v>5817</v>
      </c>
      <c r="F5571" t="s">
        <v>5819</v>
      </c>
      <c r="G5571" s="1">
        <v>39873</v>
      </c>
      <c r="H5571" s="1">
        <v>40067</v>
      </c>
      <c r="I5571" t="s">
        <v>12</v>
      </c>
      <c r="J5571" t="s">
        <v>16341</v>
      </c>
    </row>
    <row r="5572" spans="1:10" x14ac:dyDescent="0.25">
      <c r="A5572">
        <v>445258</v>
      </c>
      <c r="B5572" t="s">
        <v>5820</v>
      </c>
      <c r="C5572" t="str">
        <f>"9780982004708"</f>
        <v>9780982004708</v>
      </c>
      <c r="D5572" t="str">
        <f>"9780982004739"</f>
        <v>9780982004739</v>
      </c>
      <c r="E5572" t="s">
        <v>5821</v>
      </c>
      <c r="F5572" t="s">
        <v>5821</v>
      </c>
      <c r="G5572" s="1">
        <v>40057</v>
      </c>
      <c r="H5572" s="1">
        <v>40085</v>
      </c>
      <c r="I5572" t="s">
        <v>12</v>
      </c>
      <c r="J5572" t="s">
        <v>16342</v>
      </c>
    </row>
    <row r="5573" spans="1:10" x14ac:dyDescent="0.25">
      <c r="A5573">
        <v>445264</v>
      </c>
      <c r="B5573" t="s">
        <v>5822</v>
      </c>
      <c r="C5573" t="str">
        <f>"9781556527050"</f>
        <v>9781556527050</v>
      </c>
      <c r="D5573" t="str">
        <f>"9781569763018"</f>
        <v>9781569763018</v>
      </c>
      <c r="E5573" t="s">
        <v>3090</v>
      </c>
      <c r="F5573" t="s">
        <v>5823</v>
      </c>
      <c r="G5573" s="1">
        <v>40057</v>
      </c>
      <c r="H5573" s="1">
        <v>40025</v>
      </c>
      <c r="I5573" t="s">
        <v>12</v>
      </c>
      <c r="J5573" t="s">
        <v>16343</v>
      </c>
    </row>
    <row r="5574" spans="1:10" x14ac:dyDescent="0.25">
      <c r="A5574">
        <v>445265</v>
      </c>
      <c r="B5574" t="s">
        <v>5824</v>
      </c>
      <c r="C5574" t="str">
        <f>"9780979870606"</f>
        <v>9780979870606</v>
      </c>
      <c r="D5574" t="str">
        <f>"9780979870613"</f>
        <v>9780979870613</v>
      </c>
      <c r="E5574" t="s">
        <v>5825</v>
      </c>
      <c r="F5574" t="s">
        <v>5825</v>
      </c>
      <c r="G5574" s="1">
        <v>40057</v>
      </c>
      <c r="H5574" s="1">
        <v>40085</v>
      </c>
      <c r="I5574" t="s">
        <v>12</v>
      </c>
      <c r="J5574" t="s">
        <v>16344</v>
      </c>
    </row>
    <row r="5575" spans="1:10" x14ac:dyDescent="0.25">
      <c r="A5575">
        <v>445291</v>
      </c>
      <c r="B5575" t="s">
        <v>5826</v>
      </c>
      <c r="C5575" t="str">
        <f>"9781556528224"</f>
        <v>9781556528224</v>
      </c>
      <c r="D5575" t="str">
        <f>"9781569762745"</f>
        <v>9781569762745</v>
      </c>
      <c r="E5575" t="s">
        <v>3090</v>
      </c>
      <c r="F5575" t="s">
        <v>3090</v>
      </c>
      <c r="G5575" s="1">
        <v>39965</v>
      </c>
      <c r="H5575" s="1">
        <v>40025</v>
      </c>
      <c r="I5575" t="s">
        <v>12</v>
      </c>
      <c r="J5575" t="s">
        <v>16345</v>
      </c>
    </row>
    <row r="5576" spans="1:10" x14ac:dyDescent="0.25">
      <c r="A5576">
        <v>445296</v>
      </c>
      <c r="B5576" t="s">
        <v>5827</v>
      </c>
      <c r="C5576" t="str">
        <f>"9781556527784"</f>
        <v>9781556527784</v>
      </c>
      <c r="D5576" t="str">
        <f>"9781569763179"</f>
        <v>9781569763179</v>
      </c>
      <c r="E5576" t="s">
        <v>3090</v>
      </c>
      <c r="F5576" t="s">
        <v>3090</v>
      </c>
      <c r="G5576" s="1">
        <v>39995</v>
      </c>
      <c r="H5576" s="1">
        <v>40025</v>
      </c>
      <c r="I5576" t="s">
        <v>12</v>
      </c>
      <c r="J5576" t="s">
        <v>16346</v>
      </c>
    </row>
    <row r="5577" spans="1:10" x14ac:dyDescent="0.25">
      <c r="A5577">
        <v>445302</v>
      </c>
      <c r="B5577" t="s">
        <v>5828</v>
      </c>
      <c r="C5577" t="str">
        <f>"9781604860733"</f>
        <v>9781604860733</v>
      </c>
      <c r="D5577" t="str">
        <f>"9781604862010"</f>
        <v>9781604862010</v>
      </c>
      <c r="E5577" t="s">
        <v>5817</v>
      </c>
      <c r="F5577" t="s">
        <v>5817</v>
      </c>
      <c r="G5577" s="1">
        <v>40057</v>
      </c>
      <c r="H5577" s="1">
        <v>40987</v>
      </c>
      <c r="I5577" t="s">
        <v>12</v>
      </c>
      <c r="J5577" t="s">
        <v>16347</v>
      </c>
    </row>
    <row r="5578" spans="1:10" x14ac:dyDescent="0.25">
      <c r="A5578">
        <v>445394</v>
      </c>
      <c r="B5578" t="s">
        <v>5829</v>
      </c>
      <c r="C5578" t="str">
        <f>"9781556527692"</f>
        <v>9781556527692</v>
      </c>
      <c r="D5578" t="str">
        <f>"9781569762981"</f>
        <v>9781569762981</v>
      </c>
      <c r="E5578" t="s">
        <v>3090</v>
      </c>
      <c r="F5578" t="s">
        <v>3090</v>
      </c>
      <c r="G5578" s="1">
        <v>39934</v>
      </c>
      <c r="H5578" s="1">
        <v>40100</v>
      </c>
      <c r="I5578" t="s">
        <v>12</v>
      </c>
      <c r="J5578" t="s">
        <v>16348</v>
      </c>
    </row>
    <row r="5579" spans="1:10" x14ac:dyDescent="0.25">
      <c r="A5579">
        <v>445487</v>
      </c>
      <c r="B5579" t="s">
        <v>5830</v>
      </c>
      <c r="C5579" t="str">
        <f>"9780691134161"</f>
        <v>9780691134161</v>
      </c>
      <c r="D5579" t="str">
        <f>"9781400828180"</f>
        <v>9781400828180</v>
      </c>
      <c r="E5579" t="s">
        <v>5831</v>
      </c>
      <c r="F5579" t="s">
        <v>5831</v>
      </c>
      <c r="G5579" s="1">
        <v>39404</v>
      </c>
      <c r="H5579" s="1">
        <v>40226</v>
      </c>
      <c r="I5579" t="s">
        <v>12</v>
      </c>
      <c r="J5579" t="s">
        <v>16349</v>
      </c>
    </row>
    <row r="5580" spans="1:10" x14ac:dyDescent="0.25">
      <c r="A5580">
        <v>445508</v>
      </c>
      <c r="B5580" t="s">
        <v>5832</v>
      </c>
      <c r="C5580" t="str">
        <f>"9780691001371"</f>
        <v>9780691001371</v>
      </c>
      <c r="D5580" t="str">
        <f>"9781400825226"</f>
        <v>9781400825226</v>
      </c>
      <c r="E5580" t="s">
        <v>5831</v>
      </c>
      <c r="F5580" t="s">
        <v>5831</v>
      </c>
      <c r="G5580" s="1">
        <v>37556</v>
      </c>
      <c r="H5580" s="1">
        <v>40218</v>
      </c>
      <c r="I5580" t="s">
        <v>12</v>
      </c>
      <c r="J5580" t="s">
        <v>16350</v>
      </c>
    </row>
    <row r="5581" spans="1:10" x14ac:dyDescent="0.25">
      <c r="A5581">
        <v>445539</v>
      </c>
      <c r="B5581" t="s">
        <v>5833</v>
      </c>
      <c r="C5581" t="str">
        <f>"9780691128306"</f>
        <v>9780691128306</v>
      </c>
      <c r="D5581" t="str">
        <f>"9781400824779"</f>
        <v>9781400824779</v>
      </c>
      <c r="E5581" t="s">
        <v>5831</v>
      </c>
      <c r="F5581" t="s">
        <v>5831</v>
      </c>
      <c r="G5581" s="1">
        <v>39650</v>
      </c>
      <c r="H5581" s="1">
        <v>40216</v>
      </c>
      <c r="I5581" t="s">
        <v>12</v>
      </c>
      <c r="J5581" t="s">
        <v>16351</v>
      </c>
    </row>
    <row r="5582" spans="1:10" x14ac:dyDescent="0.25">
      <c r="A5582">
        <v>445544</v>
      </c>
      <c r="B5582" t="s">
        <v>5834</v>
      </c>
      <c r="C5582" t="str">
        <f>"9780691127491"</f>
        <v>9780691127491</v>
      </c>
      <c r="D5582" t="str">
        <f>"9781400827725"</f>
        <v>9781400827725</v>
      </c>
      <c r="E5582" t="s">
        <v>5831</v>
      </c>
      <c r="F5582" t="s">
        <v>5831</v>
      </c>
      <c r="G5582" s="1">
        <v>39104</v>
      </c>
      <c r="H5582" s="1">
        <v>40225</v>
      </c>
      <c r="I5582" t="s">
        <v>12</v>
      </c>
      <c r="J5582" t="s">
        <v>16352</v>
      </c>
    </row>
    <row r="5583" spans="1:10" x14ac:dyDescent="0.25">
      <c r="A5583">
        <v>445587</v>
      </c>
      <c r="B5583" t="s">
        <v>5835</v>
      </c>
      <c r="C5583" t="str">
        <f>"9780826116147"</f>
        <v>9780826116147</v>
      </c>
      <c r="D5583" t="str">
        <f>"9780826116154"</f>
        <v>9780826116154</v>
      </c>
      <c r="E5583" t="s">
        <v>3016</v>
      </c>
      <c r="F5583" t="s">
        <v>3016</v>
      </c>
      <c r="G5583" s="1">
        <v>40148</v>
      </c>
      <c r="H5583" s="1">
        <v>42331</v>
      </c>
      <c r="I5583" t="s">
        <v>12</v>
      </c>
      <c r="J5583" t="s">
        <v>16353</v>
      </c>
    </row>
    <row r="5584" spans="1:10" x14ac:dyDescent="0.25">
      <c r="A5584">
        <v>445592</v>
      </c>
      <c r="B5584" t="s">
        <v>5836</v>
      </c>
      <c r="C5584" t="str">
        <f>"9780826118578"</f>
        <v>9780826118578</v>
      </c>
      <c r="D5584" t="str">
        <f>"9780826118585"</f>
        <v>9780826118585</v>
      </c>
      <c r="E5584" t="s">
        <v>3016</v>
      </c>
      <c r="F5584" t="s">
        <v>3016</v>
      </c>
      <c r="G5584" s="1">
        <v>40014</v>
      </c>
      <c r="H5584" s="1">
        <v>40030</v>
      </c>
      <c r="I5584" t="s">
        <v>12</v>
      </c>
      <c r="J5584" t="s">
        <v>16354</v>
      </c>
    </row>
    <row r="5585" spans="1:10" x14ac:dyDescent="0.25">
      <c r="A5585">
        <v>446400</v>
      </c>
      <c r="B5585" t="s">
        <v>5837</v>
      </c>
      <c r="C5585" t="str">
        <f>"9781585623587"</f>
        <v>9781585623587</v>
      </c>
      <c r="D5585" t="str">
        <f>"9781585628957"</f>
        <v>9781585628957</v>
      </c>
      <c r="E5585" t="s">
        <v>5838</v>
      </c>
      <c r="F5585" t="s">
        <v>5838</v>
      </c>
      <c r="G5585" s="1">
        <v>39875</v>
      </c>
      <c r="H5585" s="1">
        <v>40159</v>
      </c>
      <c r="I5585" t="s">
        <v>12</v>
      </c>
      <c r="J5585" t="s">
        <v>16355</v>
      </c>
    </row>
    <row r="5586" spans="1:10" x14ac:dyDescent="0.25">
      <c r="A5586">
        <v>446402</v>
      </c>
      <c r="B5586" t="s">
        <v>5839</v>
      </c>
      <c r="C5586" t="str">
        <f>"9781585622788"</f>
        <v>9781585622788</v>
      </c>
      <c r="D5586" t="str">
        <f>"9781585628940"</f>
        <v>9781585628940</v>
      </c>
      <c r="E5586" t="s">
        <v>5838</v>
      </c>
      <c r="F5586" t="s">
        <v>5838</v>
      </c>
      <c r="G5586" s="1">
        <v>39868</v>
      </c>
      <c r="H5586" s="1">
        <v>40159</v>
      </c>
      <c r="I5586" t="s">
        <v>12</v>
      </c>
      <c r="J5586" t="s">
        <v>16356</v>
      </c>
    </row>
    <row r="5587" spans="1:10" x14ac:dyDescent="0.25">
      <c r="A5587">
        <v>446611</v>
      </c>
      <c r="B5587" t="s">
        <v>5840</v>
      </c>
      <c r="C5587" t="str">
        <f>"9780415157469"</f>
        <v>9780415157469</v>
      </c>
      <c r="D5587" t="str">
        <f>"9780203977323"</f>
        <v>9780203977323</v>
      </c>
      <c r="E5587" t="s">
        <v>15</v>
      </c>
      <c r="F5587" t="s">
        <v>16</v>
      </c>
      <c r="G5587" s="1">
        <v>38625</v>
      </c>
      <c r="H5587" s="1">
        <v>40037</v>
      </c>
      <c r="I5587" t="s">
        <v>12</v>
      </c>
      <c r="J5587" t="s">
        <v>16357</v>
      </c>
    </row>
    <row r="5588" spans="1:10" x14ac:dyDescent="0.25">
      <c r="A5588">
        <v>446659</v>
      </c>
      <c r="B5588" t="s">
        <v>5841</v>
      </c>
      <c r="C5588" t="str">
        <f>"9780415135405"</f>
        <v>9780415135405</v>
      </c>
      <c r="D5588" t="str">
        <f>"9780203977309"</f>
        <v>9780203977309</v>
      </c>
      <c r="E5588" t="s">
        <v>15</v>
      </c>
      <c r="F5588" t="s">
        <v>16</v>
      </c>
      <c r="G5588" s="1">
        <v>36746</v>
      </c>
      <c r="H5588" s="1">
        <v>40037</v>
      </c>
      <c r="I5588" t="s">
        <v>12</v>
      </c>
      <c r="J5588" t="s">
        <v>16358</v>
      </c>
    </row>
    <row r="5589" spans="1:10" x14ac:dyDescent="0.25">
      <c r="A5589">
        <v>448458</v>
      </c>
      <c r="B5589" t="s">
        <v>5842</v>
      </c>
      <c r="C5589" t="str">
        <f>"9781412934466"</f>
        <v>9781412934466</v>
      </c>
      <c r="D5589" t="str">
        <f>"9781849205399"</f>
        <v>9781849205399</v>
      </c>
      <c r="E5589" t="s">
        <v>1569</v>
      </c>
      <c r="F5589" t="s">
        <v>1570</v>
      </c>
      <c r="G5589" s="1">
        <v>39496</v>
      </c>
      <c r="H5589" s="1">
        <v>40040</v>
      </c>
      <c r="I5589" t="s">
        <v>12</v>
      </c>
      <c r="J5589" t="s">
        <v>16359</v>
      </c>
    </row>
    <row r="5590" spans="1:10" x14ac:dyDescent="0.25">
      <c r="A5590">
        <v>448461</v>
      </c>
      <c r="B5590" t="s">
        <v>5843</v>
      </c>
      <c r="C5590" t="str">
        <f>"9781412929875"</f>
        <v>9781412929875</v>
      </c>
      <c r="D5590" t="str">
        <f>"9781849205412"</f>
        <v>9781849205412</v>
      </c>
      <c r="E5590" t="s">
        <v>1569</v>
      </c>
      <c r="F5590" t="s">
        <v>1570</v>
      </c>
      <c r="G5590" s="1">
        <v>39556</v>
      </c>
      <c r="H5590" s="1">
        <v>40040</v>
      </c>
      <c r="I5590" t="s">
        <v>12</v>
      </c>
      <c r="J5590" t="s">
        <v>16360</v>
      </c>
    </row>
    <row r="5591" spans="1:10" x14ac:dyDescent="0.25">
      <c r="A5591">
        <v>448513</v>
      </c>
      <c r="B5591" t="s">
        <v>5844</v>
      </c>
      <c r="C5591" t="str">
        <f>"9780226437415"</f>
        <v>9780226437415</v>
      </c>
      <c r="D5591" t="str">
        <f>"9780226437439"</f>
        <v>9780226437439</v>
      </c>
      <c r="E5591" t="s">
        <v>5187</v>
      </c>
      <c r="F5591" t="s">
        <v>5187</v>
      </c>
      <c r="G5591" s="1">
        <v>39974</v>
      </c>
      <c r="H5591" s="1">
        <v>40041</v>
      </c>
      <c r="I5591" t="s">
        <v>12</v>
      </c>
      <c r="J5591" t="s">
        <v>16361</v>
      </c>
    </row>
    <row r="5592" spans="1:10" x14ac:dyDescent="0.25">
      <c r="A5592">
        <v>448516</v>
      </c>
      <c r="B5592" t="s">
        <v>5845</v>
      </c>
      <c r="C5592" t="str">
        <f>"9780226041612"</f>
        <v>9780226041612</v>
      </c>
      <c r="D5592" t="str">
        <f>"9780226041667"</f>
        <v>9780226041667</v>
      </c>
      <c r="E5592" t="s">
        <v>5187</v>
      </c>
      <c r="F5592" t="s">
        <v>5187</v>
      </c>
      <c r="G5592" s="1">
        <v>40026</v>
      </c>
      <c r="H5592" s="1">
        <v>40041</v>
      </c>
      <c r="I5592" t="s">
        <v>12</v>
      </c>
      <c r="J5592" t="s">
        <v>16362</v>
      </c>
    </row>
    <row r="5593" spans="1:10" x14ac:dyDescent="0.25">
      <c r="A5593">
        <v>448519</v>
      </c>
      <c r="B5593" t="s">
        <v>5846</v>
      </c>
      <c r="C5593" t="str">
        <f>"9780226709598"</f>
        <v>9780226709598</v>
      </c>
      <c r="D5593" t="str">
        <f>"9780226709604"</f>
        <v>9780226709604</v>
      </c>
      <c r="E5593" t="s">
        <v>5187</v>
      </c>
      <c r="F5593" t="s">
        <v>5187</v>
      </c>
      <c r="G5593" s="1">
        <v>40026</v>
      </c>
      <c r="H5593" s="1">
        <v>40041</v>
      </c>
      <c r="I5593" t="s">
        <v>12</v>
      </c>
      <c r="J5593" t="s">
        <v>16363</v>
      </c>
    </row>
    <row r="5594" spans="1:10" x14ac:dyDescent="0.25">
      <c r="A5594">
        <v>448522</v>
      </c>
      <c r="B5594" t="s">
        <v>5847</v>
      </c>
      <c r="C5594" t="str">
        <f>"9780226465098"</f>
        <v>9780226465098</v>
      </c>
      <c r="D5594" t="str">
        <f>"9780226465128"</f>
        <v>9780226465128</v>
      </c>
      <c r="E5594" t="s">
        <v>5187</v>
      </c>
      <c r="F5594" t="s">
        <v>5187</v>
      </c>
      <c r="G5594" s="1">
        <v>40026</v>
      </c>
      <c r="H5594" s="1">
        <v>40041</v>
      </c>
      <c r="I5594" t="s">
        <v>12</v>
      </c>
      <c r="J5594" t="s">
        <v>16364</v>
      </c>
    </row>
    <row r="5595" spans="1:10" x14ac:dyDescent="0.25">
      <c r="A5595">
        <v>448525</v>
      </c>
      <c r="B5595" t="s">
        <v>5848</v>
      </c>
      <c r="C5595" t="str">
        <f>"9780226032634"</f>
        <v>9780226032634</v>
      </c>
      <c r="D5595" t="str">
        <f>"9780226032658"</f>
        <v>9780226032658</v>
      </c>
      <c r="E5595" t="s">
        <v>5187</v>
      </c>
      <c r="F5595" t="s">
        <v>5187</v>
      </c>
      <c r="G5595" s="1">
        <v>40026</v>
      </c>
      <c r="H5595" s="1">
        <v>40041</v>
      </c>
      <c r="I5595" t="s">
        <v>12</v>
      </c>
      <c r="J5595" t="s">
        <v>16365</v>
      </c>
    </row>
    <row r="5596" spans="1:10" x14ac:dyDescent="0.25">
      <c r="A5596">
        <v>448527</v>
      </c>
      <c r="B5596" t="s">
        <v>5849</v>
      </c>
      <c r="C5596" t="str">
        <f>"9780226068145"</f>
        <v>9780226068145</v>
      </c>
      <c r="D5596" t="str">
        <f>"9780226068169"</f>
        <v>9780226068169</v>
      </c>
      <c r="E5596" t="s">
        <v>5187</v>
      </c>
      <c r="F5596" t="s">
        <v>5187</v>
      </c>
      <c r="G5596" s="1">
        <v>40026</v>
      </c>
      <c r="H5596" s="1">
        <v>40041</v>
      </c>
      <c r="I5596" t="s">
        <v>12</v>
      </c>
      <c r="J5596" t="s">
        <v>16366</v>
      </c>
    </row>
    <row r="5597" spans="1:10" x14ac:dyDescent="0.25">
      <c r="A5597">
        <v>448531</v>
      </c>
      <c r="B5597" t="s">
        <v>5850</v>
      </c>
      <c r="C5597" t="str">
        <f>"9780226078090"</f>
        <v>9780226078090</v>
      </c>
      <c r="D5597" t="str">
        <f>"9780226078113"</f>
        <v>9780226078113</v>
      </c>
      <c r="E5597" t="s">
        <v>5187</v>
      </c>
      <c r="F5597" t="s">
        <v>5187</v>
      </c>
      <c r="G5597" s="1">
        <v>39812</v>
      </c>
      <c r="H5597" s="1">
        <v>40041</v>
      </c>
      <c r="I5597" t="s">
        <v>12</v>
      </c>
      <c r="J5597" t="s">
        <v>16367</v>
      </c>
    </row>
    <row r="5598" spans="1:10" x14ac:dyDescent="0.25">
      <c r="A5598">
        <v>448534</v>
      </c>
      <c r="B5598" t="s">
        <v>5851</v>
      </c>
      <c r="C5598" t="str">
        <f>"9780226092454"</f>
        <v>9780226092454</v>
      </c>
      <c r="D5598" t="str">
        <f>"9780226092461"</f>
        <v>9780226092461</v>
      </c>
      <c r="E5598" t="s">
        <v>5187</v>
      </c>
      <c r="F5598" t="s">
        <v>5187</v>
      </c>
      <c r="G5598" s="1">
        <v>39767</v>
      </c>
      <c r="H5598" s="1">
        <v>40041</v>
      </c>
      <c r="I5598" t="s">
        <v>12</v>
      </c>
      <c r="J5598" t="s">
        <v>16368</v>
      </c>
    </row>
    <row r="5599" spans="1:10" x14ac:dyDescent="0.25">
      <c r="A5599">
        <v>448536</v>
      </c>
      <c r="B5599" t="s">
        <v>5852</v>
      </c>
      <c r="C5599" t="str">
        <f>"9780226111872"</f>
        <v>9780226111872</v>
      </c>
      <c r="D5599" t="str">
        <f>"9780226111902"</f>
        <v>9780226111902</v>
      </c>
      <c r="E5599" t="s">
        <v>5187</v>
      </c>
      <c r="F5599" t="s">
        <v>5187</v>
      </c>
      <c r="G5599" s="1">
        <v>40026</v>
      </c>
      <c r="H5599" s="1">
        <v>40041</v>
      </c>
      <c r="I5599" t="s">
        <v>12</v>
      </c>
      <c r="J5599" t="s">
        <v>16369</v>
      </c>
    </row>
    <row r="5600" spans="1:10" x14ac:dyDescent="0.25">
      <c r="A5600">
        <v>448539</v>
      </c>
      <c r="B5600" t="s">
        <v>5853</v>
      </c>
      <c r="C5600" t="str">
        <f>"9780226155463"</f>
        <v>9780226155463</v>
      </c>
      <c r="D5600" t="str">
        <f>"9780226155494"</f>
        <v>9780226155494</v>
      </c>
      <c r="E5600" t="s">
        <v>5187</v>
      </c>
      <c r="F5600" t="s">
        <v>5187</v>
      </c>
      <c r="G5600" s="1">
        <v>40026</v>
      </c>
      <c r="H5600" s="1">
        <v>40041</v>
      </c>
      <c r="I5600" t="s">
        <v>12</v>
      </c>
      <c r="J5600" t="s">
        <v>16370</v>
      </c>
    </row>
    <row r="5601" spans="1:10" x14ac:dyDescent="0.25">
      <c r="A5601">
        <v>448540</v>
      </c>
      <c r="B5601" t="s">
        <v>5854</v>
      </c>
      <c r="C5601" t="str">
        <f>"9780226165073"</f>
        <v>9780226165073</v>
      </c>
      <c r="D5601" t="str">
        <f>"9780226165097"</f>
        <v>9780226165097</v>
      </c>
      <c r="E5601" t="s">
        <v>5187</v>
      </c>
      <c r="F5601" t="s">
        <v>5187</v>
      </c>
      <c r="G5601" s="1">
        <v>40026</v>
      </c>
      <c r="H5601" s="1">
        <v>40041</v>
      </c>
      <c r="I5601" t="s">
        <v>12</v>
      </c>
      <c r="J5601" t="s">
        <v>16371</v>
      </c>
    </row>
    <row r="5602" spans="1:10" x14ac:dyDescent="0.25">
      <c r="A5602">
        <v>448547</v>
      </c>
      <c r="B5602" t="s">
        <v>5855</v>
      </c>
      <c r="C5602" t="str">
        <f>"9780226298658"</f>
        <v>9780226298658</v>
      </c>
      <c r="D5602" t="str">
        <f>"9780226298665"</f>
        <v>9780226298665</v>
      </c>
      <c r="E5602" t="s">
        <v>5187</v>
      </c>
      <c r="F5602" t="s">
        <v>5187</v>
      </c>
      <c r="G5602" s="1">
        <v>39974</v>
      </c>
      <c r="H5602" s="1">
        <v>40041</v>
      </c>
      <c r="I5602" t="s">
        <v>12</v>
      </c>
      <c r="J5602" t="s">
        <v>16372</v>
      </c>
    </row>
    <row r="5603" spans="1:10" x14ac:dyDescent="0.25">
      <c r="A5603">
        <v>448549</v>
      </c>
      <c r="B5603" t="s">
        <v>5856</v>
      </c>
      <c r="C5603" t="str">
        <f>"9780226309736"</f>
        <v>9780226309736</v>
      </c>
      <c r="D5603" t="str">
        <f>"9780226309750"</f>
        <v>9780226309750</v>
      </c>
      <c r="E5603" t="s">
        <v>5187</v>
      </c>
      <c r="F5603" t="s">
        <v>5187</v>
      </c>
      <c r="G5603" s="1">
        <v>40026</v>
      </c>
      <c r="H5603" s="1">
        <v>40041</v>
      </c>
      <c r="I5603" t="s">
        <v>12</v>
      </c>
      <c r="J5603" t="s">
        <v>16373</v>
      </c>
    </row>
    <row r="5604" spans="1:10" x14ac:dyDescent="0.25">
      <c r="A5604">
        <v>448564</v>
      </c>
      <c r="B5604" t="s">
        <v>5857</v>
      </c>
      <c r="C5604" t="str">
        <f>"9780226507125"</f>
        <v>9780226507125</v>
      </c>
      <c r="D5604" t="str">
        <f>"9780226507149"</f>
        <v>9780226507149</v>
      </c>
      <c r="E5604" t="s">
        <v>5187</v>
      </c>
      <c r="F5604" t="s">
        <v>5187</v>
      </c>
      <c r="G5604" s="1">
        <v>40026</v>
      </c>
      <c r="H5604" s="1">
        <v>40041</v>
      </c>
      <c r="I5604" t="s">
        <v>12</v>
      </c>
      <c r="J5604" t="s">
        <v>16374</v>
      </c>
    </row>
    <row r="5605" spans="1:10" x14ac:dyDescent="0.25">
      <c r="A5605">
        <v>448565</v>
      </c>
      <c r="B5605" t="s">
        <v>5858</v>
      </c>
      <c r="C5605" t="str">
        <f>"9780226512037"</f>
        <v>9780226512037</v>
      </c>
      <c r="D5605" t="str">
        <f>"9780226512051"</f>
        <v>9780226512051</v>
      </c>
      <c r="E5605" t="s">
        <v>5187</v>
      </c>
      <c r="F5605" t="s">
        <v>5187</v>
      </c>
      <c r="G5605" s="1">
        <v>40026</v>
      </c>
      <c r="H5605" s="1">
        <v>40041</v>
      </c>
      <c r="I5605" t="s">
        <v>12</v>
      </c>
      <c r="J5605" t="s">
        <v>16375</v>
      </c>
    </row>
    <row r="5606" spans="1:10" x14ac:dyDescent="0.25">
      <c r="A5606">
        <v>448572</v>
      </c>
      <c r="B5606" t="s">
        <v>5859</v>
      </c>
      <c r="C5606" t="str">
        <f>"9780226662787"</f>
        <v>9780226662787</v>
      </c>
      <c r="D5606" t="str">
        <f>"9780226662800"</f>
        <v>9780226662800</v>
      </c>
      <c r="E5606" t="s">
        <v>5187</v>
      </c>
      <c r="F5606" t="s">
        <v>5187</v>
      </c>
      <c r="G5606" s="1">
        <v>40026</v>
      </c>
      <c r="H5606" s="1">
        <v>40041</v>
      </c>
      <c r="I5606" t="s">
        <v>12</v>
      </c>
      <c r="J5606" t="s">
        <v>16376</v>
      </c>
    </row>
    <row r="5607" spans="1:10" x14ac:dyDescent="0.25">
      <c r="A5607">
        <v>448576</v>
      </c>
      <c r="B5607" t="s">
        <v>5860</v>
      </c>
      <c r="C5607" t="str">
        <f>"9780226679310"</f>
        <v>9780226679310</v>
      </c>
      <c r="D5607" t="str">
        <f>"9780226679334"</f>
        <v>9780226679334</v>
      </c>
      <c r="E5607" t="s">
        <v>5187</v>
      </c>
      <c r="F5607" t="s">
        <v>5187</v>
      </c>
      <c r="G5607" s="1">
        <v>40026</v>
      </c>
      <c r="H5607" s="1">
        <v>40041</v>
      </c>
      <c r="I5607" t="s">
        <v>12</v>
      </c>
      <c r="J5607" t="s">
        <v>16377</v>
      </c>
    </row>
    <row r="5608" spans="1:10" x14ac:dyDescent="0.25">
      <c r="A5608">
        <v>448577</v>
      </c>
      <c r="B5608" t="s">
        <v>5861</v>
      </c>
      <c r="C5608" t="str">
        <f>"9780226702698"</f>
        <v>9780226702698</v>
      </c>
      <c r="D5608" t="str">
        <f>"9780226702872"</f>
        <v>9780226702872</v>
      </c>
      <c r="E5608" t="s">
        <v>5187</v>
      </c>
      <c r="F5608" t="s">
        <v>5187</v>
      </c>
      <c r="G5608" s="1">
        <v>40026</v>
      </c>
      <c r="H5608" s="1">
        <v>40041</v>
      </c>
      <c r="I5608" t="s">
        <v>12</v>
      </c>
      <c r="J5608" t="s">
        <v>16378</v>
      </c>
    </row>
    <row r="5609" spans="1:10" x14ac:dyDescent="0.25">
      <c r="A5609">
        <v>448578</v>
      </c>
      <c r="B5609" t="s">
        <v>5862</v>
      </c>
      <c r="C5609" t="str">
        <f>"9780226703442"</f>
        <v>9780226703442</v>
      </c>
      <c r="D5609" t="str">
        <f>"9780226703374"</f>
        <v>9780226703374</v>
      </c>
      <c r="E5609" t="s">
        <v>5187</v>
      </c>
      <c r="F5609" t="s">
        <v>5187</v>
      </c>
      <c r="G5609" s="1">
        <v>39906</v>
      </c>
      <c r="H5609" s="1">
        <v>40041</v>
      </c>
      <c r="I5609" t="s">
        <v>12</v>
      </c>
      <c r="J5609" t="s">
        <v>16379</v>
      </c>
    </row>
    <row r="5610" spans="1:10" x14ac:dyDescent="0.25">
      <c r="A5610">
        <v>448580</v>
      </c>
      <c r="B5610" t="s">
        <v>5863</v>
      </c>
      <c r="C5610" t="str">
        <f>"9780226729459"</f>
        <v>9780226729459</v>
      </c>
      <c r="D5610" t="str">
        <f>"9780226729435"</f>
        <v>9780226729435</v>
      </c>
      <c r="E5610" t="s">
        <v>5187</v>
      </c>
      <c r="F5610" t="s">
        <v>5187</v>
      </c>
      <c r="G5610" s="1">
        <v>40026</v>
      </c>
      <c r="H5610" s="1">
        <v>40041</v>
      </c>
      <c r="I5610" t="s">
        <v>12</v>
      </c>
      <c r="J5610" t="s">
        <v>16380</v>
      </c>
    </row>
    <row r="5611" spans="1:10" x14ac:dyDescent="0.25">
      <c r="A5611">
        <v>448581</v>
      </c>
      <c r="B5611" t="s">
        <v>5864</v>
      </c>
      <c r="C5611" t="str">
        <f>"9780226734149"</f>
        <v>9780226734149</v>
      </c>
      <c r="D5611" t="str">
        <f>"9780226734163"</f>
        <v>9780226734163</v>
      </c>
      <c r="E5611" t="s">
        <v>5187</v>
      </c>
      <c r="F5611" t="s">
        <v>5187</v>
      </c>
      <c r="G5611" s="1">
        <v>40026</v>
      </c>
      <c r="H5611" s="1">
        <v>40041</v>
      </c>
      <c r="I5611" t="s">
        <v>12</v>
      </c>
      <c r="J5611" t="s">
        <v>16381</v>
      </c>
    </row>
    <row r="5612" spans="1:10" x14ac:dyDescent="0.25">
      <c r="A5612">
        <v>448584</v>
      </c>
      <c r="B5612" t="s">
        <v>5865</v>
      </c>
      <c r="C5612" t="str">
        <f>"9780226736099"</f>
        <v>9780226736099</v>
      </c>
      <c r="D5612" t="str">
        <f>"9780226736112"</f>
        <v>9780226736112</v>
      </c>
      <c r="E5612" t="s">
        <v>5187</v>
      </c>
      <c r="F5612" t="s">
        <v>5187</v>
      </c>
      <c r="G5612" s="1">
        <v>40026</v>
      </c>
      <c r="H5612" s="1">
        <v>40041</v>
      </c>
      <c r="I5612" t="s">
        <v>12</v>
      </c>
      <c r="J5612" t="s">
        <v>16382</v>
      </c>
    </row>
    <row r="5613" spans="1:10" x14ac:dyDescent="0.25">
      <c r="A5613">
        <v>448589</v>
      </c>
      <c r="B5613" t="s">
        <v>5866</v>
      </c>
      <c r="C5613" t="str">
        <f>"9780226764719"</f>
        <v>9780226764719</v>
      </c>
      <c r="D5613" t="str">
        <f>"9780226764733"</f>
        <v>9780226764733</v>
      </c>
      <c r="E5613" t="s">
        <v>5187</v>
      </c>
      <c r="F5613" t="s">
        <v>5187</v>
      </c>
      <c r="G5613" s="1">
        <v>38944</v>
      </c>
      <c r="H5613" s="1">
        <v>40041</v>
      </c>
      <c r="I5613" t="s">
        <v>12</v>
      </c>
      <c r="J5613" t="s">
        <v>16383</v>
      </c>
    </row>
    <row r="5614" spans="1:10" x14ac:dyDescent="0.25">
      <c r="A5614">
        <v>448593</v>
      </c>
      <c r="B5614" t="s">
        <v>5867</v>
      </c>
      <c r="C5614" t="str">
        <f>"9780226903354"</f>
        <v>9780226903354</v>
      </c>
      <c r="D5614" t="str">
        <f>"9780226903361"</f>
        <v>9780226903361</v>
      </c>
      <c r="E5614" t="s">
        <v>5187</v>
      </c>
      <c r="F5614" t="s">
        <v>5187</v>
      </c>
      <c r="G5614" s="1">
        <v>40026</v>
      </c>
      <c r="H5614" s="1">
        <v>40041</v>
      </c>
      <c r="I5614" t="s">
        <v>12</v>
      </c>
      <c r="J5614" t="s">
        <v>16384</v>
      </c>
    </row>
    <row r="5615" spans="1:10" x14ac:dyDescent="0.25">
      <c r="A5615">
        <v>448735</v>
      </c>
      <c r="B5615" t="s">
        <v>5868</v>
      </c>
      <c r="C5615" t="str">
        <f>"9780748635030"</f>
        <v>9780748635030</v>
      </c>
      <c r="D5615" t="str">
        <f>"9780748635054"</f>
        <v>9780748635054</v>
      </c>
      <c r="E5615" t="s">
        <v>1942</v>
      </c>
      <c r="F5615" t="s">
        <v>1942</v>
      </c>
      <c r="G5615" s="1">
        <v>38492</v>
      </c>
      <c r="H5615" s="1">
        <v>40044</v>
      </c>
      <c r="I5615" t="s">
        <v>12</v>
      </c>
      <c r="J5615" t="s">
        <v>16385</v>
      </c>
    </row>
    <row r="5616" spans="1:10" x14ac:dyDescent="0.25">
      <c r="A5616">
        <v>448737</v>
      </c>
      <c r="B5616" t="s">
        <v>5869</v>
      </c>
      <c r="C5616" t="str">
        <f>"9780748622795"</f>
        <v>9780748622795</v>
      </c>
      <c r="D5616" t="str">
        <f>"9780748629862"</f>
        <v>9780748629862</v>
      </c>
      <c r="E5616" t="s">
        <v>1942</v>
      </c>
      <c r="F5616" t="s">
        <v>1942</v>
      </c>
      <c r="G5616" s="1">
        <v>39213</v>
      </c>
      <c r="H5616" s="1">
        <v>40044</v>
      </c>
      <c r="I5616" t="s">
        <v>12</v>
      </c>
      <c r="J5616" t="s">
        <v>16386</v>
      </c>
    </row>
    <row r="5617" spans="1:10" x14ac:dyDescent="0.25">
      <c r="A5617">
        <v>448756</v>
      </c>
      <c r="B5617" t="s">
        <v>5870</v>
      </c>
      <c r="C5617" t="str">
        <f>"9780748637591"</f>
        <v>9780748637591</v>
      </c>
      <c r="D5617" t="str">
        <f>"9780748637607"</f>
        <v>9780748637607</v>
      </c>
      <c r="E5617" t="s">
        <v>1942</v>
      </c>
      <c r="F5617" t="s">
        <v>1942</v>
      </c>
      <c r="G5617" s="1">
        <v>39875</v>
      </c>
      <c r="H5617" s="1">
        <v>40044</v>
      </c>
      <c r="I5617" t="s">
        <v>12</v>
      </c>
      <c r="J5617" t="s">
        <v>16387</v>
      </c>
    </row>
    <row r="5618" spans="1:10" x14ac:dyDescent="0.25">
      <c r="A5618">
        <v>449268</v>
      </c>
      <c r="B5618" t="s">
        <v>5871</v>
      </c>
      <c r="C5618" t="str">
        <f>"9781932603729"</f>
        <v>9781932603729</v>
      </c>
      <c r="D5618" t="str">
        <f>"9781935281191"</f>
        <v>9781935281191</v>
      </c>
      <c r="E5618" t="s">
        <v>5872</v>
      </c>
      <c r="F5618" t="s">
        <v>5873</v>
      </c>
      <c r="G5618" s="1">
        <v>39877</v>
      </c>
      <c r="H5618" s="1">
        <v>40049</v>
      </c>
      <c r="I5618" t="s">
        <v>12</v>
      </c>
      <c r="J5618" t="s">
        <v>16388</v>
      </c>
    </row>
    <row r="5619" spans="1:10" x14ac:dyDescent="0.25">
      <c r="A5619">
        <v>449270</v>
      </c>
      <c r="B5619" t="s">
        <v>5874</v>
      </c>
      <c r="C5619" t="str">
        <f>"9781932603675"</f>
        <v>9781932603675</v>
      </c>
      <c r="D5619" t="str">
        <f>"9781935281184"</f>
        <v>9781935281184</v>
      </c>
      <c r="E5619" t="s">
        <v>5872</v>
      </c>
      <c r="F5619" t="s">
        <v>5873</v>
      </c>
      <c r="G5619" s="1">
        <v>39452</v>
      </c>
      <c r="H5619" s="1">
        <v>40049</v>
      </c>
      <c r="I5619" t="s">
        <v>12</v>
      </c>
      <c r="J5619" t="s">
        <v>16389</v>
      </c>
    </row>
    <row r="5620" spans="1:10" x14ac:dyDescent="0.25">
      <c r="A5620">
        <v>449273</v>
      </c>
      <c r="B5620" t="s">
        <v>5875</v>
      </c>
      <c r="C5620" t="str">
        <f>"9781932603736"</f>
        <v>9781932603736</v>
      </c>
      <c r="D5620" t="str">
        <f>"9781935281207"</f>
        <v>9781935281207</v>
      </c>
      <c r="E5620" t="s">
        <v>5872</v>
      </c>
      <c r="F5620" t="s">
        <v>5873</v>
      </c>
      <c r="G5620" s="1">
        <v>39767</v>
      </c>
      <c r="H5620" s="1">
        <v>40049</v>
      </c>
      <c r="I5620" t="s">
        <v>12</v>
      </c>
      <c r="J5620" t="s">
        <v>16390</v>
      </c>
    </row>
    <row r="5621" spans="1:10" x14ac:dyDescent="0.25">
      <c r="A5621">
        <v>449330</v>
      </c>
      <c r="B5621" t="s">
        <v>5876</v>
      </c>
      <c r="C5621" t="str">
        <f>"9781589012547"</f>
        <v>9781589012547</v>
      </c>
      <c r="D5621" t="str">
        <f>"9781589015968"</f>
        <v>9781589015968</v>
      </c>
      <c r="E5621" t="s">
        <v>5877</v>
      </c>
      <c r="F5621" t="s">
        <v>5877</v>
      </c>
      <c r="G5621" s="1">
        <v>39871</v>
      </c>
      <c r="H5621" s="1">
        <v>40332</v>
      </c>
      <c r="I5621" t="s">
        <v>12</v>
      </c>
      <c r="J5621" t="s">
        <v>16391</v>
      </c>
    </row>
    <row r="5622" spans="1:10" x14ac:dyDescent="0.25">
      <c r="A5622">
        <v>449387</v>
      </c>
      <c r="B5622" t="s">
        <v>5878</v>
      </c>
      <c r="C5622" t="str">
        <f>"9781861892911"</f>
        <v>9781861892911</v>
      </c>
      <c r="D5622" t="str">
        <f>"9781861896049"</f>
        <v>9781861896049</v>
      </c>
      <c r="E5622" t="s">
        <v>5129</v>
      </c>
      <c r="F5622" t="s">
        <v>5129</v>
      </c>
      <c r="G5622" s="1">
        <v>39020</v>
      </c>
      <c r="H5622" s="1">
        <v>40048</v>
      </c>
      <c r="I5622" t="s">
        <v>12</v>
      </c>
      <c r="J5622" t="s">
        <v>16392</v>
      </c>
    </row>
    <row r="5623" spans="1:10" x14ac:dyDescent="0.25">
      <c r="A5623">
        <v>449388</v>
      </c>
      <c r="B5623" t="s">
        <v>5879</v>
      </c>
      <c r="C5623" t="str">
        <f>"9781861892171"</f>
        <v>9781861892171</v>
      </c>
      <c r="D5623" t="str">
        <f>"9781861896063"</f>
        <v>9781861896063</v>
      </c>
      <c r="E5623" t="s">
        <v>5129</v>
      </c>
      <c r="F5623" t="s">
        <v>5129</v>
      </c>
      <c r="G5623" s="1">
        <v>38457</v>
      </c>
      <c r="H5623" s="1">
        <v>40048</v>
      </c>
      <c r="I5623" t="s">
        <v>12</v>
      </c>
      <c r="J5623" t="s">
        <v>16393</v>
      </c>
    </row>
    <row r="5624" spans="1:10" x14ac:dyDescent="0.25">
      <c r="A5624">
        <v>449396</v>
      </c>
      <c r="B5624" t="s">
        <v>5880</v>
      </c>
      <c r="C5624" t="str">
        <f>"9781861891310"</f>
        <v>9781861891310</v>
      </c>
      <c r="D5624" t="str">
        <f>"9781861895721"</f>
        <v>9781861895721</v>
      </c>
      <c r="E5624" t="s">
        <v>5129</v>
      </c>
      <c r="F5624" t="s">
        <v>5129</v>
      </c>
      <c r="G5624" s="1">
        <v>38020</v>
      </c>
      <c r="H5624" s="1">
        <v>40048</v>
      </c>
      <c r="I5624" t="s">
        <v>12</v>
      </c>
      <c r="J5624" t="s">
        <v>16394</v>
      </c>
    </row>
    <row r="5625" spans="1:10" x14ac:dyDescent="0.25">
      <c r="A5625">
        <v>449404</v>
      </c>
      <c r="B5625" t="s">
        <v>5881</v>
      </c>
      <c r="C5625" t="str">
        <f>"9781861892980"</f>
        <v>9781861892980</v>
      </c>
      <c r="D5625" t="str">
        <f>"9781861896209"</f>
        <v>9781861896209</v>
      </c>
      <c r="E5625" t="s">
        <v>5129</v>
      </c>
      <c r="F5625" t="s">
        <v>5129</v>
      </c>
      <c r="G5625" s="1">
        <v>39142</v>
      </c>
      <c r="H5625" s="1">
        <v>40048</v>
      </c>
      <c r="I5625" t="s">
        <v>12</v>
      </c>
      <c r="J5625" t="s">
        <v>16395</v>
      </c>
    </row>
    <row r="5626" spans="1:10" x14ac:dyDescent="0.25">
      <c r="A5626">
        <v>449421</v>
      </c>
      <c r="B5626" t="s">
        <v>5882</v>
      </c>
      <c r="C5626" t="str">
        <f>"9781861893529"</f>
        <v>9781861893529</v>
      </c>
      <c r="D5626" t="str">
        <f>"9781861895738"</f>
        <v>9781861895738</v>
      </c>
      <c r="E5626" t="s">
        <v>5129</v>
      </c>
      <c r="F5626" t="s">
        <v>5129</v>
      </c>
      <c r="G5626" s="1">
        <v>39583</v>
      </c>
      <c r="H5626" s="1">
        <v>40048</v>
      </c>
      <c r="I5626" t="s">
        <v>12</v>
      </c>
      <c r="J5626" t="s">
        <v>16396</v>
      </c>
    </row>
    <row r="5627" spans="1:10" x14ac:dyDescent="0.25">
      <c r="A5627">
        <v>449429</v>
      </c>
      <c r="B5627" t="s">
        <v>5883</v>
      </c>
      <c r="C5627" t="str">
        <f>"9781861893154"</f>
        <v>9781861893154</v>
      </c>
      <c r="D5627" t="str">
        <f>"9781861895714"</f>
        <v>9781861895714</v>
      </c>
      <c r="E5627" t="s">
        <v>5129</v>
      </c>
      <c r="F5627" t="s">
        <v>5129</v>
      </c>
      <c r="G5627" s="1">
        <v>39217</v>
      </c>
      <c r="H5627" s="1">
        <v>40048</v>
      </c>
      <c r="I5627" t="s">
        <v>12</v>
      </c>
      <c r="J5627" t="s">
        <v>16397</v>
      </c>
    </row>
    <row r="5628" spans="1:10" x14ac:dyDescent="0.25">
      <c r="A5628">
        <v>449627</v>
      </c>
      <c r="B5628" t="s">
        <v>5884</v>
      </c>
      <c r="C5628" t="str">
        <f>"9781903240755"</f>
        <v>9781903240755</v>
      </c>
      <c r="D5628" t="str">
        <f>"9781843924463"</f>
        <v>9781843924463</v>
      </c>
      <c r="E5628" t="s">
        <v>5885</v>
      </c>
      <c r="F5628" t="s">
        <v>5885</v>
      </c>
      <c r="G5628" s="1">
        <v>37288</v>
      </c>
      <c r="H5628" s="1">
        <v>40084</v>
      </c>
      <c r="I5628" t="s">
        <v>12</v>
      </c>
      <c r="J5628" t="s">
        <v>16398</v>
      </c>
    </row>
    <row r="5629" spans="1:10" x14ac:dyDescent="0.25">
      <c r="A5629">
        <v>449701</v>
      </c>
      <c r="B5629" t="s">
        <v>5886</v>
      </c>
      <c r="C5629" t="str">
        <f>"9781843923251"</f>
        <v>9781843923251</v>
      </c>
      <c r="D5629" t="str">
        <f>"9781843925392"</f>
        <v>9781843925392</v>
      </c>
      <c r="E5629" t="s">
        <v>5885</v>
      </c>
      <c r="F5629" t="s">
        <v>5885</v>
      </c>
      <c r="G5629" s="1">
        <v>39630</v>
      </c>
      <c r="H5629" s="1">
        <v>40084</v>
      </c>
      <c r="I5629" t="s">
        <v>12</v>
      </c>
      <c r="J5629" t="s">
        <v>16399</v>
      </c>
    </row>
    <row r="5630" spans="1:10" x14ac:dyDescent="0.25">
      <c r="A5630">
        <v>449806</v>
      </c>
      <c r="B5630" t="s">
        <v>5887</v>
      </c>
      <c r="C5630" t="str">
        <f>"9781592139941"</f>
        <v>9781592139941</v>
      </c>
      <c r="D5630" t="str">
        <f>"9781592139965"</f>
        <v>9781592139965</v>
      </c>
      <c r="E5630" t="s">
        <v>3604</v>
      </c>
      <c r="F5630" t="s">
        <v>3604</v>
      </c>
      <c r="G5630" s="1">
        <v>39997</v>
      </c>
      <c r="H5630" s="1">
        <v>40048</v>
      </c>
      <c r="I5630" t="s">
        <v>12</v>
      </c>
      <c r="J5630" t="s">
        <v>16400</v>
      </c>
    </row>
    <row r="5631" spans="1:10" x14ac:dyDescent="0.25">
      <c r="A5631">
        <v>449813</v>
      </c>
      <c r="B5631" t="s">
        <v>5888</v>
      </c>
      <c r="C5631" t="str">
        <f>"9781592139361"</f>
        <v>9781592139361</v>
      </c>
      <c r="D5631" t="str">
        <f>"9781592139385"</f>
        <v>9781592139385</v>
      </c>
      <c r="E5631" t="s">
        <v>3604</v>
      </c>
      <c r="F5631" t="s">
        <v>3604</v>
      </c>
      <c r="G5631" s="1">
        <v>40165</v>
      </c>
      <c r="H5631" s="1">
        <v>40148</v>
      </c>
      <c r="I5631" t="s">
        <v>12</v>
      </c>
      <c r="J5631" t="s">
        <v>16401</v>
      </c>
    </row>
    <row r="5632" spans="1:10" x14ac:dyDescent="0.25">
      <c r="A5632">
        <v>449821</v>
      </c>
      <c r="B5632" t="s">
        <v>5889</v>
      </c>
      <c r="C5632" t="str">
        <f>"9781592139057"</f>
        <v>9781592139057</v>
      </c>
      <c r="D5632" t="str">
        <f>"9781592139071"</f>
        <v>9781592139071</v>
      </c>
      <c r="E5632" t="s">
        <v>3604</v>
      </c>
      <c r="F5632" t="s">
        <v>3604</v>
      </c>
      <c r="G5632" s="1">
        <v>39931</v>
      </c>
      <c r="H5632" s="1">
        <v>40048</v>
      </c>
      <c r="I5632" t="s">
        <v>12</v>
      </c>
      <c r="J5632" t="s">
        <v>16402</v>
      </c>
    </row>
    <row r="5633" spans="1:10" x14ac:dyDescent="0.25">
      <c r="A5633">
        <v>449825</v>
      </c>
      <c r="B5633" t="s">
        <v>5890</v>
      </c>
      <c r="C5633" t="str">
        <f>"9781439900093"</f>
        <v>9781439900093</v>
      </c>
      <c r="D5633" t="str">
        <f>"9781439900116"</f>
        <v>9781439900116</v>
      </c>
      <c r="E5633" t="s">
        <v>3604</v>
      </c>
      <c r="F5633" t="s">
        <v>3604</v>
      </c>
      <c r="G5633" s="1">
        <v>39948</v>
      </c>
      <c r="H5633" s="1">
        <v>40048</v>
      </c>
      <c r="I5633" t="s">
        <v>12</v>
      </c>
      <c r="J5633" t="s">
        <v>16403</v>
      </c>
    </row>
    <row r="5634" spans="1:10" x14ac:dyDescent="0.25">
      <c r="A5634">
        <v>449826</v>
      </c>
      <c r="B5634" t="s">
        <v>5891</v>
      </c>
      <c r="C5634" t="str">
        <f>"9781592137039"</f>
        <v>9781592137039</v>
      </c>
      <c r="D5634" t="str">
        <f>"9781592137053"</f>
        <v>9781592137053</v>
      </c>
      <c r="E5634" t="s">
        <v>3604</v>
      </c>
      <c r="F5634" t="s">
        <v>3604</v>
      </c>
      <c r="G5634" s="1">
        <v>39931</v>
      </c>
      <c r="H5634" s="1">
        <v>40048</v>
      </c>
      <c r="I5634" t="s">
        <v>12</v>
      </c>
      <c r="J5634" t="s">
        <v>16404</v>
      </c>
    </row>
    <row r="5635" spans="1:10" x14ac:dyDescent="0.25">
      <c r="A5635">
        <v>449872</v>
      </c>
      <c r="B5635" t="s">
        <v>5892</v>
      </c>
      <c r="C5635" t="str">
        <f>"9781847691743"</f>
        <v>9781847691743</v>
      </c>
      <c r="D5635" t="str">
        <f>"9781847691767"</f>
        <v>9781847691767</v>
      </c>
      <c r="E5635" t="s">
        <v>886</v>
      </c>
      <c r="F5635" t="s">
        <v>887</v>
      </c>
      <c r="G5635" s="1">
        <v>39983</v>
      </c>
      <c r="H5635" s="1">
        <v>40048</v>
      </c>
      <c r="I5635" t="s">
        <v>12</v>
      </c>
      <c r="J5635" t="s">
        <v>16405</v>
      </c>
    </row>
    <row r="5636" spans="1:10" x14ac:dyDescent="0.25">
      <c r="A5636">
        <v>449874</v>
      </c>
      <c r="B5636" t="s">
        <v>5893</v>
      </c>
      <c r="C5636" t="str">
        <f>"9781847691378"</f>
        <v>9781847691378</v>
      </c>
      <c r="D5636" t="str">
        <f>"9781847691385"</f>
        <v>9781847691385</v>
      </c>
      <c r="E5636" t="s">
        <v>886</v>
      </c>
      <c r="F5636" t="s">
        <v>887</v>
      </c>
      <c r="G5636" s="1">
        <v>39849</v>
      </c>
      <c r="H5636" s="1">
        <v>40048</v>
      </c>
      <c r="I5636" t="s">
        <v>12</v>
      </c>
      <c r="J5636" t="s">
        <v>16406</v>
      </c>
    </row>
    <row r="5637" spans="1:10" x14ac:dyDescent="0.25">
      <c r="A5637">
        <v>449875</v>
      </c>
      <c r="B5637" t="s">
        <v>5894</v>
      </c>
      <c r="C5637" t="str">
        <f>"9781845411084"</f>
        <v>9781845411084</v>
      </c>
      <c r="D5637" t="str">
        <f>"9781845411107"</f>
        <v>9781845411107</v>
      </c>
      <c r="E5637" t="s">
        <v>886</v>
      </c>
      <c r="F5637" t="s">
        <v>886</v>
      </c>
      <c r="G5637" s="1">
        <v>39987</v>
      </c>
      <c r="H5637" s="1">
        <v>40048</v>
      </c>
      <c r="I5637" t="s">
        <v>12</v>
      </c>
      <c r="J5637" t="s">
        <v>16407</v>
      </c>
    </row>
    <row r="5638" spans="1:10" x14ac:dyDescent="0.25">
      <c r="A5638">
        <v>449876</v>
      </c>
      <c r="B5638" t="s">
        <v>5895</v>
      </c>
      <c r="C5638" t="str">
        <f>"9781847691637"</f>
        <v>9781847691637</v>
      </c>
      <c r="D5638" t="str">
        <f>"9781847691644"</f>
        <v>9781847691644</v>
      </c>
      <c r="E5638" t="s">
        <v>886</v>
      </c>
      <c r="F5638" t="s">
        <v>887</v>
      </c>
      <c r="G5638" s="1">
        <v>39954</v>
      </c>
      <c r="H5638" s="1">
        <v>40048</v>
      </c>
      <c r="I5638" t="s">
        <v>12</v>
      </c>
      <c r="J5638" t="s">
        <v>16408</v>
      </c>
    </row>
    <row r="5639" spans="1:10" x14ac:dyDescent="0.25">
      <c r="A5639">
        <v>449877</v>
      </c>
      <c r="B5639" t="s">
        <v>5896</v>
      </c>
      <c r="C5639" t="str">
        <f>"9781847691576"</f>
        <v>9781847691576</v>
      </c>
      <c r="D5639" t="str">
        <f>"9781847691583"</f>
        <v>9781847691583</v>
      </c>
      <c r="E5639" t="s">
        <v>886</v>
      </c>
      <c r="F5639" t="s">
        <v>887</v>
      </c>
      <c r="G5639" s="1">
        <v>39944</v>
      </c>
      <c r="H5639" s="1">
        <v>40048</v>
      </c>
      <c r="I5639" t="s">
        <v>12</v>
      </c>
      <c r="J5639" t="s">
        <v>16409</v>
      </c>
    </row>
    <row r="5640" spans="1:10" x14ac:dyDescent="0.25">
      <c r="A5640">
        <v>449878</v>
      </c>
      <c r="B5640" t="s">
        <v>5897</v>
      </c>
      <c r="C5640" t="str">
        <f>"9781845410995"</f>
        <v>9781845410995</v>
      </c>
      <c r="D5640" t="str">
        <f>"9781845411015"</f>
        <v>9781845411015</v>
      </c>
      <c r="E5640" t="s">
        <v>886</v>
      </c>
      <c r="F5640" t="s">
        <v>886</v>
      </c>
      <c r="G5640" s="1">
        <v>39890</v>
      </c>
      <c r="H5640" s="1">
        <v>40048</v>
      </c>
      <c r="I5640" t="s">
        <v>12</v>
      </c>
      <c r="J5640" t="s">
        <v>16410</v>
      </c>
    </row>
    <row r="5641" spans="1:10" x14ac:dyDescent="0.25">
      <c r="A5641">
        <v>449879</v>
      </c>
      <c r="B5641" t="s">
        <v>5898</v>
      </c>
      <c r="C5641" t="str">
        <f>"9781847691514"</f>
        <v>9781847691514</v>
      </c>
      <c r="D5641" t="str">
        <f>"9781847691538"</f>
        <v>9781847691538</v>
      </c>
      <c r="E5641" t="s">
        <v>886</v>
      </c>
      <c r="F5641" t="s">
        <v>887</v>
      </c>
      <c r="G5641" s="1">
        <v>39953</v>
      </c>
      <c r="H5641" s="1">
        <v>40048</v>
      </c>
      <c r="I5641" t="s">
        <v>12</v>
      </c>
      <c r="J5641" t="s">
        <v>16411</v>
      </c>
    </row>
    <row r="5642" spans="1:10" x14ac:dyDescent="0.25">
      <c r="A5642">
        <v>449881</v>
      </c>
      <c r="B5642" t="s">
        <v>5899</v>
      </c>
      <c r="C5642" t="str">
        <f>"9781845411114"</f>
        <v>9781845411114</v>
      </c>
      <c r="D5642" t="str">
        <f>"9781845411138"</f>
        <v>9781845411138</v>
      </c>
      <c r="E5642" t="s">
        <v>886</v>
      </c>
      <c r="F5642" t="s">
        <v>886</v>
      </c>
      <c r="G5642" s="1">
        <v>40021</v>
      </c>
      <c r="H5642" s="1">
        <v>40048</v>
      </c>
      <c r="I5642" t="s">
        <v>12</v>
      </c>
      <c r="J5642" t="s">
        <v>16412</v>
      </c>
    </row>
    <row r="5643" spans="1:10" x14ac:dyDescent="0.25">
      <c r="A5643">
        <v>449882</v>
      </c>
      <c r="B5643" t="s">
        <v>5900</v>
      </c>
      <c r="C5643" t="str">
        <f>"9781847691965"</f>
        <v>9781847691965</v>
      </c>
      <c r="D5643" t="str">
        <f>"9781847691972"</f>
        <v>9781847691972</v>
      </c>
      <c r="E5643" t="s">
        <v>886</v>
      </c>
      <c r="F5643" t="s">
        <v>887</v>
      </c>
      <c r="G5643" s="1">
        <v>40049</v>
      </c>
      <c r="H5643" s="1">
        <v>38169</v>
      </c>
      <c r="I5643" t="s">
        <v>12</v>
      </c>
      <c r="J5643" t="s">
        <v>16413</v>
      </c>
    </row>
    <row r="5644" spans="1:10" x14ac:dyDescent="0.25">
      <c r="A5644">
        <v>449883</v>
      </c>
      <c r="B5644" t="s">
        <v>5901</v>
      </c>
      <c r="C5644" t="str">
        <f>"9781847691651"</f>
        <v>9781847691651</v>
      </c>
      <c r="D5644" t="str">
        <f>"9781847691675"</f>
        <v>9781847691675</v>
      </c>
      <c r="E5644" t="s">
        <v>886</v>
      </c>
      <c r="F5644" t="s">
        <v>887</v>
      </c>
      <c r="G5644" s="1">
        <v>39944</v>
      </c>
      <c r="H5644" s="1">
        <v>40048</v>
      </c>
      <c r="I5644" t="s">
        <v>12</v>
      </c>
      <c r="J5644" t="s">
        <v>16414</v>
      </c>
    </row>
    <row r="5645" spans="1:10" x14ac:dyDescent="0.25">
      <c r="A5645">
        <v>449885</v>
      </c>
      <c r="B5645" t="s">
        <v>5902</v>
      </c>
      <c r="C5645" t="str">
        <f>"9781845411145"</f>
        <v>9781845411145</v>
      </c>
      <c r="D5645" t="str">
        <f>"9781845411169"</f>
        <v>9781845411169</v>
      </c>
      <c r="E5645" t="s">
        <v>886</v>
      </c>
      <c r="F5645" t="s">
        <v>886</v>
      </c>
      <c r="G5645" s="1">
        <v>40050</v>
      </c>
      <c r="H5645" s="1">
        <v>40056</v>
      </c>
      <c r="I5645" t="s">
        <v>12</v>
      </c>
      <c r="J5645" t="s">
        <v>16415</v>
      </c>
    </row>
    <row r="5646" spans="1:10" x14ac:dyDescent="0.25">
      <c r="A5646">
        <v>449886</v>
      </c>
      <c r="B5646" t="s">
        <v>5903</v>
      </c>
      <c r="C5646" t="str">
        <f>"9781847691439"</f>
        <v>9781847691439</v>
      </c>
      <c r="D5646" t="str">
        <f>"9781847691446"</f>
        <v>9781847691446</v>
      </c>
      <c r="E5646" t="s">
        <v>886</v>
      </c>
      <c r="F5646" t="s">
        <v>887</v>
      </c>
      <c r="G5646" s="1">
        <v>39871</v>
      </c>
      <c r="H5646" s="1">
        <v>40048</v>
      </c>
      <c r="I5646" t="s">
        <v>12</v>
      </c>
      <c r="J5646" t="s">
        <v>16416</v>
      </c>
    </row>
    <row r="5647" spans="1:10" x14ac:dyDescent="0.25">
      <c r="A5647">
        <v>449888</v>
      </c>
      <c r="B5647" t="s">
        <v>5904</v>
      </c>
      <c r="C5647" t="str">
        <f>"9781847691545"</f>
        <v>9781847691545</v>
      </c>
      <c r="D5647" t="str">
        <f>"9781847691552"</f>
        <v>9781847691552</v>
      </c>
      <c r="E5647" t="s">
        <v>886</v>
      </c>
      <c r="F5647" t="s">
        <v>887</v>
      </c>
      <c r="G5647" s="1">
        <v>39918</v>
      </c>
      <c r="H5647" s="1">
        <v>40048</v>
      </c>
      <c r="I5647" t="s">
        <v>12</v>
      </c>
      <c r="J5647" t="s">
        <v>16417</v>
      </c>
    </row>
    <row r="5648" spans="1:10" x14ac:dyDescent="0.25">
      <c r="A5648">
        <v>449892</v>
      </c>
      <c r="B5648" t="s">
        <v>5905</v>
      </c>
      <c r="C5648" t="str">
        <f>"9781847691453"</f>
        <v>9781847691453</v>
      </c>
      <c r="D5648" t="str">
        <f>"9781847691477"</f>
        <v>9781847691477</v>
      </c>
      <c r="E5648" t="s">
        <v>886</v>
      </c>
      <c r="F5648" t="s">
        <v>887</v>
      </c>
      <c r="G5648" s="1">
        <v>39871</v>
      </c>
      <c r="H5648" s="1">
        <v>40048</v>
      </c>
      <c r="I5648" t="s">
        <v>12</v>
      </c>
      <c r="J5648" t="s">
        <v>16418</v>
      </c>
    </row>
    <row r="5649" spans="1:10" x14ac:dyDescent="0.25">
      <c r="A5649">
        <v>449893</v>
      </c>
      <c r="B5649" t="s">
        <v>5906</v>
      </c>
      <c r="C5649" t="str">
        <f>"9781845411053"</f>
        <v>9781845411053</v>
      </c>
      <c r="D5649" t="str">
        <f>"9781845411077"</f>
        <v>9781845411077</v>
      </c>
      <c r="E5649" t="s">
        <v>886</v>
      </c>
      <c r="F5649" t="s">
        <v>886</v>
      </c>
      <c r="G5649" s="1">
        <v>39955</v>
      </c>
      <c r="H5649" s="1">
        <v>40048</v>
      </c>
      <c r="I5649" t="s">
        <v>12</v>
      </c>
      <c r="J5649" t="s">
        <v>16419</v>
      </c>
    </row>
    <row r="5650" spans="1:10" x14ac:dyDescent="0.25">
      <c r="A5650">
        <v>449896</v>
      </c>
      <c r="B5650" t="s">
        <v>5907</v>
      </c>
      <c r="C5650" t="str">
        <f>"9781845410964"</f>
        <v>9781845410964</v>
      </c>
      <c r="D5650" t="str">
        <f>"9781845410988"</f>
        <v>9781845410988</v>
      </c>
      <c r="E5650" t="s">
        <v>886</v>
      </c>
      <c r="F5650" t="s">
        <v>886</v>
      </c>
      <c r="G5650" s="1">
        <v>39891</v>
      </c>
      <c r="H5650" s="1">
        <v>40048</v>
      </c>
      <c r="I5650" t="s">
        <v>12</v>
      </c>
      <c r="J5650" t="s">
        <v>16420</v>
      </c>
    </row>
    <row r="5651" spans="1:10" x14ac:dyDescent="0.25">
      <c r="A5651">
        <v>452126</v>
      </c>
      <c r="B5651" t="s">
        <v>5908</v>
      </c>
      <c r="C5651" t="str">
        <f>"9780803220621"</f>
        <v>9780803220621</v>
      </c>
      <c r="D5651" t="str">
        <f>"9780803225190"</f>
        <v>9780803225190</v>
      </c>
      <c r="E5651" t="s">
        <v>2728</v>
      </c>
      <c r="F5651" t="s">
        <v>2729</v>
      </c>
      <c r="G5651" s="1">
        <v>39934</v>
      </c>
      <c r="H5651" s="1">
        <v>40086</v>
      </c>
      <c r="I5651" t="s">
        <v>12</v>
      </c>
      <c r="J5651" t="s">
        <v>16421</v>
      </c>
    </row>
    <row r="5652" spans="1:10" x14ac:dyDescent="0.25">
      <c r="A5652">
        <v>452146</v>
      </c>
      <c r="B5652" t="s">
        <v>5909</v>
      </c>
      <c r="C5652" t="str">
        <f>"9780803222861"</f>
        <v>9780803222861</v>
      </c>
      <c r="D5652" t="str">
        <f>"9780803224643"</f>
        <v>9780803224643</v>
      </c>
      <c r="E5652" t="s">
        <v>2728</v>
      </c>
      <c r="F5652" t="s">
        <v>2729</v>
      </c>
      <c r="G5652" s="1">
        <v>39934</v>
      </c>
      <c r="H5652" s="1">
        <v>40086</v>
      </c>
      <c r="I5652" t="s">
        <v>12</v>
      </c>
      <c r="J5652" t="s">
        <v>16422</v>
      </c>
    </row>
    <row r="5653" spans="1:10" x14ac:dyDescent="0.25">
      <c r="A5653">
        <v>452159</v>
      </c>
      <c r="B5653" t="s">
        <v>5910</v>
      </c>
      <c r="C5653" t="str">
        <f>"9780803219403"</f>
        <v>9780803219403</v>
      </c>
      <c r="D5653" t="str">
        <f>"9780803222656"</f>
        <v>9780803222656</v>
      </c>
      <c r="E5653" t="s">
        <v>2728</v>
      </c>
      <c r="F5653" t="s">
        <v>2729</v>
      </c>
      <c r="G5653" s="1">
        <v>39873</v>
      </c>
      <c r="H5653" s="1">
        <v>40086</v>
      </c>
      <c r="I5653" t="s">
        <v>12</v>
      </c>
      <c r="J5653" t="s">
        <v>16423</v>
      </c>
    </row>
    <row r="5654" spans="1:10" x14ac:dyDescent="0.25">
      <c r="A5654">
        <v>452180</v>
      </c>
      <c r="B5654" t="s">
        <v>5911</v>
      </c>
      <c r="C5654" t="str">
        <f>"9780803239746"</f>
        <v>9780803239746</v>
      </c>
      <c r="D5654" t="str">
        <f>"9780803219380"</f>
        <v>9780803219380</v>
      </c>
      <c r="E5654" t="s">
        <v>2728</v>
      </c>
      <c r="F5654" t="s">
        <v>2729</v>
      </c>
      <c r="G5654" s="1">
        <v>39814</v>
      </c>
      <c r="H5654" s="1">
        <v>40086</v>
      </c>
      <c r="I5654" t="s">
        <v>12</v>
      </c>
      <c r="J5654" t="s">
        <v>16424</v>
      </c>
    </row>
    <row r="5655" spans="1:10" x14ac:dyDescent="0.25">
      <c r="A5655">
        <v>452192</v>
      </c>
      <c r="B5655" t="s">
        <v>5912</v>
      </c>
      <c r="C5655" t="str">
        <f>"9780803216082"</f>
        <v>9780803216082</v>
      </c>
      <c r="D5655" t="str">
        <f>"9780803218673"</f>
        <v>9780803218673</v>
      </c>
      <c r="E5655" t="s">
        <v>2728</v>
      </c>
      <c r="F5655" t="s">
        <v>2729</v>
      </c>
      <c r="G5655" s="1">
        <v>39753</v>
      </c>
      <c r="H5655" s="1">
        <v>40086</v>
      </c>
      <c r="I5655" t="s">
        <v>12</v>
      </c>
      <c r="J5655" t="s">
        <v>16425</v>
      </c>
    </row>
    <row r="5656" spans="1:10" x14ac:dyDescent="0.25">
      <c r="A5656">
        <v>452197</v>
      </c>
      <c r="B5656" t="s">
        <v>5913</v>
      </c>
      <c r="C5656" t="str">
        <f>"9780803217171"</f>
        <v>9780803217171</v>
      </c>
      <c r="D5656" t="str">
        <f>"9780803222663"</f>
        <v>9780803222663</v>
      </c>
      <c r="E5656" t="s">
        <v>2728</v>
      </c>
      <c r="F5656" t="s">
        <v>2729</v>
      </c>
      <c r="G5656" s="1">
        <v>39873</v>
      </c>
      <c r="H5656" s="1">
        <v>40086</v>
      </c>
      <c r="I5656" t="s">
        <v>12</v>
      </c>
      <c r="J5656" t="s">
        <v>16426</v>
      </c>
    </row>
    <row r="5657" spans="1:10" x14ac:dyDescent="0.25">
      <c r="A5657">
        <v>452199</v>
      </c>
      <c r="B5657" t="s">
        <v>5914</v>
      </c>
      <c r="C5657" t="str">
        <f>"9780803211308"</f>
        <v>9780803211308</v>
      </c>
      <c r="D5657" t="str">
        <f>"9780803220997"</f>
        <v>9780803220997</v>
      </c>
      <c r="E5657" t="s">
        <v>2728</v>
      </c>
      <c r="F5657" t="s">
        <v>2729</v>
      </c>
      <c r="G5657" s="1">
        <v>39873</v>
      </c>
      <c r="H5657" s="1">
        <v>40086</v>
      </c>
      <c r="I5657" t="s">
        <v>12</v>
      </c>
      <c r="J5657" t="s">
        <v>16427</v>
      </c>
    </row>
    <row r="5658" spans="1:10" x14ac:dyDescent="0.25">
      <c r="A5658">
        <v>452546</v>
      </c>
      <c r="B5658" t="s">
        <v>5915</v>
      </c>
      <c r="C5658" t="str">
        <f>"9780872899322"</f>
        <v>9780872899322</v>
      </c>
      <c r="D5658" t="str">
        <f>"9781604266818"</f>
        <v>9781604266818</v>
      </c>
      <c r="E5658" t="s">
        <v>5916</v>
      </c>
      <c r="F5658" t="s">
        <v>5917</v>
      </c>
      <c r="G5658" s="1">
        <v>39753</v>
      </c>
      <c r="H5658" s="1">
        <v>40066</v>
      </c>
      <c r="I5658" t="s">
        <v>12</v>
      </c>
      <c r="J5658" t="s">
        <v>16428</v>
      </c>
    </row>
    <row r="5659" spans="1:10" x14ac:dyDescent="0.25">
      <c r="A5659">
        <v>452584</v>
      </c>
      <c r="B5659" t="s">
        <v>5918</v>
      </c>
      <c r="C5659" t="str">
        <f>"9781845201005"</f>
        <v>9781845201005</v>
      </c>
      <c r="D5659" t="str">
        <f>"9781847883735"</f>
        <v>9781847883735</v>
      </c>
      <c r="E5659" t="s">
        <v>4180</v>
      </c>
      <c r="F5659" t="s">
        <v>5919</v>
      </c>
      <c r="G5659" s="1">
        <v>39539</v>
      </c>
      <c r="H5659" s="1">
        <v>42326</v>
      </c>
      <c r="I5659" t="s">
        <v>12</v>
      </c>
      <c r="J5659" t="s">
        <v>16429</v>
      </c>
    </row>
    <row r="5660" spans="1:10" x14ac:dyDescent="0.25">
      <c r="A5660">
        <v>452588</v>
      </c>
      <c r="B5660" t="s">
        <v>5920</v>
      </c>
      <c r="C5660" t="str">
        <f>"9781847881984"</f>
        <v>9781847881984</v>
      </c>
      <c r="D5660" t="str">
        <f>"9781847885418"</f>
        <v>9781847885418</v>
      </c>
      <c r="E5660" t="s">
        <v>4180</v>
      </c>
      <c r="F5660" t="s">
        <v>5919</v>
      </c>
      <c r="G5660" s="1">
        <v>39904</v>
      </c>
      <c r="H5660" s="1">
        <v>41845</v>
      </c>
      <c r="I5660" t="s">
        <v>12</v>
      </c>
      <c r="J5660" t="s">
        <v>16430</v>
      </c>
    </row>
    <row r="5661" spans="1:10" x14ac:dyDescent="0.25">
      <c r="A5661">
        <v>452590</v>
      </c>
      <c r="B5661" t="s">
        <v>5921</v>
      </c>
      <c r="C5661" t="str">
        <f>"9780814414446"</f>
        <v>9780814414446</v>
      </c>
      <c r="D5661" t="str">
        <f>"9780814414453"</f>
        <v>9780814414453</v>
      </c>
      <c r="E5661" t="s">
        <v>1080</v>
      </c>
      <c r="F5661" t="s">
        <v>1080</v>
      </c>
      <c r="G5661" s="1">
        <v>39981</v>
      </c>
      <c r="H5661" s="1">
        <v>40085</v>
      </c>
      <c r="I5661" t="s">
        <v>12</v>
      </c>
      <c r="J5661" t="s">
        <v>16431</v>
      </c>
    </row>
    <row r="5662" spans="1:10" x14ac:dyDescent="0.25">
      <c r="A5662">
        <v>452595</v>
      </c>
      <c r="B5662" t="s">
        <v>5922</v>
      </c>
      <c r="C5662" t="str">
        <f>"9780814414149"</f>
        <v>9780814414149</v>
      </c>
      <c r="D5662" t="str">
        <f>"9780814414156"</f>
        <v>9780814414156</v>
      </c>
      <c r="E5662" t="s">
        <v>1080</v>
      </c>
      <c r="F5662" t="s">
        <v>1080</v>
      </c>
      <c r="G5662" s="1">
        <v>40044</v>
      </c>
      <c r="H5662" s="1">
        <v>40086</v>
      </c>
      <c r="I5662" t="s">
        <v>12</v>
      </c>
      <c r="J5662" t="s">
        <v>16432</v>
      </c>
    </row>
    <row r="5663" spans="1:10" x14ac:dyDescent="0.25">
      <c r="A5663">
        <v>452597</v>
      </c>
      <c r="B5663" t="s">
        <v>5923</v>
      </c>
      <c r="C5663" t="str">
        <f>"9780814414521"</f>
        <v>9780814414521</v>
      </c>
      <c r="D5663" t="str">
        <f>"9780814414538"</f>
        <v>9780814414538</v>
      </c>
      <c r="E5663" t="s">
        <v>1080</v>
      </c>
      <c r="F5663" t="s">
        <v>1080</v>
      </c>
      <c r="G5663" s="1">
        <v>40009</v>
      </c>
      <c r="H5663" s="1">
        <v>40086</v>
      </c>
      <c r="I5663" t="s">
        <v>12</v>
      </c>
      <c r="J5663" t="s">
        <v>16433</v>
      </c>
    </row>
    <row r="5664" spans="1:10" x14ac:dyDescent="0.25">
      <c r="A5664">
        <v>452599</v>
      </c>
      <c r="B5664" t="s">
        <v>5924</v>
      </c>
      <c r="C5664" t="str">
        <f>"9780814414408"</f>
        <v>9780814414408</v>
      </c>
      <c r="D5664" t="str">
        <f>"9780814414422"</f>
        <v>9780814414422</v>
      </c>
      <c r="E5664" t="s">
        <v>1080</v>
      </c>
      <c r="F5664" t="s">
        <v>1080</v>
      </c>
      <c r="G5664" s="1">
        <v>39975</v>
      </c>
      <c r="H5664" s="1">
        <v>40086</v>
      </c>
      <c r="I5664" t="s">
        <v>12</v>
      </c>
      <c r="J5664" t="s">
        <v>16434</v>
      </c>
    </row>
    <row r="5665" spans="1:10" x14ac:dyDescent="0.25">
      <c r="A5665">
        <v>452607</v>
      </c>
      <c r="B5665" t="s">
        <v>5925</v>
      </c>
      <c r="C5665" t="str">
        <f>"9780814409954"</f>
        <v>9780814409954</v>
      </c>
      <c r="D5665" t="str">
        <f>"9780814416297"</f>
        <v>9780814416297</v>
      </c>
      <c r="E5665" t="s">
        <v>1080</v>
      </c>
      <c r="F5665" t="s">
        <v>1080</v>
      </c>
      <c r="G5665" s="1">
        <v>39532</v>
      </c>
      <c r="H5665" s="1">
        <v>40086</v>
      </c>
      <c r="I5665" t="s">
        <v>12</v>
      </c>
      <c r="J5665" t="s">
        <v>16435</v>
      </c>
    </row>
    <row r="5666" spans="1:10" x14ac:dyDescent="0.25">
      <c r="A5666">
        <v>452609</v>
      </c>
      <c r="B5666" t="s">
        <v>5926</v>
      </c>
      <c r="C5666" t="str">
        <f>"9780814414927"</f>
        <v>9780814414927</v>
      </c>
      <c r="D5666" t="str">
        <f>"9780814414934"</f>
        <v>9780814414934</v>
      </c>
      <c r="E5666" t="s">
        <v>1080</v>
      </c>
      <c r="F5666" t="s">
        <v>1080</v>
      </c>
      <c r="G5666" s="1">
        <v>40030</v>
      </c>
      <c r="H5666" s="1">
        <v>40086</v>
      </c>
      <c r="I5666" t="s">
        <v>12</v>
      </c>
      <c r="J5666" t="s">
        <v>16436</v>
      </c>
    </row>
    <row r="5667" spans="1:10" x14ac:dyDescent="0.25">
      <c r="A5667">
        <v>452614</v>
      </c>
      <c r="B5667" t="s">
        <v>5927</v>
      </c>
      <c r="C5667" t="str">
        <f>"9780814414569"</f>
        <v>9780814414569</v>
      </c>
      <c r="D5667" t="str">
        <f>"9780814414576"</f>
        <v>9780814414576</v>
      </c>
      <c r="E5667" t="s">
        <v>1080</v>
      </c>
      <c r="F5667" t="s">
        <v>1080</v>
      </c>
      <c r="G5667" s="1">
        <v>40009</v>
      </c>
      <c r="H5667" s="1">
        <v>40086</v>
      </c>
      <c r="I5667" t="s">
        <v>12</v>
      </c>
      <c r="J5667" t="s">
        <v>16437</v>
      </c>
    </row>
    <row r="5668" spans="1:10" x14ac:dyDescent="0.25">
      <c r="A5668">
        <v>453193</v>
      </c>
      <c r="B5668" t="s">
        <v>5928</v>
      </c>
      <c r="C5668" t="str">
        <f>"9781848552562"</f>
        <v>9781848552562</v>
      </c>
      <c r="D5668" t="str">
        <f>"9781848552579"</f>
        <v>9781848552579</v>
      </c>
      <c r="E5668" t="s">
        <v>1116</v>
      </c>
      <c r="F5668" t="s">
        <v>1116</v>
      </c>
      <c r="G5668" s="1">
        <v>40017</v>
      </c>
      <c r="H5668" s="1">
        <v>40086</v>
      </c>
      <c r="I5668" t="s">
        <v>1504</v>
      </c>
      <c r="J5668" t="s">
        <v>16438</v>
      </c>
    </row>
    <row r="5669" spans="1:10" x14ac:dyDescent="0.25">
      <c r="A5669">
        <v>453205</v>
      </c>
      <c r="B5669" t="s">
        <v>5929</v>
      </c>
      <c r="C5669" t="str">
        <f>"9781848556560"</f>
        <v>9781848556560</v>
      </c>
      <c r="D5669" t="str">
        <f>"9781848556577"</f>
        <v>9781848556577</v>
      </c>
      <c r="E5669" t="s">
        <v>1116</v>
      </c>
      <c r="F5669" t="s">
        <v>1116</v>
      </c>
      <c r="G5669" s="1">
        <v>39973</v>
      </c>
      <c r="H5669" s="1">
        <v>40086</v>
      </c>
      <c r="I5669" t="s">
        <v>1504</v>
      </c>
      <c r="J5669" t="s">
        <v>16439</v>
      </c>
    </row>
    <row r="5670" spans="1:10" x14ac:dyDescent="0.25">
      <c r="A5670">
        <v>453219</v>
      </c>
      <c r="B5670" t="s">
        <v>5930</v>
      </c>
      <c r="C5670" t="str">
        <f>"9781848557109"</f>
        <v>9781848557109</v>
      </c>
      <c r="D5670" t="str">
        <f>"9781848557116"</f>
        <v>9781848557116</v>
      </c>
      <c r="E5670" t="s">
        <v>1116</v>
      </c>
      <c r="F5670" t="s">
        <v>1116</v>
      </c>
      <c r="G5670" s="1">
        <v>39997</v>
      </c>
      <c r="H5670" s="1">
        <v>40086</v>
      </c>
      <c r="I5670" t="s">
        <v>1504</v>
      </c>
      <c r="J5670" t="s">
        <v>16440</v>
      </c>
    </row>
    <row r="5671" spans="1:10" x14ac:dyDescent="0.25">
      <c r="A5671">
        <v>453226</v>
      </c>
      <c r="B5671" t="s">
        <v>5931</v>
      </c>
      <c r="C5671" t="str">
        <f>"9781848556706"</f>
        <v>9781848556706</v>
      </c>
      <c r="D5671" t="str">
        <f>"9781848556713"</f>
        <v>9781848556713</v>
      </c>
      <c r="E5671" t="s">
        <v>1116</v>
      </c>
      <c r="F5671" t="s">
        <v>1116</v>
      </c>
      <c r="G5671" s="1">
        <v>39983</v>
      </c>
      <c r="H5671" s="1">
        <v>40086</v>
      </c>
      <c r="I5671" t="s">
        <v>12</v>
      </c>
      <c r="J5671" t="s">
        <v>16441</v>
      </c>
    </row>
    <row r="5672" spans="1:10" x14ac:dyDescent="0.25">
      <c r="A5672">
        <v>453230</v>
      </c>
      <c r="B5672" t="s">
        <v>5932</v>
      </c>
      <c r="C5672" t="str">
        <f>"9781848557383"</f>
        <v>9781848557383</v>
      </c>
      <c r="D5672" t="str">
        <f>"9781848557390"</f>
        <v>9781848557390</v>
      </c>
      <c r="E5672" t="s">
        <v>1116</v>
      </c>
      <c r="F5672" t="s">
        <v>1116</v>
      </c>
      <c r="G5672" s="1">
        <v>39981</v>
      </c>
      <c r="H5672" s="1">
        <v>40086</v>
      </c>
      <c r="I5672" t="s">
        <v>1504</v>
      </c>
      <c r="J5672" t="s">
        <v>16442</v>
      </c>
    </row>
    <row r="5673" spans="1:10" x14ac:dyDescent="0.25">
      <c r="A5673">
        <v>453270</v>
      </c>
      <c r="B5673" t="s">
        <v>5933</v>
      </c>
      <c r="C5673" t="str">
        <f>"9780762314881"</f>
        <v>9780762314881</v>
      </c>
      <c r="D5673" t="str">
        <f>"9781849505284"</f>
        <v>9781849505284</v>
      </c>
      <c r="E5673" t="s">
        <v>1116</v>
      </c>
      <c r="F5673" t="s">
        <v>2163</v>
      </c>
      <c r="G5673" s="1">
        <v>39569</v>
      </c>
      <c r="H5673" s="1">
        <v>40086</v>
      </c>
      <c r="I5673" t="s">
        <v>12</v>
      </c>
      <c r="J5673" t="s">
        <v>16443</v>
      </c>
    </row>
    <row r="5674" spans="1:10" x14ac:dyDescent="0.25">
      <c r="A5674">
        <v>453329</v>
      </c>
      <c r="B5674" t="s">
        <v>5934</v>
      </c>
      <c r="C5674" t="str">
        <f>"9780803620841"</f>
        <v>9780803620841</v>
      </c>
      <c r="D5674" t="str">
        <f>"9780803620261"</f>
        <v>9780803620261</v>
      </c>
      <c r="E5674" t="s">
        <v>1445</v>
      </c>
      <c r="F5674" t="s">
        <v>1445</v>
      </c>
      <c r="G5674" s="1">
        <v>39814</v>
      </c>
      <c r="H5674" s="1">
        <v>40086</v>
      </c>
      <c r="I5674" t="s">
        <v>12</v>
      </c>
      <c r="J5674" t="s">
        <v>16444</v>
      </c>
    </row>
    <row r="5675" spans="1:10" x14ac:dyDescent="0.25">
      <c r="A5675">
        <v>453674</v>
      </c>
      <c r="B5675" t="s">
        <v>5935</v>
      </c>
      <c r="C5675" t="str">
        <f>"9788132101000"</f>
        <v>9788132101000</v>
      </c>
      <c r="D5675" t="str">
        <f>"9788132102496"</f>
        <v>9788132102496</v>
      </c>
      <c r="E5675" t="s">
        <v>1569</v>
      </c>
      <c r="F5675" t="s">
        <v>5273</v>
      </c>
      <c r="G5675" s="1">
        <v>39946</v>
      </c>
      <c r="H5675" s="1">
        <v>40144</v>
      </c>
      <c r="I5675" t="s">
        <v>12</v>
      </c>
      <c r="J5675" t="s">
        <v>16445</v>
      </c>
    </row>
    <row r="5676" spans="1:10" x14ac:dyDescent="0.25">
      <c r="A5676">
        <v>453676</v>
      </c>
      <c r="B5676" t="s">
        <v>5936</v>
      </c>
      <c r="C5676" t="str">
        <f>"9788178299471"</f>
        <v>9788178299471</v>
      </c>
      <c r="D5676" t="str">
        <f>"9788132102557"</f>
        <v>9788132102557</v>
      </c>
      <c r="E5676" t="s">
        <v>1569</v>
      </c>
      <c r="F5676" t="s">
        <v>5273</v>
      </c>
      <c r="G5676" s="1">
        <v>39975</v>
      </c>
      <c r="H5676" s="1">
        <v>40144</v>
      </c>
      <c r="I5676" t="s">
        <v>12</v>
      </c>
      <c r="J5676" t="s">
        <v>16446</v>
      </c>
    </row>
    <row r="5677" spans="1:10" x14ac:dyDescent="0.25">
      <c r="A5677">
        <v>453696</v>
      </c>
      <c r="B5677" t="s">
        <v>5937</v>
      </c>
      <c r="C5677" t="str">
        <f>"9788132100621"</f>
        <v>9788132100621</v>
      </c>
      <c r="D5677" t="str">
        <f>"9788132102588"</f>
        <v>9788132102588</v>
      </c>
      <c r="E5677" t="s">
        <v>1569</v>
      </c>
      <c r="F5677" t="s">
        <v>5273</v>
      </c>
      <c r="G5677" s="1">
        <v>39975</v>
      </c>
      <c r="H5677" s="1">
        <v>40144</v>
      </c>
      <c r="I5677" t="s">
        <v>12</v>
      </c>
      <c r="J5677" t="s">
        <v>16447</v>
      </c>
    </row>
    <row r="5678" spans="1:10" x14ac:dyDescent="0.25">
      <c r="A5678">
        <v>453705</v>
      </c>
      <c r="B5678" t="s">
        <v>5938</v>
      </c>
      <c r="C5678" t="str">
        <f>"9788132100805"</f>
        <v>9788132100805</v>
      </c>
      <c r="D5678" t="str">
        <f>"9788132102533"</f>
        <v>9788132102533</v>
      </c>
      <c r="E5678" t="s">
        <v>1569</v>
      </c>
      <c r="F5678" t="s">
        <v>5273</v>
      </c>
      <c r="G5678" s="1">
        <v>39996</v>
      </c>
      <c r="H5678" s="1">
        <v>40144</v>
      </c>
      <c r="I5678" t="s">
        <v>12</v>
      </c>
      <c r="J5678" t="s">
        <v>16448</v>
      </c>
    </row>
    <row r="5679" spans="1:10" x14ac:dyDescent="0.25">
      <c r="A5679">
        <v>453750</v>
      </c>
      <c r="B5679" t="s">
        <v>5939</v>
      </c>
      <c r="C5679" t="str">
        <f>"9783110111033"</f>
        <v>9783110111033</v>
      </c>
      <c r="D5679" t="str">
        <f>"9783110194005"</f>
        <v>9783110194005</v>
      </c>
      <c r="E5679" t="s">
        <v>2482</v>
      </c>
      <c r="F5679" t="s">
        <v>2483</v>
      </c>
      <c r="G5679" s="1">
        <v>39643</v>
      </c>
      <c r="H5679" s="1">
        <v>40245</v>
      </c>
      <c r="I5679" t="s">
        <v>12</v>
      </c>
      <c r="J5679" t="s">
        <v>16449</v>
      </c>
    </row>
    <row r="5680" spans="1:10" x14ac:dyDescent="0.25">
      <c r="A5680">
        <v>453791</v>
      </c>
      <c r="B5680" t="s">
        <v>5940</v>
      </c>
      <c r="C5680" t="str">
        <f>"9783598220425"</f>
        <v>9783598220425</v>
      </c>
      <c r="D5680" t="str">
        <f>"9783598441349"</f>
        <v>9783598441349</v>
      </c>
      <c r="E5680" t="s">
        <v>2482</v>
      </c>
      <c r="F5680" t="s">
        <v>2482</v>
      </c>
      <c r="G5680" s="1">
        <v>39923</v>
      </c>
      <c r="H5680" s="1">
        <v>41921</v>
      </c>
      <c r="I5680" t="s">
        <v>12</v>
      </c>
      <c r="J5680" t="s">
        <v>16450</v>
      </c>
    </row>
    <row r="5681" spans="1:10" x14ac:dyDescent="0.25">
      <c r="A5681">
        <v>453802</v>
      </c>
      <c r="B5681" t="s">
        <v>5941</v>
      </c>
      <c r="C5681" t="str">
        <f>"9783110097924"</f>
        <v>9783110097924</v>
      </c>
      <c r="D5681" t="str">
        <f>"9783110203325"</f>
        <v>9783110203325</v>
      </c>
      <c r="E5681" t="s">
        <v>2482</v>
      </c>
      <c r="F5681" t="s">
        <v>2483</v>
      </c>
      <c r="G5681" s="1">
        <v>39643</v>
      </c>
      <c r="H5681" s="1">
        <v>40261</v>
      </c>
      <c r="I5681" t="s">
        <v>12</v>
      </c>
      <c r="J5681" t="s">
        <v>16451</v>
      </c>
    </row>
    <row r="5682" spans="1:10" x14ac:dyDescent="0.25">
      <c r="A5682">
        <v>453816</v>
      </c>
      <c r="B5682" t="s">
        <v>5942</v>
      </c>
      <c r="C5682" t="str">
        <f>"9783110205602"</f>
        <v>9783110205602</v>
      </c>
      <c r="D5682" t="str">
        <f>"9783110213379"</f>
        <v>9783110213379</v>
      </c>
      <c r="E5682" t="s">
        <v>2482</v>
      </c>
      <c r="F5682" t="s">
        <v>2483</v>
      </c>
      <c r="G5682" s="1">
        <v>39923</v>
      </c>
      <c r="H5682" s="1">
        <v>40147</v>
      </c>
      <c r="I5682" t="s">
        <v>12</v>
      </c>
      <c r="J5682" t="s">
        <v>16452</v>
      </c>
    </row>
    <row r="5683" spans="1:10" x14ac:dyDescent="0.25">
      <c r="A5683">
        <v>453823</v>
      </c>
      <c r="B5683" t="s">
        <v>5943</v>
      </c>
      <c r="C5683" t="str">
        <f>"9783110219876"</f>
        <v>9783110219876</v>
      </c>
      <c r="D5683" t="str">
        <f>"9783110219883"</f>
        <v>9783110219883</v>
      </c>
      <c r="E5683" t="s">
        <v>2482</v>
      </c>
      <c r="F5683" t="s">
        <v>2482</v>
      </c>
      <c r="G5683" s="1">
        <v>40042</v>
      </c>
      <c r="H5683" s="1">
        <v>40147</v>
      </c>
      <c r="I5683" t="s">
        <v>12</v>
      </c>
      <c r="J5683" t="s">
        <v>16453</v>
      </c>
    </row>
    <row r="5684" spans="1:10" x14ac:dyDescent="0.25">
      <c r="A5684">
        <v>453831</v>
      </c>
      <c r="B5684" t="s">
        <v>5944</v>
      </c>
      <c r="C5684" t="str">
        <f>"9783110205909"</f>
        <v>9783110205909</v>
      </c>
      <c r="D5684" t="str">
        <f>"9783110216097"</f>
        <v>9783110216097</v>
      </c>
      <c r="E5684" t="s">
        <v>2482</v>
      </c>
      <c r="F5684" t="s">
        <v>2483</v>
      </c>
      <c r="G5684" s="1">
        <v>40008</v>
      </c>
      <c r="H5684" s="1">
        <v>40147</v>
      </c>
      <c r="I5684" t="s">
        <v>12</v>
      </c>
      <c r="J5684" t="s">
        <v>16454</v>
      </c>
    </row>
    <row r="5685" spans="1:10" x14ac:dyDescent="0.25">
      <c r="A5685">
        <v>453833</v>
      </c>
      <c r="B5685" t="s">
        <v>5945</v>
      </c>
      <c r="C5685" t="str">
        <f>"9783110204476"</f>
        <v>9783110204476</v>
      </c>
      <c r="D5685" t="str">
        <f>"9783110212105"</f>
        <v>9783110212105</v>
      </c>
      <c r="E5685" t="s">
        <v>2482</v>
      </c>
      <c r="F5685" t="s">
        <v>2482</v>
      </c>
      <c r="G5685" s="1">
        <v>40008</v>
      </c>
      <c r="H5685" s="1">
        <v>40147</v>
      </c>
      <c r="I5685" t="s">
        <v>12</v>
      </c>
      <c r="J5685" t="s">
        <v>16455</v>
      </c>
    </row>
    <row r="5686" spans="1:10" x14ac:dyDescent="0.25">
      <c r="A5686">
        <v>453835</v>
      </c>
      <c r="B5686" t="s">
        <v>5946</v>
      </c>
      <c r="C5686" t="str">
        <f>"9783110283969"</f>
        <v>9783110283969</v>
      </c>
      <c r="D5686" t="str">
        <f>"9783110217384"</f>
        <v>9783110217384</v>
      </c>
      <c r="E5686" t="s">
        <v>2482</v>
      </c>
      <c r="F5686" t="s">
        <v>2482</v>
      </c>
      <c r="G5686" s="1">
        <v>40008</v>
      </c>
      <c r="H5686" s="1">
        <v>40147</v>
      </c>
      <c r="I5686" t="s">
        <v>12</v>
      </c>
      <c r="J5686" t="s">
        <v>16456</v>
      </c>
    </row>
    <row r="5687" spans="1:10" x14ac:dyDescent="0.25">
      <c r="A5687">
        <v>453847</v>
      </c>
      <c r="B5687" t="s">
        <v>5947</v>
      </c>
      <c r="C5687" t="str">
        <f>"9783110190427"</f>
        <v>9783110190427</v>
      </c>
      <c r="D5687" t="str">
        <f>"9783110219128"</f>
        <v>9783110219128</v>
      </c>
      <c r="E5687" t="s">
        <v>2482</v>
      </c>
      <c r="F5687" t="s">
        <v>2483</v>
      </c>
      <c r="G5687" s="1">
        <v>38916</v>
      </c>
      <c r="H5687" s="1">
        <v>40147</v>
      </c>
      <c r="I5687" t="s">
        <v>12</v>
      </c>
      <c r="J5687" t="s">
        <v>16457</v>
      </c>
    </row>
    <row r="5688" spans="1:10" x14ac:dyDescent="0.25">
      <c r="A5688">
        <v>453851</v>
      </c>
      <c r="B5688" t="s">
        <v>5948</v>
      </c>
      <c r="C5688" t="str">
        <f>"9783110214529"</f>
        <v>9783110214529</v>
      </c>
      <c r="D5688" t="str">
        <f>"9783110214536"</f>
        <v>9783110214536</v>
      </c>
      <c r="E5688" t="s">
        <v>2482</v>
      </c>
      <c r="F5688" t="s">
        <v>2482</v>
      </c>
      <c r="G5688" s="1">
        <v>40042</v>
      </c>
      <c r="H5688" s="1">
        <v>40147</v>
      </c>
      <c r="I5688" t="s">
        <v>12</v>
      </c>
      <c r="J5688" t="s">
        <v>16458</v>
      </c>
    </row>
    <row r="5689" spans="1:10" x14ac:dyDescent="0.25">
      <c r="A5689">
        <v>453858</v>
      </c>
      <c r="B5689" t="s">
        <v>5949</v>
      </c>
      <c r="C5689" t="str">
        <f>"9783598220432"</f>
        <v>9783598220432</v>
      </c>
      <c r="D5689" t="str">
        <f>"9783598441677"</f>
        <v>9783598441677</v>
      </c>
      <c r="E5689" t="s">
        <v>2482</v>
      </c>
      <c r="F5689" t="s">
        <v>2482</v>
      </c>
      <c r="G5689" s="1">
        <v>39923</v>
      </c>
      <c r="H5689" s="1">
        <v>41921</v>
      </c>
      <c r="I5689" t="s">
        <v>12</v>
      </c>
      <c r="J5689" t="s">
        <v>16459</v>
      </c>
    </row>
    <row r="5690" spans="1:10" x14ac:dyDescent="0.25">
      <c r="A5690">
        <v>453873</v>
      </c>
      <c r="B5690" t="s">
        <v>5950</v>
      </c>
      <c r="C5690" t="str">
        <f>"9783110212341"</f>
        <v>9783110212341</v>
      </c>
      <c r="D5690" t="str">
        <f>"9783110212358"</f>
        <v>9783110212358</v>
      </c>
      <c r="E5690" t="s">
        <v>2482</v>
      </c>
      <c r="F5690" t="s">
        <v>2482</v>
      </c>
      <c r="G5690" s="1">
        <v>40042</v>
      </c>
      <c r="H5690" s="1">
        <v>40147</v>
      </c>
      <c r="I5690" t="s">
        <v>12</v>
      </c>
      <c r="J5690" t="s">
        <v>16460</v>
      </c>
    </row>
    <row r="5691" spans="1:10" x14ac:dyDescent="0.25">
      <c r="A5691">
        <v>453878</v>
      </c>
      <c r="B5691" t="s">
        <v>5951</v>
      </c>
      <c r="C5691" t="str">
        <f>"9783110189476"</f>
        <v>9783110189476</v>
      </c>
      <c r="D5691" t="str">
        <f>"9783110217445"</f>
        <v>9783110217445</v>
      </c>
      <c r="E5691" t="s">
        <v>2482</v>
      </c>
      <c r="F5691" t="s">
        <v>2482</v>
      </c>
      <c r="G5691" s="1">
        <v>40042</v>
      </c>
      <c r="H5691" s="1">
        <v>40147</v>
      </c>
      <c r="I5691" t="s">
        <v>12</v>
      </c>
      <c r="J5691" t="s">
        <v>16461</v>
      </c>
    </row>
    <row r="5692" spans="1:10" x14ac:dyDescent="0.25">
      <c r="A5692">
        <v>453899</v>
      </c>
      <c r="B5692" t="s">
        <v>5952</v>
      </c>
      <c r="C5692" t="str">
        <f>"9783110183825"</f>
        <v>9783110183825</v>
      </c>
      <c r="D5692" t="str">
        <f>"9783110217407"</f>
        <v>9783110217407</v>
      </c>
      <c r="E5692" t="s">
        <v>2482</v>
      </c>
      <c r="F5692" t="s">
        <v>2482</v>
      </c>
      <c r="G5692" s="1">
        <v>39938</v>
      </c>
      <c r="H5692" s="1">
        <v>40147</v>
      </c>
      <c r="I5692" t="s">
        <v>12</v>
      </c>
      <c r="J5692" t="s">
        <v>16462</v>
      </c>
    </row>
    <row r="5693" spans="1:10" x14ac:dyDescent="0.25">
      <c r="A5693">
        <v>453911</v>
      </c>
      <c r="B5693" t="s">
        <v>5953</v>
      </c>
      <c r="C5693" t="str">
        <f>"9783110215328"</f>
        <v>9783110215328</v>
      </c>
      <c r="D5693" t="str">
        <f>"9783110215335"</f>
        <v>9783110215335</v>
      </c>
      <c r="E5693" t="s">
        <v>2482</v>
      </c>
      <c r="F5693" t="s">
        <v>2483</v>
      </c>
      <c r="G5693" s="1">
        <v>40008</v>
      </c>
      <c r="H5693" s="1">
        <v>40147</v>
      </c>
      <c r="I5693" t="s">
        <v>12</v>
      </c>
      <c r="J5693" t="s">
        <v>16463</v>
      </c>
    </row>
    <row r="5694" spans="1:10" x14ac:dyDescent="0.25">
      <c r="A5694">
        <v>453912</v>
      </c>
      <c r="B5694" t="s">
        <v>5954</v>
      </c>
      <c r="C5694" t="str">
        <f>"9783598115370"</f>
        <v>9783598115370</v>
      </c>
      <c r="D5694" t="str">
        <f>"9783598440014"</f>
        <v>9783598440014</v>
      </c>
      <c r="E5694" t="s">
        <v>2482</v>
      </c>
      <c r="F5694" t="s">
        <v>2482</v>
      </c>
      <c r="G5694" s="1">
        <v>38467</v>
      </c>
      <c r="H5694" s="1">
        <v>40245</v>
      </c>
      <c r="I5694" t="s">
        <v>12</v>
      </c>
      <c r="J5694" t="s">
        <v>16464</v>
      </c>
    </row>
    <row r="5695" spans="1:10" x14ac:dyDescent="0.25">
      <c r="A5695">
        <v>453917</v>
      </c>
      <c r="B5695" t="s">
        <v>5955</v>
      </c>
      <c r="C5695" t="str">
        <f>"9783484630406"</f>
        <v>9783484630406</v>
      </c>
      <c r="D5695" t="str">
        <f>"9783484970366"</f>
        <v>9783484970366</v>
      </c>
      <c r="E5695" t="s">
        <v>2482</v>
      </c>
      <c r="F5695" t="s">
        <v>2482</v>
      </c>
      <c r="G5695" s="1">
        <v>39938</v>
      </c>
      <c r="H5695" s="1">
        <v>40147</v>
      </c>
      <c r="I5695" t="s">
        <v>12</v>
      </c>
      <c r="J5695" t="s">
        <v>16465</v>
      </c>
    </row>
    <row r="5696" spans="1:10" x14ac:dyDescent="0.25">
      <c r="A5696">
        <v>453932</v>
      </c>
      <c r="B5696" t="s">
        <v>5956</v>
      </c>
      <c r="C5696" t="str">
        <f>"9783110207125"</f>
        <v>9783110207125</v>
      </c>
      <c r="D5696" t="str">
        <f>"9783110217278"</f>
        <v>9783110217278</v>
      </c>
      <c r="E5696" t="s">
        <v>2482</v>
      </c>
      <c r="F5696" t="s">
        <v>2482</v>
      </c>
      <c r="G5696" s="1">
        <v>40042</v>
      </c>
      <c r="H5696" s="1">
        <v>40147</v>
      </c>
      <c r="I5696" t="s">
        <v>12</v>
      </c>
      <c r="J5696" t="s">
        <v>16466</v>
      </c>
    </row>
    <row r="5697" spans="1:10" x14ac:dyDescent="0.25">
      <c r="A5697">
        <v>453936</v>
      </c>
      <c r="B5697" t="s">
        <v>5957</v>
      </c>
      <c r="C5697" t="str">
        <f>"9783110215342"</f>
        <v>9783110215342</v>
      </c>
      <c r="D5697" t="str">
        <f>"9783110215359"</f>
        <v>9783110215359</v>
      </c>
      <c r="E5697" t="s">
        <v>2482</v>
      </c>
      <c r="F5697" t="s">
        <v>2483</v>
      </c>
      <c r="G5697" s="1">
        <v>39987</v>
      </c>
      <c r="H5697" s="1">
        <v>40252</v>
      </c>
      <c r="I5697" t="s">
        <v>12</v>
      </c>
      <c r="J5697" t="s">
        <v>16467</v>
      </c>
    </row>
    <row r="5698" spans="1:10" x14ac:dyDescent="0.25">
      <c r="A5698">
        <v>453940</v>
      </c>
      <c r="B5698" t="s">
        <v>5958</v>
      </c>
      <c r="C5698" t="str">
        <f>"9783110218527"</f>
        <v>9783110218527</v>
      </c>
      <c r="D5698" t="str">
        <f>"9783110218534"</f>
        <v>9783110218534</v>
      </c>
      <c r="E5698" t="s">
        <v>2482</v>
      </c>
      <c r="F5698" t="s">
        <v>2483</v>
      </c>
      <c r="G5698" s="1">
        <v>39966</v>
      </c>
      <c r="H5698" s="1">
        <v>40147</v>
      </c>
      <c r="I5698" t="s">
        <v>12</v>
      </c>
      <c r="J5698" t="s">
        <v>16468</v>
      </c>
    </row>
    <row r="5699" spans="1:10" x14ac:dyDescent="0.25">
      <c r="A5699">
        <v>453953</v>
      </c>
      <c r="B5699" t="s">
        <v>5959</v>
      </c>
      <c r="C5699" t="str">
        <f>"9783110191134"</f>
        <v>9783110191134</v>
      </c>
      <c r="D5699" t="str">
        <f>"9783110207019"</f>
        <v>9783110207019</v>
      </c>
      <c r="E5699" t="s">
        <v>2482</v>
      </c>
      <c r="F5699" t="s">
        <v>2482</v>
      </c>
      <c r="G5699" s="1">
        <v>39220</v>
      </c>
      <c r="H5699" s="1">
        <v>40147</v>
      </c>
      <c r="I5699" t="s">
        <v>12</v>
      </c>
      <c r="J5699" t="s">
        <v>16469</v>
      </c>
    </row>
    <row r="5700" spans="1:10" x14ac:dyDescent="0.25">
      <c r="A5700">
        <v>453957</v>
      </c>
      <c r="B5700" t="s">
        <v>5960</v>
      </c>
      <c r="C5700" t="str">
        <f>"9783110186079"</f>
        <v>9783110186079</v>
      </c>
      <c r="D5700" t="str">
        <f>"9783110219265"</f>
        <v>9783110219265</v>
      </c>
      <c r="E5700" t="s">
        <v>2482</v>
      </c>
      <c r="F5700" t="s">
        <v>2483</v>
      </c>
      <c r="G5700" s="1">
        <v>38614</v>
      </c>
      <c r="H5700" s="1">
        <v>40147</v>
      </c>
      <c r="I5700" t="s">
        <v>12</v>
      </c>
      <c r="J5700" t="s">
        <v>16470</v>
      </c>
    </row>
    <row r="5701" spans="1:10" x14ac:dyDescent="0.25">
      <c r="A5701">
        <v>453975</v>
      </c>
      <c r="B5701" t="s">
        <v>5961</v>
      </c>
      <c r="C5701" t="str">
        <f>"9783110188400"</f>
        <v>9783110188400</v>
      </c>
      <c r="D5701" t="str">
        <f>"9783110217117"</f>
        <v>9783110217117</v>
      </c>
      <c r="E5701" t="s">
        <v>2482</v>
      </c>
      <c r="F5701" t="s">
        <v>2483</v>
      </c>
      <c r="G5701" s="1">
        <v>40009</v>
      </c>
      <c r="H5701" s="1">
        <v>40147</v>
      </c>
      <c r="I5701" t="s">
        <v>12</v>
      </c>
      <c r="J5701" t="s">
        <v>16471</v>
      </c>
    </row>
    <row r="5702" spans="1:10" x14ac:dyDescent="0.25">
      <c r="A5702">
        <v>453982</v>
      </c>
      <c r="B5702" t="s">
        <v>5962</v>
      </c>
      <c r="C5702" t="str">
        <f>"9783484305274"</f>
        <v>9783484305274</v>
      </c>
      <c r="D5702" t="str">
        <f>"9783484971318"</f>
        <v>9783484971318</v>
      </c>
      <c r="E5702" t="s">
        <v>2482</v>
      </c>
      <c r="F5702" t="s">
        <v>2482</v>
      </c>
      <c r="G5702" s="1">
        <v>39987</v>
      </c>
      <c r="H5702" s="1">
        <v>40147</v>
      </c>
      <c r="I5702" t="s">
        <v>12</v>
      </c>
      <c r="J5702" t="s">
        <v>16472</v>
      </c>
    </row>
    <row r="5703" spans="1:10" x14ac:dyDescent="0.25">
      <c r="A5703">
        <v>453984</v>
      </c>
      <c r="B5703" t="s">
        <v>5963</v>
      </c>
      <c r="C5703" t="str">
        <f>"9783110196344"</f>
        <v>9783110196344</v>
      </c>
      <c r="D5703" t="str">
        <f>"9783110213331"</f>
        <v>9783110213331</v>
      </c>
      <c r="E5703" t="s">
        <v>2482</v>
      </c>
      <c r="F5703" t="s">
        <v>2483</v>
      </c>
      <c r="G5703" s="1">
        <v>39987</v>
      </c>
      <c r="H5703" s="1">
        <v>40147</v>
      </c>
      <c r="I5703" t="s">
        <v>12</v>
      </c>
      <c r="J5703" t="s">
        <v>16473</v>
      </c>
    </row>
    <row r="5704" spans="1:10" x14ac:dyDescent="0.25">
      <c r="A5704">
        <v>453985</v>
      </c>
      <c r="B5704" t="s">
        <v>5964</v>
      </c>
      <c r="C5704" t="str">
        <f>"9783110205893"</f>
        <v>9783110205893</v>
      </c>
      <c r="D5704" t="str">
        <f>"9783110215373"</f>
        <v>9783110215373</v>
      </c>
      <c r="E5704" t="s">
        <v>2482</v>
      </c>
      <c r="F5704" t="s">
        <v>2483</v>
      </c>
      <c r="G5704" s="1">
        <v>40008</v>
      </c>
      <c r="H5704" s="1">
        <v>40147</v>
      </c>
      <c r="I5704" t="s">
        <v>12</v>
      </c>
      <c r="J5704" t="s">
        <v>16474</v>
      </c>
    </row>
    <row r="5705" spans="1:10" x14ac:dyDescent="0.25">
      <c r="A5705">
        <v>453986</v>
      </c>
      <c r="B5705" t="s">
        <v>5965</v>
      </c>
      <c r="C5705" t="str">
        <f>"9783598220449"</f>
        <v>9783598220449</v>
      </c>
      <c r="D5705" t="str">
        <f>"9783598441776"</f>
        <v>9783598441776</v>
      </c>
      <c r="E5705" t="s">
        <v>2482</v>
      </c>
      <c r="F5705" t="s">
        <v>2482</v>
      </c>
      <c r="G5705" s="1">
        <v>40023</v>
      </c>
      <c r="H5705" s="1">
        <v>41921</v>
      </c>
      <c r="I5705" t="s">
        <v>12</v>
      </c>
      <c r="J5705" t="s">
        <v>16475</v>
      </c>
    </row>
    <row r="5706" spans="1:10" x14ac:dyDescent="0.25">
      <c r="A5706">
        <v>453995</v>
      </c>
      <c r="B5706" t="s">
        <v>5966</v>
      </c>
      <c r="C5706" t="str">
        <f>"9783110196320"</f>
        <v>9783110196320</v>
      </c>
      <c r="D5706" t="str">
        <f>"9783110199215"</f>
        <v>9783110199215</v>
      </c>
      <c r="E5706" t="s">
        <v>2482</v>
      </c>
      <c r="F5706" t="s">
        <v>2483</v>
      </c>
      <c r="G5706" s="1">
        <v>40008</v>
      </c>
      <c r="H5706" s="1">
        <v>40147</v>
      </c>
      <c r="I5706" t="s">
        <v>12</v>
      </c>
      <c r="J5706" t="s">
        <v>16476</v>
      </c>
    </row>
    <row r="5707" spans="1:10" x14ac:dyDescent="0.25">
      <c r="A5707">
        <v>453997</v>
      </c>
      <c r="B5707" t="s">
        <v>5967</v>
      </c>
      <c r="C5707" t="str">
        <f>"9783110209242"</f>
        <v>9783110209242</v>
      </c>
      <c r="D5707" t="str">
        <f>"9783110216103"</f>
        <v>9783110216103</v>
      </c>
      <c r="E5707" t="s">
        <v>2482</v>
      </c>
      <c r="F5707" t="s">
        <v>2483</v>
      </c>
      <c r="G5707" s="1">
        <v>39938</v>
      </c>
      <c r="H5707" s="1">
        <v>40147</v>
      </c>
      <c r="I5707" t="s">
        <v>12</v>
      </c>
      <c r="J5707" t="s">
        <v>16477</v>
      </c>
    </row>
    <row r="5708" spans="1:10" x14ac:dyDescent="0.25">
      <c r="A5708">
        <v>454001</v>
      </c>
      <c r="B5708" t="s">
        <v>5968</v>
      </c>
      <c r="C5708" t="str">
        <f>"9783110213386"</f>
        <v>9783110213386</v>
      </c>
      <c r="D5708" t="str">
        <f>"9783110216141"</f>
        <v>9783110216141</v>
      </c>
      <c r="E5708" t="s">
        <v>2482</v>
      </c>
      <c r="F5708" t="s">
        <v>2483</v>
      </c>
      <c r="G5708" s="1">
        <v>39966</v>
      </c>
      <c r="H5708" s="1">
        <v>40147</v>
      </c>
      <c r="I5708" t="s">
        <v>12</v>
      </c>
      <c r="J5708" t="s">
        <v>16478</v>
      </c>
    </row>
    <row r="5709" spans="1:10" x14ac:dyDescent="0.25">
      <c r="A5709">
        <v>454004</v>
      </c>
      <c r="B5709" t="s">
        <v>5969</v>
      </c>
      <c r="C5709" t="str">
        <f>"9783110219333"</f>
        <v>9783110219333</v>
      </c>
      <c r="D5709" t="str">
        <f>"9783110219340"</f>
        <v>9783110219340</v>
      </c>
      <c r="E5709" t="s">
        <v>2482</v>
      </c>
      <c r="F5709" t="s">
        <v>2483</v>
      </c>
      <c r="G5709" s="1">
        <v>40008</v>
      </c>
      <c r="H5709" s="1">
        <v>40147</v>
      </c>
      <c r="I5709" t="s">
        <v>12</v>
      </c>
      <c r="J5709" t="s">
        <v>16479</v>
      </c>
    </row>
    <row r="5710" spans="1:10" x14ac:dyDescent="0.25">
      <c r="A5710">
        <v>454482</v>
      </c>
      <c r="B5710" t="s">
        <v>5970</v>
      </c>
      <c r="C5710" t="str">
        <f>"9780817309121"</f>
        <v>9780817309121</v>
      </c>
      <c r="D5710" t="str">
        <f>"9780817383190"</f>
        <v>9780817383190</v>
      </c>
      <c r="E5710" t="s">
        <v>5744</v>
      </c>
      <c r="F5710" t="s">
        <v>5744</v>
      </c>
      <c r="G5710" s="1">
        <v>36074</v>
      </c>
      <c r="H5710" s="1">
        <v>40086</v>
      </c>
      <c r="I5710" t="s">
        <v>12</v>
      </c>
      <c r="J5710" t="s">
        <v>16480</v>
      </c>
    </row>
    <row r="5711" spans="1:10" x14ac:dyDescent="0.25">
      <c r="A5711">
        <v>454506</v>
      </c>
      <c r="B5711" t="s">
        <v>5971</v>
      </c>
      <c r="C5711" t="str">
        <f>"9780817302740"</f>
        <v>9780817302740</v>
      </c>
      <c r="D5711" t="str">
        <f>"9780817382582"</f>
        <v>9780817382582</v>
      </c>
      <c r="E5711" t="s">
        <v>5744</v>
      </c>
      <c r="F5711" t="s">
        <v>5744</v>
      </c>
      <c r="G5711" s="1">
        <v>31715</v>
      </c>
      <c r="H5711" s="1">
        <v>40086</v>
      </c>
      <c r="I5711" t="s">
        <v>12</v>
      </c>
      <c r="J5711" t="s">
        <v>16481</v>
      </c>
    </row>
    <row r="5712" spans="1:10" x14ac:dyDescent="0.25">
      <c r="A5712">
        <v>454511</v>
      </c>
      <c r="B5712" t="s">
        <v>5972</v>
      </c>
      <c r="C5712" t="str">
        <f>"9780817308742"</f>
        <v>9780817308742</v>
      </c>
      <c r="D5712" t="str">
        <f>"9780817382599"</f>
        <v>9780817382599</v>
      </c>
      <c r="E5712" t="s">
        <v>5744</v>
      </c>
      <c r="F5712" t="s">
        <v>5744</v>
      </c>
      <c r="G5712" s="1">
        <v>35612</v>
      </c>
      <c r="H5712" s="1">
        <v>40086</v>
      </c>
      <c r="I5712" t="s">
        <v>12</v>
      </c>
      <c r="J5712" t="s">
        <v>16482</v>
      </c>
    </row>
    <row r="5713" spans="1:10" x14ac:dyDescent="0.25">
      <c r="A5713">
        <v>454530</v>
      </c>
      <c r="B5713" t="s">
        <v>5973</v>
      </c>
      <c r="C5713" t="str">
        <f>"9780817311599"</f>
        <v>9780817311599</v>
      </c>
      <c r="D5713" t="str">
        <f>"9780817382698"</f>
        <v>9780817382698</v>
      </c>
      <c r="E5713" t="s">
        <v>5744</v>
      </c>
      <c r="F5713" t="s">
        <v>5744</v>
      </c>
      <c r="G5713" s="1">
        <v>37531</v>
      </c>
      <c r="H5713" s="1">
        <v>40086</v>
      </c>
      <c r="I5713" t="s">
        <v>12</v>
      </c>
      <c r="J5713" t="s">
        <v>16483</v>
      </c>
    </row>
    <row r="5714" spans="1:10" x14ac:dyDescent="0.25">
      <c r="A5714">
        <v>454555</v>
      </c>
      <c r="B5714" t="s">
        <v>5974</v>
      </c>
      <c r="C5714" t="str">
        <f>"9780817315535"</f>
        <v>9780817315535</v>
      </c>
      <c r="D5714" t="str">
        <f>"9780817381936"</f>
        <v>9780817381936</v>
      </c>
      <c r="E5714" t="s">
        <v>5744</v>
      </c>
      <c r="F5714" t="s">
        <v>5744</v>
      </c>
      <c r="G5714" s="1">
        <v>39169</v>
      </c>
      <c r="H5714" s="1">
        <v>40086</v>
      </c>
      <c r="I5714" t="s">
        <v>12</v>
      </c>
      <c r="J5714" t="s">
        <v>16484</v>
      </c>
    </row>
    <row r="5715" spans="1:10" x14ac:dyDescent="0.25">
      <c r="A5715">
        <v>454563</v>
      </c>
      <c r="B5715" t="s">
        <v>5975</v>
      </c>
      <c r="C5715" t="str">
        <f>"9780817355029"</f>
        <v>9780817355029</v>
      </c>
      <c r="D5715" t="str">
        <f>"9780817380540"</f>
        <v>9780817380540</v>
      </c>
      <c r="E5715" t="s">
        <v>5744</v>
      </c>
      <c r="F5715" t="s">
        <v>5744</v>
      </c>
      <c r="G5715" s="1">
        <v>39705</v>
      </c>
      <c r="H5715" s="1">
        <v>40086</v>
      </c>
      <c r="I5715" t="s">
        <v>12</v>
      </c>
      <c r="J5715" t="s">
        <v>16485</v>
      </c>
    </row>
    <row r="5716" spans="1:10" x14ac:dyDescent="0.25">
      <c r="A5716">
        <v>454577</v>
      </c>
      <c r="B5716" t="s">
        <v>5976</v>
      </c>
      <c r="C5716" t="str">
        <f>"9780817315375"</f>
        <v>9780817315375</v>
      </c>
      <c r="D5716" t="str">
        <f>"9780817382162"</f>
        <v>9780817382162</v>
      </c>
      <c r="E5716" t="s">
        <v>5744</v>
      </c>
      <c r="F5716" t="s">
        <v>5744</v>
      </c>
      <c r="G5716" s="1">
        <v>39012</v>
      </c>
      <c r="H5716" s="1">
        <v>40086</v>
      </c>
      <c r="I5716" t="s">
        <v>12</v>
      </c>
      <c r="J5716" t="s">
        <v>16486</v>
      </c>
    </row>
    <row r="5717" spans="1:10" x14ac:dyDescent="0.25">
      <c r="A5717">
        <v>454588</v>
      </c>
      <c r="B5717" t="s">
        <v>5977</v>
      </c>
      <c r="C5717" t="str">
        <f>"9780817315207"</f>
        <v>9780817315207</v>
      </c>
      <c r="D5717" t="str">
        <f>"9780817382285"</f>
        <v>9780817382285</v>
      </c>
      <c r="E5717" t="s">
        <v>5744</v>
      </c>
      <c r="F5717" t="s">
        <v>5744</v>
      </c>
      <c r="G5717" s="1">
        <v>38937</v>
      </c>
      <c r="H5717" s="1">
        <v>40086</v>
      </c>
      <c r="I5717" t="s">
        <v>12</v>
      </c>
      <c r="J5717" t="s">
        <v>16487</v>
      </c>
    </row>
    <row r="5718" spans="1:10" x14ac:dyDescent="0.25">
      <c r="A5718">
        <v>454590</v>
      </c>
      <c r="B5718" t="s">
        <v>5978</v>
      </c>
      <c r="C5718" t="str">
        <f>"9780817314361"</f>
        <v>9780817314361</v>
      </c>
      <c r="D5718" t="str">
        <f>"9780817382322"</f>
        <v>9780817382322</v>
      </c>
      <c r="E5718" t="s">
        <v>5744</v>
      </c>
      <c r="F5718" t="s">
        <v>5744</v>
      </c>
      <c r="G5718" s="1">
        <v>38354</v>
      </c>
      <c r="H5718" s="1">
        <v>40086</v>
      </c>
      <c r="I5718" t="s">
        <v>12</v>
      </c>
      <c r="J5718" t="s">
        <v>16488</v>
      </c>
    </row>
    <row r="5719" spans="1:10" x14ac:dyDescent="0.25">
      <c r="A5719">
        <v>454771</v>
      </c>
      <c r="B5719" t="s">
        <v>5979</v>
      </c>
      <c r="C5719" t="str">
        <f>"9781441130884"</f>
        <v>9781441130884</v>
      </c>
      <c r="D5719" t="str">
        <f>"9781441188120"</f>
        <v>9781441188120</v>
      </c>
      <c r="E5719" t="s">
        <v>4180</v>
      </c>
      <c r="F5719" t="s">
        <v>4180</v>
      </c>
      <c r="G5719" s="1">
        <v>40899</v>
      </c>
      <c r="H5719" s="1">
        <v>41845</v>
      </c>
      <c r="I5719" t="s">
        <v>12</v>
      </c>
      <c r="J5719" t="s">
        <v>16489</v>
      </c>
    </row>
    <row r="5720" spans="1:10" x14ac:dyDescent="0.25">
      <c r="A5720">
        <v>454774</v>
      </c>
      <c r="B5720" t="s">
        <v>5980</v>
      </c>
      <c r="C5720" t="str">
        <f>"9781441182326"</f>
        <v>9781441182326</v>
      </c>
      <c r="D5720" t="str">
        <f>"9781441175939"</f>
        <v>9781441175939</v>
      </c>
      <c r="E5720" t="s">
        <v>4180</v>
      </c>
      <c r="F5720" t="s">
        <v>4180</v>
      </c>
      <c r="G5720" s="1">
        <v>40906</v>
      </c>
      <c r="H5720" s="1">
        <v>42326</v>
      </c>
      <c r="I5720" t="s">
        <v>12</v>
      </c>
      <c r="J5720" t="s">
        <v>16490</v>
      </c>
    </row>
    <row r="5721" spans="1:10" x14ac:dyDescent="0.25">
      <c r="A5721">
        <v>454780</v>
      </c>
      <c r="B5721" t="s">
        <v>5981</v>
      </c>
      <c r="C5721" t="str">
        <f>"9781441117915"</f>
        <v>9781441117915</v>
      </c>
      <c r="D5721" t="str">
        <f>"9781441168016"</f>
        <v>9781441168016</v>
      </c>
      <c r="E5721" t="s">
        <v>4180</v>
      </c>
      <c r="F5721" t="s">
        <v>4180</v>
      </c>
      <c r="G5721" s="1">
        <v>40906</v>
      </c>
      <c r="H5721" s="1">
        <v>42326</v>
      </c>
      <c r="I5721" t="s">
        <v>12</v>
      </c>
      <c r="J5721" t="s">
        <v>16491</v>
      </c>
    </row>
    <row r="5722" spans="1:10" x14ac:dyDescent="0.25">
      <c r="A5722">
        <v>454781</v>
      </c>
      <c r="B5722" t="s">
        <v>5982</v>
      </c>
      <c r="C5722" t="str">
        <f>"9781441172105"</f>
        <v>9781441172105</v>
      </c>
      <c r="D5722" t="str">
        <f>"9781441175977"</f>
        <v>9781441175977</v>
      </c>
      <c r="E5722" t="s">
        <v>4180</v>
      </c>
      <c r="F5722" t="s">
        <v>4180</v>
      </c>
      <c r="G5722" s="1">
        <v>40913</v>
      </c>
      <c r="H5722" s="1">
        <v>42326</v>
      </c>
      <c r="I5722" t="s">
        <v>12</v>
      </c>
      <c r="J5722" t="s">
        <v>16492</v>
      </c>
    </row>
    <row r="5723" spans="1:10" x14ac:dyDescent="0.25">
      <c r="A5723">
        <v>454782</v>
      </c>
      <c r="B5723" t="s">
        <v>5983</v>
      </c>
      <c r="C5723" t="str">
        <f>"9781441156310"</f>
        <v>9781441156310</v>
      </c>
      <c r="D5723" t="str">
        <f>"9781441134325"</f>
        <v>9781441134325</v>
      </c>
      <c r="E5723" t="s">
        <v>4180</v>
      </c>
      <c r="F5723" t="s">
        <v>4180</v>
      </c>
      <c r="G5723" s="1">
        <v>40913</v>
      </c>
      <c r="H5723" s="1">
        <v>41844</v>
      </c>
      <c r="I5723" t="s">
        <v>12</v>
      </c>
      <c r="J5723" t="s">
        <v>16493</v>
      </c>
    </row>
    <row r="5724" spans="1:10" x14ac:dyDescent="0.25">
      <c r="A5724">
        <v>454787</v>
      </c>
      <c r="B5724" t="s">
        <v>5984</v>
      </c>
      <c r="C5724" t="str">
        <f>"9781606233023"</f>
        <v>9781606233023</v>
      </c>
      <c r="D5724" t="str">
        <f>"9781606233061"</f>
        <v>9781606233061</v>
      </c>
      <c r="E5724" t="s">
        <v>3740</v>
      </c>
      <c r="F5724" t="s">
        <v>3741</v>
      </c>
      <c r="G5724" s="1">
        <v>40002</v>
      </c>
      <c r="H5724" s="1">
        <v>40086</v>
      </c>
      <c r="I5724" t="s">
        <v>12</v>
      </c>
      <c r="J5724" t="s">
        <v>16494</v>
      </c>
    </row>
    <row r="5725" spans="1:10" x14ac:dyDescent="0.25">
      <c r="A5725">
        <v>454788</v>
      </c>
      <c r="B5725" t="s">
        <v>5985</v>
      </c>
      <c r="C5725" t="str">
        <f>"9781572306592"</f>
        <v>9781572306592</v>
      </c>
      <c r="D5725" t="str">
        <f>"9781606233146"</f>
        <v>9781606233146</v>
      </c>
      <c r="E5725" t="s">
        <v>3740</v>
      </c>
      <c r="F5725" t="s">
        <v>3741</v>
      </c>
      <c r="G5725" s="1">
        <v>36907</v>
      </c>
      <c r="H5725" s="1">
        <v>40086</v>
      </c>
      <c r="I5725" t="s">
        <v>12</v>
      </c>
      <c r="J5725" t="s">
        <v>16495</v>
      </c>
    </row>
    <row r="5726" spans="1:10" x14ac:dyDescent="0.25">
      <c r="A5726">
        <v>454794</v>
      </c>
      <c r="B5726" t="s">
        <v>5986</v>
      </c>
      <c r="C5726" t="str">
        <f>"9781606232996"</f>
        <v>9781606232996</v>
      </c>
      <c r="D5726" t="str">
        <f>"9781606233184"</f>
        <v>9781606233184</v>
      </c>
      <c r="E5726" t="s">
        <v>3740</v>
      </c>
      <c r="F5726" t="s">
        <v>3741</v>
      </c>
      <c r="G5726" s="1">
        <v>39996</v>
      </c>
      <c r="H5726" s="1">
        <v>40086</v>
      </c>
      <c r="I5726" t="s">
        <v>12</v>
      </c>
      <c r="J5726" t="s">
        <v>16496</v>
      </c>
    </row>
    <row r="5727" spans="1:10" x14ac:dyDescent="0.25">
      <c r="A5727">
        <v>455790</v>
      </c>
      <c r="B5727" t="s">
        <v>5987</v>
      </c>
      <c r="C5727" t="str">
        <f>"9780253353504"</f>
        <v>9780253353504</v>
      </c>
      <c r="D5727" t="str">
        <f>"9780253002990"</f>
        <v>9780253002990</v>
      </c>
      <c r="E5727" t="s">
        <v>4527</v>
      </c>
      <c r="F5727" t="s">
        <v>4527</v>
      </c>
      <c r="G5727" s="1">
        <v>39945</v>
      </c>
      <c r="H5727" s="1">
        <v>40100</v>
      </c>
      <c r="I5727" t="s">
        <v>12</v>
      </c>
      <c r="J5727" t="s">
        <v>16497</v>
      </c>
    </row>
    <row r="5728" spans="1:10" x14ac:dyDescent="0.25">
      <c r="A5728">
        <v>455796</v>
      </c>
      <c r="B5728" t="s">
        <v>5988</v>
      </c>
      <c r="C5728" t="str">
        <f>"9780253350763"</f>
        <v>9780253350763</v>
      </c>
      <c r="D5728" t="str">
        <f>"9780253003157"</f>
        <v>9780253003157</v>
      </c>
      <c r="E5728" t="s">
        <v>4527</v>
      </c>
      <c r="F5728" t="s">
        <v>4527</v>
      </c>
      <c r="G5728" s="1">
        <v>39491</v>
      </c>
      <c r="H5728" s="1">
        <v>40128</v>
      </c>
      <c r="I5728" t="s">
        <v>12</v>
      </c>
      <c r="J5728" t="s">
        <v>16498</v>
      </c>
    </row>
    <row r="5729" spans="1:10" x14ac:dyDescent="0.25">
      <c r="A5729">
        <v>455829</v>
      </c>
      <c r="B5729" t="s">
        <v>5989</v>
      </c>
      <c r="C5729" t="str">
        <f>"9780415467186"</f>
        <v>9780415467186</v>
      </c>
      <c r="D5729" t="str">
        <f>"9781616310004"</f>
        <v>9781616310004</v>
      </c>
      <c r="E5729" t="s">
        <v>144</v>
      </c>
      <c r="F5729" t="s">
        <v>144</v>
      </c>
      <c r="G5729" s="1">
        <v>40057</v>
      </c>
      <c r="H5729" s="1">
        <v>40128</v>
      </c>
      <c r="I5729" t="s">
        <v>12</v>
      </c>
      <c r="J5729" t="s">
        <v>16499</v>
      </c>
    </row>
    <row r="5730" spans="1:10" x14ac:dyDescent="0.25">
      <c r="A5730">
        <v>455845</v>
      </c>
      <c r="B5730" t="s">
        <v>5990</v>
      </c>
      <c r="C5730" t="str">
        <f>"9780470402344"</f>
        <v>9780470402344</v>
      </c>
      <c r="D5730" t="str">
        <f>"9780470564523"</f>
        <v>9780470564523</v>
      </c>
      <c r="E5730" t="s">
        <v>1088</v>
      </c>
      <c r="F5730" t="s">
        <v>5057</v>
      </c>
      <c r="G5730" s="1">
        <v>40064</v>
      </c>
      <c r="H5730" s="1">
        <v>40086</v>
      </c>
      <c r="I5730" t="s">
        <v>12</v>
      </c>
      <c r="J5730" t="s">
        <v>16500</v>
      </c>
    </row>
    <row r="5731" spans="1:10" x14ac:dyDescent="0.25">
      <c r="A5731">
        <v>456024</v>
      </c>
      <c r="B5731" t="s">
        <v>5991</v>
      </c>
      <c r="C5731" t="str">
        <f>"9780470447680"</f>
        <v>9780470447680</v>
      </c>
      <c r="D5731" t="str">
        <f>"9780470504048"</f>
        <v>9780470504048</v>
      </c>
      <c r="E5731" t="s">
        <v>1088</v>
      </c>
      <c r="F5731" t="s">
        <v>5059</v>
      </c>
      <c r="G5731" s="1">
        <v>40078</v>
      </c>
      <c r="H5731" s="1">
        <v>40086</v>
      </c>
      <c r="I5731" t="s">
        <v>12</v>
      </c>
      <c r="J5731" t="s">
        <v>16501</v>
      </c>
    </row>
    <row r="5732" spans="1:10" x14ac:dyDescent="0.25">
      <c r="A5732">
        <v>456680</v>
      </c>
      <c r="B5732" t="s">
        <v>5992</v>
      </c>
      <c r="C5732" t="str">
        <f>"9781861349095"</f>
        <v>9781861349095</v>
      </c>
      <c r="D5732" t="str">
        <f>"9781847421159"</f>
        <v>9781847421159</v>
      </c>
      <c r="E5732" t="s">
        <v>5375</v>
      </c>
      <c r="F5732" t="s">
        <v>5375</v>
      </c>
      <c r="G5732" s="1">
        <v>39869</v>
      </c>
      <c r="H5732" s="1">
        <v>40091</v>
      </c>
      <c r="I5732" t="s">
        <v>12</v>
      </c>
      <c r="J5732" t="s">
        <v>16502</v>
      </c>
    </row>
    <row r="5733" spans="1:10" x14ac:dyDescent="0.25">
      <c r="A5733">
        <v>456724</v>
      </c>
      <c r="B5733" t="s">
        <v>5993</v>
      </c>
      <c r="C5733" t="str">
        <f>"9781412922616"</f>
        <v>9781412922616</v>
      </c>
      <c r="D5733" t="str">
        <f>"9781849206365"</f>
        <v>9781849206365</v>
      </c>
      <c r="E5733" t="s">
        <v>1569</v>
      </c>
      <c r="F5733" t="s">
        <v>1570</v>
      </c>
      <c r="G5733" s="1">
        <v>39587</v>
      </c>
      <c r="H5733" s="1">
        <v>40086</v>
      </c>
      <c r="I5733" t="s">
        <v>12</v>
      </c>
      <c r="J5733" t="s">
        <v>16503</v>
      </c>
    </row>
    <row r="5734" spans="1:10" x14ac:dyDescent="0.25">
      <c r="A5734">
        <v>456727</v>
      </c>
      <c r="B5734" t="s">
        <v>5994</v>
      </c>
      <c r="C5734" t="str">
        <f>"9781412945776"</f>
        <v>9781412945776</v>
      </c>
      <c r="D5734" t="str">
        <f>"9781849206341"</f>
        <v>9781849206341</v>
      </c>
      <c r="E5734" t="s">
        <v>1569</v>
      </c>
      <c r="F5734" t="s">
        <v>1570</v>
      </c>
      <c r="G5734" s="1">
        <v>39590</v>
      </c>
      <c r="H5734" s="1">
        <v>40086</v>
      </c>
      <c r="I5734" t="s">
        <v>12</v>
      </c>
      <c r="J5734" t="s">
        <v>16504</v>
      </c>
    </row>
    <row r="5735" spans="1:10" x14ac:dyDescent="0.25">
      <c r="A5735">
        <v>456739</v>
      </c>
      <c r="B5735" t="s">
        <v>5995</v>
      </c>
      <c r="C5735" t="str">
        <f>"9781412947565"</f>
        <v>9781412947565</v>
      </c>
      <c r="D5735" t="str">
        <f>"9781849206426"</f>
        <v>9781849206426</v>
      </c>
      <c r="E5735" t="s">
        <v>1569</v>
      </c>
      <c r="F5735" t="s">
        <v>1570</v>
      </c>
      <c r="G5735" s="1">
        <v>39554</v>
      </c>
      <c r="H5735" s="1">
        <v>40086</v>
      </c>
      <c r="I5735" t="s">
        <v>12</v>
      </c>
      <c r="J5735" t="s">
        <v>16505</v>
      </c>
    </row>
    <row r="5736" spans="1:10" x14ac:dyDescent="0.25">
      <c r="A5736">
        <v>456740</v>
      </c>
      <c r="B5736" t="s">
        <v>5996</v>
      </c>
      <c r="C5736" t="str">
        <f>"9781412945905"</f>
        <v>9781412945905</v>
      </c>
      <c r="D5736" t="str">
        <f>"9781849206419"</f>
        <v>9781849206419</v>
      </c>
      <c r="E5736" t="s">
        <v>1569</v>
      </c>
      <c r="F5736" t="s">
        <v>1570</v>
      </c>
      <c r="G5736" s="1">
        <v>39546</v>
      </c>
      <c r="H5736" s="1">
        <v>40086</v>
      </c>
      <c r="I5736" t="s">
        <v>12</v>
      </c>
      <c r="J5736" t="s">
        <v>16506</v>
      </c>
    </row>
    <row r="5737" spans="1:10" x14ac:dyDescent="0.25">
      <c r="A5737">
        <v>456748</v>
      </c>
      <c r="B5737" t="s">
        <v>5997</v>
      </c>
      <c r="C5737" t="str">
        <f>"9780761942351"</f>
        <v>9780761942351</v>
      </c>
      <c r="D5737" t="str">
        <f>"9781849206389"</f>
        <v>9781849206389</v>
      </c>
      <c r="E5737" t="s">
        <v>1569</v>
      </c>
      <c r="F5737" t="s">
        <v>1570</v>
      </c>
      <c r="G5737" s="1">
        <v>39581</v>
      </c>
      <c r="H5737" s="1">
        <v>40086</v>
      </c>
      <c r="I5737" t="s">
        <v>12</v>
      </c>
      <c r="J5737" t="s">
        <v>16507</v>
      </c>
    </row>
    <row r="5738" spans="1:10" x14ac:dyDescent="0.25">
      <c r="A5738">
        <v>456763</v>
      </c>
      <c r="B5738" t="s">
        <v>5998</v>
      </c>
      <c r="C5738" t="str">
        <f>"9781412921817"</f>
        <v>9781412921817</v>
      </c>
      <c r="D5738" t="str">
        <f>"9781849206433"</f>
        <v>9781849206433</v>
      </c>
      <c r="E5738" t="s">
        <v>1569</v>
      </c>
      <c r="F5738" t="s">
        <v>1570</v>
      </c>
      <c r="G5738" s="1">
        <v>39524</v>
      </c>
      <c r="H5738" s="1">
        <v>40086</v>
      </c>
      <c r="I5738" t="s">
        <v>12</v>
      </c>
      <c r="J5738" t="s">
        <v>16508</v>
      </c>
    </row>
    <row r="5739" spans="1:10" x14ac:dyDescent="0.25">
      <c r="A5739">
        <v>456860</v>
      </c>
      <c r="B5739" t="s">
        <v>5999</v>
      </c>
      <c r="C5739" t="str">
        <f>"9789053565162"</f>
        <v>9789053565162</v>
      </c>
      <c r="D5739" t="str">
        <f>"9789048501229"</f>
        <v>9789048501229</v>
      </c>
      <c r="E5739" t="s">
        <v>5284</v>
      </c>
      <c r="F5739" t="s">
        <v>5284</v>
      </c>
      <c r="G5739" s="1">
        <v>39448</v>
      </c>
      <c r="H5739" s="1">
        <v>40128</v>
      </c>
      <c r="I5739" t="s">
        <v>12</v>
      </c>
      <c r="J5739" t="s">
        <v>16509</v>
      </c>
    </row>
    <row r="5740" spans="1:10" x14ac:dyDescent="0.25">
      <c r="A5740">
        <v>456873</v>
      </c>
      <c r="B5740" t="s">
        <v>6000</v>
      </c>
      <c r="C5740" t="str">
        <f>"9789089640802"</f>
        <v>9789089640802</v>
      </c>
      <c r="D5740" t="str">
        <f>"9789048507962"</f>
        <v>9789048507962</v>
      </c>
      <c r="E5740" t="s">
        <v>5284</v>
      </c>
      <c r="F5740" t="s">
        <v>5284</v>
      </c>
      <c r="G5740" s="1">
        <v>39814</v>
      </c>
      <c r="H5740" s="1">
        <v>40128</v>
      </c>
      <c r="I5740" t="s">
        <v>12</v>
      </c>
      <c r="J5740" t="s">
        <v>16510</v>
      </c>
    </row>
    <row r="5741" spans="1:10" x14ac:dyDescent="0.25">
      <c r="A5741">
        <v>456877</v>
      </c>
      <c r="B5741" t="s">
        <v>6001</v>
      </c>
      <c r="C5741" t="str">
        <f>"9789056295066"</f>
        <v>9789056295066</v>
      </c>
      <c r="D5741" t="str">
        <f>"9789048502004"</f>
        <v>9789048502004</v>
      </c>
      <c r="E5741" t="s">
        <v>5284</v>
      </c>
      <c r="F5741" t="s">
        <v>5398</v>
      </c>
      <c r="G5741" s="1">
        <v>39448</v>
      </c>
      <c r="H5741" s="1">
        <v>40128</v>
      </c>
      <c r="I5741" t="s">
        <v>12</v>
      </c>
      <c r="J5741" t="s">
        <v>16511</v>
      </c>
    </row>
    <row r="5742" spans="1:10" x14ac:dyDescent="0.25">
      <c r="A5742">
        <v>456954</v>
      </c>
      <c r="B5742" t="s">
        <v>6002</v>
      </c>
      <c r="C5742" t="str">
        <f>"9780791098059"</f>
        <v>9780791098059</v>
      </c>
      <c r="D5742" t="str">
        <f>"9781438125596"</f>
        <v>9781438125596</v>
      </c>
      <c r="E5742" t="s">
        <v>2998</v>
      </c>
      <c r="F5742" t="s">
        <v>3008</v>
      </c>
      <c r="G5742" s="1">
        <v>39965</v>
      </c>
      <c r="H5742" s="1">
        <v>40128</v>
      </c>
      <c r="I5742" t="s">
        <v>12</v>
      </c>
      <c r="J5742" t="s">
        <v>16512</v>
      </c>
    </row>
    <row r="5743" spans="1:10" x14ac:dyDescent="0.25">
      <c r="A5743">
        <v>456962</v>
      </c>
      <c r="B5743" t="s">
        <v>6003</v>
      </c>
      <c r="C5743" t="str">
        <f>"9780816072606"</f>
        <v>9780816072606</v>
      </c>
      <c r="D5743" t="str">
        <f>"9781438126074"</f>
        <v>9781438126074</v>
      </c>
      <c r="E5743" t="s">
        <v>2998</v>
      </c>
      <c r="F5743" t="s">
        <v>2999</v>
      </c>
      <c r="G5743" s="1">
        <v>39995</v>
      </c>
      <c r="H5743" s="1">
        <v>40613</v>
      </c>
      <c r="I5743" t="s">
        <v>12</v>
      </c>
      <c r="J5743" t="s">
        <v>16513</v>
      </c>
    </row>
    <row r="5744" spans="1:10" x14ac:dyDescent="0.25">
      <c r="A5744">
        <v>456988</v>
      </c>
      <c r="B5744" t="s">
        <v>6004</v>
      </c>
      <c r="C5744" t="str">
        <f>"9780816073061"</f>
        <v>9780816073061</v>
      </c>
      <c r="D5744" t="str">
        <f>"9781438128436"</f>
        <v>9781438128436</v>
      </c>
      <c r="E5744" t="s">
        <v>2998</v>
      </c>
      <c r="F5744" t="s">
        <v>2999</v>
      </c>
      <c r="G5744" s="1">
        <v>39995</v>
      </c>
      <c r="H5744" s="1">
        <v>40128</v>
      </c>
      <c r="I5744" t="s">
        <v>12</v>
      </c>
      <c r="J5744" t="s">
        <v>16514</v>
      </c>
    </row>
    <row r="5745" spans="1:10" x14ac:dyDescent="0.25">
      <c r="A5745">
        <v>456998</v>
      </c>
      <c r="B5745" t="s">
        <v>6005</v>
      </c>
      <c r="C5745" t="str">
        <f>"9780816073894"</f>
        <v>9780816073894</v>
      </c>
      <c r="D5745" t="str">
        <f>"9781438117584"</f>
        <v>9781438117584</v>
      </c>
      <c r="E5745" t="s">
        <v>2998</v>
      </c>
      <c r="F5745" t="s">
        <v>2999</v>
      </c>
      <c r="G5745" s="1">
        <v>39965</v>
      </c>
      <c r="H5745" s="1">
        <v>40128</v>
      </c>
      <c r="I5745" t="s">
        <v>12</v>
      </c>
      <c r="J5745" t="s">
        <v>16515</v>
      </c>
    </row>
    <row r="5746" spans="1:10" x14ac:dyDescent="0.25">
      <c r="A5746">
        <v>457023</v>
      </c>
      <c r="B5746" t="s">
        <v>6006</v>
      </c>
      <c r="C5746" t="str">
        <f>"9780816065998"</f>
        <v>9780816065998</v>
      </c>
      <c r="D5746" t="str">
        <f>"9781438126838"</f>
        <v>9781438126838</v>
      </c>
      <c r="E5746" t="s">
        <v>2998</v>
      </c>
      <c r="F5746" t="s">
        <v>2999</v>
      </c>
      <c r="G5746" s="1">
        <v>39722</v>
      </c>
      <c r="H5746" s="1">
        <v>40128</v>
      </c>
      <c r="I5746" t="s">
        <v>12</v>
      </c>
      <c r="J5746" t="s">
        <v>16516</v>
      </c>
    </row>
    <row r="5747" spans="1:10" x14ac:dyDescent="0.25">
      <c r="A5747">
        <v>457025</v>
      </c>
      <c r="B5747" t="s">
        <v>6007</v>
      </c>
      <c r="C5747" t="str">
        <f>"9780816071982"</f>
        <v>9780816071982</v>
      </c>
      <c r="D5747" t="str">
        <f>"9781438126104"</f>
        <v>9781438126104</v>
      </c>
      <c r="E5747" t="s">
        <v>2998</v>
      </c>
      <c r="F5747" t="s">
        <v>2999</v>
      </c>
      <c r="G5747" s="1">
        <v>39995</v>
      </c>
      <c r="H5747" s="1">
        <v>40128</v>
      </c>
      <c r="I5747" t="s">
        <v>12</v>
      </c>
      <c r="J5747" t="s">
        <v>16517</v>
      </c>
    </row>
    <row r="5748" spans="1:10" x14ac:dyDescent="0.25">
      <c r="A5748">
        <v>457028</v>
      </c>
      <c r="B5748" t="s">
        <v>6008</v>
      </c>
      <c r="C5748" t="str">
        <f>"9780816076116"</f>
        <v>9780816076116</v>
      </c>
      <c r="D5748" t="str">
        <f>"9781438117423"</f>
        <v>9781438117423</v>
      </c>
      <c r="E5748" t="s">
        <v>2998</v>
      </c>
      <c r="F5748" t="s">
        <v>2999</v>
      </c>
      <c r="G5748" s="1">
        <v>39965</v>
      </c>
      <c r="H5748" s="1">
        <v>40128</v>
      </c>
      <c r="I5748" t="s">
        <v>12</v>
      </c>
      <c r="J5748" t="s">
        <v>16518</v>
      </c>
    </row>
    <row r="5749" spans="1:10" x14ac:dyDescent="0.25">
      <c r="A5749">
        <v>457049</v>
      </c>
      <c r="B5749" t="s">
        <v>6009</v>
      </c>
      <c r="C5749" t="str">
        <f>"9780816043880"</f>
        <v>9780816043880</v>
      </c>
      <c r="D5749" t="str">
        <f>"9781438124421"</f>
        <v>9781438124421</v>
      </c>
      <c r="E5749" t="s">
        <v>2998</v>
      </c>
      <c r="F5749" t="s">
        <v>2999</v>
      </c>
      <c r="G5749" s="1">
        <v>37377</v>
      </c>
      <c r="H5749" s="1">
        <v>40128</v>
      </c>
      <c r="I5749" t="s">
        <v>12</v>
      </c>
      <c r="J5749" t="s">
        <v>16519</v>
      </c>
    </row>
    <row r="5750" spans="1:10" x14ac:dyDescent="0.25">
      <c r="A5750">
        <v>457054</v>
      </c>
      <c r="B5750" t="s">
        <v>6010</v>
      </c>
      <c r="C5750" t="str">
        <f>"9780791095423"</f>
        <v>9780791095423</v>
      </c>
      <c r="D5750" t="str">
        <f>"9781438126579"</f>
        <v>9781438126579</v>
      </c>
      <c r="E5750" t="s">
        <v>2998</v>
      </c>
      <c r="F5750" t="s">
        <v>3008</v>
      </c>
      <c r="G5750" s="1">
        <v>39965</v>
      </c>
      <c r="H5750" s="1">
        <v>40128</v>
      </c>
      <c r="I5750" t="s">
        <v>12</v>
      </c>
      <c r="J5750" t="s">
        <v>16520</v>
      </c>
    </row>
    <row r="5751" spans="1:10" x14ac:dyDescent="0.25">
      <c r="A5751">
        <v>457085</v>
      </c>
      <c r="B5751" t="s">
        <v>6011</v>
      </c>
      <c r="C5751" t="str">
        <f>"9781841502687"</f>
        <v>9781841502687</v>
      </c>
      <c r="D5751" t="str">
        <f>"9781841503417"</f>
        <v>9781841503417</v>
      </c>
      <c r="E5751" t="s">
        <v>2646</v>
      </c>
      <c r="F5751" t="s">
        <v>2647</v>
      </c>
      <c r="G5751" s="1">
        <v>40057</v>
      </c>
      <c r="H5751" s="1">
        <v>40128</v>
      </c>
      <c r="I5751" t="s">
        <v>12</v>
      </c>
      <c r="J5751" t="s">
        <v>16521</v>
      </c>
    </row>
    <row r="5752" spans="1:10" x14ac:dyDescent="0.25">
      <c r="A5752">
        <v>457194</v>
      </c>
      <c r="B5752" t="s">
        <v>6012</v>
      </c>
      <c r="C5752" t="str">
        <f>"9780981642659"</f>
        <v>9780981642659</v>
      </c>
      <c r="D5752" t="str">
        <f>"9780981642680"</f>
        <v>9780981642680</v>
      </c>
      <c r="E5752" t="s">
        <v>6013</v>
      </c>
      <c r="F5752" t="s">
        <v>6013</v>
      </c>
      <c r="G5752" s="1">
        <v>40057</v>
      </c>
      <c r="H5752" s="1">
        <v>40116</v>
      </c>
      <c r="I5752" t="s">
        <v>12</v>
      </c>
      <c r="J5752" t="s">
        <v>16522</v>
      </c>
    </row>
    <row r="5753" spans="1:10" x14ac:dyDescent="0.25">
      <c r="A5753">
        <v>457197</v>
      </c>
      <c r="B5753" t="s">
        <v>6014</v>
      </c>
      <c r="C5753" t="str">
        <f>"9781933065144"</f>
        <v>9781933065144</v>
      </c>
      <c r="D5753" t="str">
        <f>"9781933065151"</f>
        <v>9781933065151</v>
      </c>
      <c r="E5753" t="s">
        <v>6015</v>
      </c>
      <c r="F5753" t="s">
        <v>6015</v>
      </c>
      <c r="G5753" s="1">
        <v>40067</v>
      </c>
      <c r="H5753" s="1">
        <v>40086</v>
      </c>
      <c r="I5753" t="s">
        <v>12</v>
      </c>
      <c r="J5753" t="s">
        <v>16523</v>
      </c>
    </row>
    <row r="5754" spans="1:10" x14ac:dyDescent="0.25">
      <c r="A5754">
        <v>457202</v>
      </c>
      <c r="B5754" t="s">
        <v>6016</v>
      </c>
      <c r="C5754" t="str">
        <f>"9781889140179"</f>
        <v>9781889140179</v>
      </c>
      <c r="D5754" t="str">
        <f>"9781889140360"</f>
        <v>9781889140360</v>
      </c>
      <c r="E5754" t="s">
        <v>6017</v>
      </c>
      <c r="F5754" t="s">
        <v>6017</v>
      </c>
      <c r="G5754" s="1">
        <v>38231</v>
      </c>
      <c r="H5754" s="1">
        <v>40098</v>
      </c>
      <c r="I5754" t="s">
        <v>12</v>
      </c>
      <c r="J5754" t="s">
        <v>16524</v>
      </c>
    </row>
    <row r="5755" spans="1:10" x14ac:dyDescent="0.25">
      <c r="A5755">
        <v>457247</v>
      </c>
      <c r="B5755" t="s">
        <v>6018</v>
      </c>
      <c r="C5755" t="str">
        <f>"9781933065106"</f>
        <v>9781933065106</v>
      </c>
      <c r="D5755" t="str">
        <f>"9781933065113"</f>
        <v>9781933065113</v>
      </c>
      <c r="E5755" t="s">
        <v>6015</v>
      </c>
      <c r="F5755" t="s">
        <v>6015</v>
      </c>
      <c r="G5755" s="1">
        <v>39539</v>
      </c>
      <c r="H5755" s="1">
        <v>40086</v>
      </c>
      <c r="I5755" t="s">
        <v>12</v>
      </c>
      <c r="J5755" t="s">
        <v>16525</v>
      </c>
    </row>
    <row r="5756" spans="1:10" x14ac:dyDescent="0.25">
      <c r="A5756">
        <v>457277</v>
      </c>
      <c r="B5756" t="s">
        <v>6019</v>
      </c>
      <c r="C5756" t="str">
        <f>"9781934155110"</f>
        <v>9781934155110</v>
      </c>
      <c r="D5756" t="str">
        <f>"9781934155257"</f>
        <v>9781934155257</v>
      </c>
      <c r="E5756" t="s">
        <v>6020</v>
      </c>
      <c r="F5756" t="s">
        <v>6020</v>
      </c>
      <c r="G5756" s="1">
        <v>39722</v>
      </c>
      <c r="H5756" s="1">
        <v>40194</v>
      </c>
      <c r="I5756" t="s">
        <v>12</v>
      </c>
      <c r="J5756" t="s">
        <v>16526</v>
      </c>
    </row>
    <row r="5757" spans="1:10" x14ac:dyDescent="0.25">
      <c r="A5757">
        <v>457295</v>
      </c>
      <c r="B5757" t="s">
        <v>6021</v>
      </c>
      <c r="C5757" t="str">
        <f>"9781933065083"</f>
        <v>9781933065083</v>
      </c>
      <c r="D5757" t="str">
        <f>"9781933065090"</f>
        <v>9781933065090</v>
      </c>
      <c r="E5757" t="s">
        <v>6015</v>
      </c>
      <c r="F5757" t="s">
        <v>6015</v>
      </c>
      <c r="G5757" s="1">
        <v>39173</v>
      </c>
      <c r="H5757" s="1">
        <v>40245</v>
      </c>
      <c r="I5757" t="s">
        <v>12</v>
      </c>
      <c r="J5757" t="s">
        <v>16527</v>
      </c>
    </row>
    <row r="5758" spans="1:10" x14ac:dyDescent="0.25">
      <c r="A5758">
        <v>457296</v>
      </c>
      <c r="B5758" t="s">
        <v>6022</v>
      </c>
      <c r="C5758" t="str">
        <f>"9781933065045"</f>
        <v>9781933065045</v>
      </c>
      <c r="D5758" t="str">
        <f>"9781933065052"</f>
        <v>9781933065052</v>
      </c>
      <c r="E5758" t="s">
        <v>6015</v>
      </c>
      <c r="F5758" t="s">
        <v>6015</v>
      </c>
      <c r="G5758" s="1">
        <v>38412</v>
      </c>
      <c r="H5758" s="1">
        <v>40086</v>
      </c>
      <c r="I5758" t="s">
        <v>12</v>
      </c>
      <c r="J5758" t="s">
        <v>16528</v>
      </c>
    </row>
    <row r="5759" spans="1:10" x14ac:dyDescent="0.25">
      <c r="A5759">
        <v>457307</v>
      </c>
      <c r="B5759" t="s">
        <v>6023</v>
      </c>
      <c r="C5759" t="str">
        <f>"9780935526653"</f>
        <v>9780935526653</v>
      </c>
      <c r="D5759" t="str">
        <f>"9781590134306"</f>
        <v>9781590134306</v>
      </c>
      <c r="E5759" t="s">
        <v>6024</v>
      </c>
      <c r="F5759" t="s">
        <v>6024</v>
      </c>
      <c r="G5759" s="1">
        <v>36434</v>
      </c>
      <c r="H5759" s="1">
        <v>40086</v>
      </c>
      <c r="I5759" t="s">
        <v>12</v>
      </c>
      <c r="J5759" t="s">
        <v>16529</v>
      </c>
    </row>
    <row r="5760" spans="1:10" x14ac:dyDescent="0.25">
      <c r="A5760">
        <v>457371</v>
      </c>
      <c r="B5760" t="s">
        <v>6025</v>
      </c>
      <c r="C5760" t="str">
        <f>"9780826105516"</f>
        <v>9780826105516</v>
      </c>
      <c r="D5760" t="str">
        <f>"9780826105523"</f>
        <v>9780826105523</v>
      </c>
      <c r="E5760" t="s">
        <v>3016</v>
      </c>
      <c r="F5760" t="s">
        <v>3016</v>
      </c>
      <c r="G5760" s="1">
        <v>40014</v>
      </c>
      <c r="H5760" s="1">
        <v>40144</v>
      </c>
      <c r="I5760" t="s">
        <v>12</v>
      </c>
      <c r="J5760" t="s">
        <v>16530</v>
      </c>
    </row>
    <row r="5761" spans="1:10" x14ac:dyDescent="0.25">
      <c r="A5761">
        <v>457396</v>
      </c>
      <c r="B5761" t="s">
        <v>6026</v>
      </c>
      <c r="C5761" t="str">
        <f>"9780226774589"</f>
        <v>9780226774589</v>
      </c>
      <c r="D5761" t="str">
        <f>"9780226774602"</f>
        <v>9780226774602</v>
      </c>
      <c r="E5761" t="s">
        <v>5187</v>
      </c>
      <c r="F5761" t="s">
        <v>5187</v>
      </c>
      <c r="G5761" s="1">
        <v>40026</v>
      </c>
      <c r="H5761" s="1">
        <v>42191</v>
      </c>
      <c r="I5761" t="s">
        <v>12</v>
      </c>
      <c r="J5761" t="s">
        <v>16531</v>
      </c>
    </row>
    <row r="5762" spans="1:10" x14ac:dyDescent="0.25">
      <c r="A5762">
        <v>457397</v>
      </c>
      <c r="B5762" t="s">
        <v>6027</v>
      </c>
      <c r="C5762" t="str">
        <f>"9780226993355"</f>
        <v>9780226993355</v>
      </c>
      <c r="D5762" t="str">
        <f>"9780226993386"</f>
        <v>9780226993386</v>
      </c>
      <c r="E5762" t="s">
        <v>5187</v>
      </c>
      <c r="F5762" t="s">
        <v>5187</v>
      </c>
      <c r="G5762" s="1">
        <v>40026</v>
      </c>
      <c r="H5762" s="1">
        <v>40697</v>
      </c>
      <c r="I5762" t="s">
        <v>12</v>
      </c>
      <c r="J5762" t="s">
        <v>16532</v>
      </c>
    </row>
    <row r="5763" spans="1:10" x14ac:dyDescent="0.25">
      <c r="A5763">
        <v>457555</v>
      </c>
      <c r="B5763" t="s">
        <v>6028</v>
      </c>
      <c r="C5763" t="str">
        <f>"9780749454074"</f>
        <v>9780749454074</v>
      </c>
      <c r="D5763" t="str">
        <f>"9780749457358"</f>
        <v>9780749457358</v>
      </c>
      <c r="E5763" t="s">
        <v>1059</v>
      </c>
      <c r="F5763" t="s">
        <v>1059</v>
      </c>
      <c r="G5763" s="1">
        <v>39934</v>
      </c>
      <c r="H5763" s="1">
        <v>40124</v>
      </c>
      <c r="I5763" t="s">
        <v>12</v>
      </c>
      <c r="J5763" t="s">
        <v>16533</v>
      </c>
    </row>
    <row r="5764" spans="1:10" x14ac:dyDescent="0.25">
      <c r="A5764">
        <v>457558</v>
      </c>
      <c r="B5764" t="s">
        <v>6029</v>
      </c>
      <c r="C5764" t="str">
        <f>"9780749453862"</f>
        <v>9780749453862</v>
      </c>
      <c r="D5764" t="str">
        <f>"9780749457525"</f>
        <v>9780749457525</v>
      </c>
      <c r="E5764" t="s">
        <v>1059</v>
      </c>
      <c r="F5764" t="s">
        <v>1059</v>
      </c>
      <c r="G5764" s="1">
        <v>40022</v>
      </c>
      <c r="H5764" s="1">
        <v>40106</v>
      </c>
      <c r="I5764" t="s">
        <v>12</v>
      </c>
      <c r="J5764" t="s">
        <v>16534</v>
      </c>
    </row>
    <row r="5765" spans="1:10" x14ac:dyDescent="0.25">
      <c r="A5765">
        <v>457559</v>
      </c>
      <c r="B5765" t="s">
        <v>6030</v>
      </c>
      <c r="C5765" t="str">
        <f>"9780749449681"</f>
        <v>9780749449681</v>
      </c>
      <c r="D5765" t="str">
        <f>"9780749457426"</f>
        <v>9780749457426</v>
      </c>
      <c r="E5765" t="s">
        <v>1770</v>
      </c>
      <c r="F5765" t="s">
        <v>1770</v>
      </c>
      <c r="G5765" s="1">
        <v>39965</v>
      </c>
      <c r="H5765" s="1">
        <v>40124</v>
      </c>
      <c r="I5765" t="s">
        <v>12</v>
      </c>
      <c r="J5765" t="s">
        <v>16535</v>
      </c>
    </row>
    <row r="5766" spans="1:10" x14ac:dyDescent="0.25">
      <c r="A5766">
        <v>457565</v>
      </c>
      <c r="B5766" t="s">
        <v>6031</v>
      </c>
      <c r="C5766" t="str">
        <f>"9780749465506"</f>
        <v>9780749465506</v>
      </c>
      <c r="D5766" t="str">
        <f>"9780749457389"</f>
        <v>9780749457389</v>
      </c>
      <c r="E5766" t="s">
        <v>1059</v>
      </c>
      <c r="F5766" t="s">
        <v>1059</v>
      </c>
      <c r="G5766" s="1">
        <v>41032</v>
      </c>
      <c r="H5766" s="1">
        <v>41324</v>
      </c>
      <c r="I5766" t="s">
        <v>12</v>
      </c>
      <c r="J5766" t="s">
        <v>16536</v>
      </c>
    </row>
    <row r="5767" spans="1:10" x14ac:dyDescent="0.25">
      <c r="A5767">
        <v>457570</v>
      </c>
      <c r="B5767" t="s">
        <v>6032</v>
      </c>
      <c r="C5767" t="str">
        <f>"9780749454104"</f>
        <v>9780749454104</v>
      </c>
      <c r="D5767" t="str">
        <f>"9780749457457"</f>
        <v>9780749457457</v>
      </c>
      <c r="E5767" t="s">
        <v>1059</v>
      </c>
      <c r="F5767" t="s">
        <v>1059</v>
      </c>
      <c r="G5767" s="1">
        <v>39992</v>
      </c>
      <c r="H5767" s="1">
        <v>40124</v>
      </c>
      <c r="I5767" t="s">
        <v>12</v>
      </c>
      <c r="J5767" t="s">
        <v>16537</v>
      </c>
    </row>
    <row r="5768" spans="1:10" x14ac:dyDescent="0.25">
      <c r="A5768">
        <v>457578</v>
      </c>
      <c r="B5768" t="s">
        <v>6033</v>
      </c>
      <c r="C5768" t="str">
        <f>"9780749455088"</f>
        <v>9780749455088</v>
      </c>
      <c r="D5768" t="str">
        <f>"9780749456146"</f>
        <v>9780749456146</v>
      </c>
      <c r="E5768" t="s">
        <v>1059</v>
      </c>
      <c r="F5768" t="s">
        <v>1059</v>
      </c>
      <c r="G5768" s="1">
        <v>39904</v>
      </c>
      <c r="H5768" s="1">
        <v>40124</v>
      </c>
      <c r="I5768" t="s">
        <v>12</v>
      </c>
      <c r="J5768" t="s">
        <v>16538</v>
      </c>
    </row>
    <row r="5769" spans="1:10" x14ac:dyDescent="0.25">
      <c r="A5769">
        <v>457729</v>
      </c>
      <c r="B5769" t="s">
        <v>6034</v>
      </c>
      <c r="C5769" t="str">
        <f>"9780691115955"</f>
        <v>9780691115955</v>
      </c>
      <c r="D5769" t="str">
        <f>"9781400827169"</f>
        <v>9781400827169</v>
      </c>
      <c r="E5769" t="s">
        <v>5831</v>
      </c>
      <c r="F5769" t="s">
        <v>5831</v>
      </c>
      <c r="G5769" s="1">
        <v>38921</v>
      </c>
      <c r="H5769" s="1">
        <v>40218</v>
      </c>
      <c r="I5769" t="s">
        <v>12</v>
      </c>
      <c r="J5769" t="s">
        <v>16539</v>
      </c>
    </row>
    <row r="5770" spans="1:10" x14ac:dyDescent="0.25">
      <c r="A5770">
        <v>457745</v>
      </c>
      <c r="B5770" t="s">
        <v>6035</v>
      </c>
      <c r="C5770" t="str">
        <f>"9780691123882"</f>
        <v>9780691123882</v>
      </c>
      <c r="D5770" t="str">
        <f>"9781400826070"</f>
        <v>9781400826070</v>
      </c>
      <c r="E5770" t="s">
        <v>5831</v>
      </c>
      <c r="F5770" t="s">
        <v>5831</v>
      </c>
      <c r="G5770" s="1">
        <v>38578</v>
      </c>
      <c r="H5770" s="1">
        <v>40218</v>
      </c>
      <c r="I5770" t="s">
        <v>12</v>
      </c>
      <c r="J5770" t="s">
        <v>16540</v>
      </c>
    </row>
    <row r="5771" spans="1:10" x14ac:dyDescent="0.25">
      <c r="A5771">
        <v>457761</v>
      </c>
      <c r="B5771" t="s">
        <v>6036</v>
      </c>
      <c r="C5771" t="str">
        <f>"9780691164663"</f>
        <v>9780691164663</v>
      </c>
      <c r="D5771" t="str">
        <f>"9781400824175"</f>
        <v>9781400824175</v>
      </c>
      <c r="E5771" t="s">
        <v>5831</v>
      </c>
      <c r="F5771" t="s">
        <v>5831</v>
      </c>
      <c r="G5771" s="1">
        <v>39517</v>
      </c>
      <c r="H5771" s="1">
        <v>40216</v>
      </c>
      <c r="I5771" t="s">
        <v>12</v>
      </c>
      <c r="J5771" t="s">
        <v>16541</v>
      </c>
    </row>
    <row r="5772" spans="1:10" x14ac:dyDescent="0.25">
      <c r="A5772">
        <v>457794</v>
      </c>
      <c r="B5772" t="s">
        <v>6037</v>
      </c>
      <c r="C5772" t="str">
        <f>"9780691123912"</f>
        <v>9780691123912</v>
      </c>
      <c r="D5772" t="str">
        <f>"9781400826049"</f>
        <v>9781400826049</v>
      </c>
      <c r="E5772" t="s">
        <v>5831</v>
      </c>
      <c r="F5772" t="s">
        <v>5831</v>
      </c>
      <c r="G5772" s="1">
        <v>38662</v>
      </c>
      <c r="H5772" s="1">
        <v>40144</v>
      </c>
      <c r="I5772" t="s">
        <v>12</v>
      </c>
      <c r="J5772" t="s">
        <v>16542</v>
      </c>
    </row>
    <row r="5773" spans="1:10" x14ac:dyDescent="0.25">
      <c r="A5773">
        <v>457813</v>
      </c>
      <c r="B5773" t="s">
        <v>6038</v>
      </c>
      <c r="C5773" t="str">
        <f>"9780691092584"</f>
        <v>9780691092584</v>
      </c>
      <c r="D5773" t="str">
        <f>"9781400825301"</f>
        <v>9781400825301</v>
      </c>
      <c r="E5773" t="s">
        <v>5831</v>
      </c>
      <c r="F5773" t="s">
        <v>5831</v>
      </c>
      <c r="G5773" s="1">
        <v>37458</v>
      </c>
      <c r="H5773" s="1">
        <v>40218</v>
      </c>
      <c r="I5773" t="s">
        <v>12</v>
      </c>
      <c r="J5773" t="s">
        <v>16543</v>
      </c>
    </row>
    <row r="5774" spans="1:10" x14ac:dyDescent="0.25">
      <c r="A5774">
        <v>457824</v>
      </c>
      <c r="B5774" t="s">
        <v>6039</v>
      </c>
      <c r="C5774" t="str">
        <f>"9780691129891"</f>
        <v>9780691129891</v>
      </c>
      <c r="D5774" t="str">
        <f>"9781400824168"</f>
        <v>9781400824168</v>
      </c>
      <c r="E5774" t="s">
        <v>5831</v>
      </c>
      <c r="F5774" t="s">
        <v>5831</v>
      </c>
      <c r="G5774" s="1">
        <v>39418</v>
      </c>
      <c r="H5774" s="1">
        <v>40216</v>
      </c>
      <c r="I5774" t="s">
        <v>12</v>
      </c>
      <c r="J5774" t="s">
        <v>16544</v>
      </c>
    </row>
    <row r="5775" spans="1:10" x14ac:dyDescent="0.25">
      <c r="A5775">
        <v>457929</v>
      </c>
      <c r="B5775" t="s">
        <v>6040</v>
      </c>
      <c r="C5775" t="str">
        <f>"9780691096810"</f>
        <v>9780691096810</v>
      </c>
      <c r="D5775" t="str">
        <f>"9781400827923"</f>
        <v>9781400827923</v>
      </c>
      <c r="E5775" t="s">
        <v>5831</v>
      </c>
      <c r="F5775" t="s">
        <v>5831</v>
      </c>
      <c r="G5775" s="1">
        <v>39299</v>
      </c>
      <c r="H5775" s="1">
        <v>40225</v>
      </c>
      <c r="I5775" t="s">
        <v>12</v>
      </c>
      <c r="J5775" t="s">
        <v>16545</v>
      </c>
    </row>
    <row r="5776" spans="1:10" x14ac:dyDescent="0.25">
      <c r="A5776">
        <v>457947</v>
      </c>
      <c r="B5776" t="s">
        <v>6041</v>
      </c>
      <c r="C5776" t="str">
        <f>"9780691155456"</f>
        <v>9780691155456</v>
      </c>
      <c r="D5776" t="str">
        <f>"9781400827435"</f>
        <v>9781400827435</v>
      </c>
      <c r="E5776" t="s">
        <v>5831</v>
      </c>
      <c r="F5776" t="s">
        <v>5831</v>
      </c>
      <c r="G5776" s="1">
        <v>39075</v>
      </c>
      <c r="H5776" s="1">
        <v>40144</v>
      </c>
      <c r="I5776" t="s">
        <v>12</v>
      </c>
      <c r="J5776" t="s">
        <v>16546</v>
      </c>
    </row>
    <row r="5777" spans="1:10" x14ac:dyDescent="0.25">
      <c r="A5777">
        <v>458396</v>
      </c>
      <c r="B5777" t="s">
        <v>6042</v>
      </c>
      <c r="C5777" t="str">
        <f>"9781741752144"</f>
        <v>9781741752144</v>
      </c>
      <c r="D5777" t="str">
        <f>"9781741762419"</f>
        <v>9781741762419</v>
      </c>
      <c r="E5777" t="s">
        <v>979</v>
      </c>
      <c r="F5777" t="s">
        <v>979</v>
      </c>
      <c r="G5777" s="1">
        <v>39904</v>
      </c>
      <c r="H5777" s="1">
        <v>40095</v>
      </c>
      <c r="I5777" t="s">
        <v>12</v>
      </c>
      <c r="J5777" t="s">
        <v>16547</v>
      </c>
    </row>
    <row r="5778" spans="1:10" x14ac:dyDescent="0.25">
      <c r="A5778">
        <v>460058</v>
      </c>
      <c r="B5778" t="s">
        <v>6043</v>
      </c>
      <c r="C5778" t="str">
        <f>"9780749464981"</f>
        <v>9780749464981</v>
      </c>
      <c r="D5778" t="str">
        <f>"9780749457563"</f>
        <v>9780749457563</v>
      </c>
      <c r="E5778" t="s">
        <v>1059</v>
      </c>
      <c r="F5778" t="s">
        <v>1059</v>
      </c>
      <c r="G5778" s="1">
        <v>41093</v>
      </c>
      <c r="H5778" s="1">
        <v>41418</v>
      </c>
      <c r="I5778" t="s">
        <v>12</v>
      </c>
      <c r="J5778" t="s">
        <v>16548</v>
      </c>
    </row>
    <row r="5779" spans="1:10" x14ac:dyDescent="0.25">
      <c r="A5779">
        <v>460059</v>
      </c>
      <c r="B5779" t="s">
        <v>6044</v>
      </c>
      <c r="C5779" t="str">
        <f>"9780749466626"</f>
        <v>9780749466626</v>
      </c>
      <c r="D5779" t="str">
        <f>"9780749455996"</f>
        <v>9780749455996</v>
      </c>
      <c r="E5779" t="s">
        <v>1770</v>
      </c>
      <c r="F5779" t="s">
        <v>1770</v>
      </c>
      <c r="G5779" s="1">
        <v>41397</v>
      </c>
      <c r="H5779" s="1">
        <v>42016</v>
      </c>
      <c r="I5779" t="s">
        <v>12</v>
      </c>
      <c r="J5779" t="s">
        <v>16549</v>
      </c>
    </row>
    <row r="5780" spans="1:10" x14ac:dyDescent="0.25">
      <c r="A5780">
        <v>460404</v>
      </c>
      <c r="B5780" t="s">
        <v>6045</v>
      </c>
      <c r="C5780" t="str">
        <f>"9781606234075"</f>
        <v>9781606234075</v>
      </c>
      <c r="D5780" t="str">
        <f>"9781606234099"</f>
        <v>9781606234099</v>
      </c>
      <c r="E5780" t="s">
        <v>3740</v>
      </c>
      <c r="F5780" t="s">
        <v>3741</v>
      </c>
      <c r="G5780" s="1">
        <v>41773</v>
      </c>
      <c r="H5780" s="1">
        <v>40111</v>
      </c>
      <c r="I5780" t="s">
        <v>12</v>
      </c>
      <c r="J5780" t="s">
        <v>16550</v>
      </c>
    </row>
    <row r="5781" spans="1:10" x14ac:dyDescent="0.25">
      <c r="A5781">
        <v>460405</v>
      </c>
      <c r="B5781" t="s">
        <v>6046</v>
      </c>
      <c r="C5781" t="str">
        <f>"9781606233320"</f>
        <v>9781606233320</v>
      </c>
      <c r="D5781" t="str">
        <f>"9781606233337"</f>
        <v>9781606233337</v>
      </c>
      <c r="E5781" t="s">
        <v>3740</v>
      </c>
      <c r="F5781" t="s">
        <v>3741</v>
      </c>
      <c r="G5781" s="1">
        <v>40035</v>
      </c>
      <c r="H5781" s="1">
        <v>40111</v>
      </c>
      <c r="I5781" t="s">
        <v>12</v>
      </c>
      <c r="J5781" t="s">
        <v>16551</v>
      </c>
    </row>
    <row r="5782" spans="1:10" x14ac:dyDescent="0.25">
      <c r="A5782">
        <v>460412</v>
      </c>
      <c r="B5782" t="s">
        <v>6047</v>
      </c>
      <c r="C5782" t="str">
        <f>"9781606233252"</f>
        <v>9781606233252</v>
      </c>
      <c r="D5782" t="str">
        <f>"9781606233269"</f>
        <v>9781606233269</v>
      </c>
      <c r="E5782" t="s">
        <v>3740</v>
      </c>
      <c r="F5782" t="s">
        <v>3741</v>
      </c>
      <c r="G5782" s="1">
        <v>40035</v>
      </c>
      <c r="H5782" s="1">
        <v>40111</v>
      </c>
      <c r="I5782" t="s">
        <v>12</v>
      </c>
      <c r="J5782" t="s">
        <v>16552</v>
      </c>
    </row>
    <row r="5783" spans="1:10" x14ac:dyDescent="0.25">
      <c r="A5783">
        <v>465114</v>
      </c>
      <c r="B5783" t="s">
        <v>6048</v>
      </c>
      <c r="C5783" t="str">
        <f>"9781412934145"</f>
        <v>9781412934145</v>
      </c>
      <c r="D5783" t="str">
        <f>"9781849208345"</f>
        <v>9781849208345</v>
      </c>
      <c r="E5783" t="s">
        <v>1569</v>
      </c>
      <c r="F5783" t="s">
        <v>1570</v>
      </c>
      <c r="G5783" s="1">
        <v>39650</v>
      </c>
      <c r="H5783" s="1">
        <v>40156</v>
      </c>
      <c r="I5783" t="s">
        <v>12</v>
      </c>
      <c r="J5783" t="s">
        <v>16553</v>
      </c>
    </row>
    <row r="5784" spans="1:10" x14ac:dyDescent="0.25">
      <c r="A5784">
        <v>465117</v>
      </c>
      <c r="B5784" t="s">
        <v>6049</v>
      </c>
      <c r="C5784" t="str">
        <f>"9781412945158"</f>
        <v>9781412945158</v>
      </c>
      <c r="D5784" t="str">
        <f>"9781849204491"</f>
        <v>9781849204491</v>
      </c>
      <c r="E5784" t="s">
        <v>1569</v>
      </c>
      <c r="F5784" t="s">
        <v>1570</v>
      </c>
      <c r="G5784" s="1">
        <v>40074</v>
      </c>
      <c r="H5784" s="1">
        <v>40156</v>
      </c>
      <c r="I5784" t="s">
        <v>12</v>
      </c>
      <c r="J5784" t="s">
        <v>16554</v>
      </c>
    </row>
    <row r="5785" spans="1:10" x14ac:dyDescent="0.25">
      <c r="A5785">
        <v>465120</v>
      </c>
      <c r="B5785" t="s">
        <v>6050</v>
      </c>
      <c r="C5785" t="str">
        <f>"9781412945523"</f>
        <v>9781412945523</v>
      </c>
      <c r="D5785" t="str">
        <f>"9781849204392"</f>
        <v>9781849204392</v>
      </c>
      <c r="E5785" t="s">
        <v>1569</v>
      </c>
      <c r="F5785" t="s">
        <v>1570</v>
      </c>
      <c r="G5785" s="1">
        <v>40082</v>
      </c>
      <c r="H5785" s="1">
        <v>40156</v>
      </c>
      <c r="I5785" t="s">
        <v>12</v>
      </c>
      <c r="J5785" t="s">
        <v>16555</v>
      </c>
    </row>
    <row r="5786" spans="1:10" x14ac:dyDescent="0.25">
      <c r="A5786">
        <v>465121</v>
      </c>
      <c r="B5786" t="s">
        <v>6051</v>
      </c>
      <c r="C5786" t="str">
        <f>"9781412902687"</f>
        <v>9781412902687</v>
      </c>
      <c r="D5786" t="str">
        <f>"9781849208307"</f>
        <v>9781849208307</v>
      </c>
      <c r="E5786" t="s">
        <v>1569</v>
      </c>
      <c r="F5786" t="s">
        <v>1570</v>
      </c>
      <c r="G5786" s="1">
        <v>39251</v>
      </c>
      <c r="H5786" s="1">
        <v>40156</v>
      </c>
      <c r="I5786" t="s">
        <v>12</v>
      </c>
      <c r="J5786" t="s">
        <v>16556</v>
      </c>
    </row>
    <row r="5787" spans="1:10" x14ac:dyDescent="0.25">
      <c r="A5787">
        <v>465123</v>
      </c>
      <c r="B5787" t="s">
        <v>6052</v>
      </c>
      <c r="C5787" t="str">
        <f>"9781412946315"</f>
        <v>9781412946315</v>
      </c>
      <c r="D5787" t="str">
        <f>"9781849208376"</f>
        <v>9781849208376</v>
      </c>
      <c r="E5787" t="s">
        <v>1569</v>
      </c>
      <c r="F5787" t="s">
        <v>1570</v>
      </c>
      <c r="G5787" s="1">
        <v>39714</v>
      </c>
      <c r="H5787" s="1">
        <v>40156</v>
      </c>
      <c r="I5787" t="s">
        <v>12</v>
      </c>
      <c r="J5787" t="s">
        <v>16557</v>
      </c>
    </row>
    <row r="5788" spans="1:10" x14ac:dyDescent="0.25">
      <c r="A5788">
        <v>465754</v>
      </c>
      <c r="B5788" t="s">
        <v>6053</v>
      </c>
      <c r="C5788" t="str">
        <f>"9781843109389"</f>
        <v>9781843109389</v>
      </c>
      <c r="D5788" t="str">
        <f>"9781846429385"</f>
        <v>9781846429385</v>
      </c>
      <c r="E5788" t="s">
        <v>2950</v>
      </c>
      <c r="F5788" t="s">
        <v>2950</v>
      </c>
      <c r="G5788" s="1">
        <v>39918</v>
      </c>
      <c r="H5788" s="1">
        <v>40089</v>
      </c>
      <c r="I5788" t="s">
        <v>12</v>
      </c>
      <c r="J5788" t="s">
        <v>16558</v>
      </c>
    </row>
    <row r="5789" spans="1:10" x14ac:dyDescent="0.25">
      <c r="A5789">
        <v>465758</v>
      </c>
      <c r="B5789" t="s">
        <v>6054</v>
      </c>
      <c r="C5789" t="str">
        <f>"9781843106609"</f>
        <v>9781843106609</v>
      </c>
      <c r="D5789" t="str">
        <f>"9781846429262"</f>
        <v>9781846429262</v>
      </c>
      <c r="E5789" t="s">
        <v>2950</v>
      </c>
      <c r="F5789" t="s">
        <v>2950</v>
      </c>
      <c r="G5789" s="1">
        <v>39887</v>
      </c>
      <c r="H5789" s="1">
        <v>40089</v>
      </c>
      <c r="I5789" t="s">
        <v>12</v>
      </c>
      <c r="J5789" t="s">
        <v>16559</v>
      </c>
    </row>
    <row r="5790" spans="1:10" x14ac:dyDescent="0.25">
      <c r="A5790">
        <v>465766</v>
      </c>
      <c r="B5790" t="s">
        <v>6055</v>
      </c>
      <c r="C5790" t="str">
        <f>"9781843106555"</f>
        <v>9781843106555</v>
      </c>
      <c r="D5790" t="str">
        <f>"9781846429309"</f>
        <v>9781846429309</v>
      </c>
      <c r="E5790" t="s">
        <v>2950</v>
      </c>
      <c r="F5790" t="s">
        <v>2950</v>
      </c>
      <c r="G5790" s="1">
        <v>39887</v>
      </c>
      <c r="H5790" s="1">
        <v>40089</v>
      </c>
      <c r="I5790" t="s">
        <v>12</v>
      </c>
      <c r="J5790" t="s">
        <v>16560</v>
      </c>
    </row>
    <row r="5791" spans="1:10" x14ac:dyDescent="0.25">
      <c r="A5791">
        <v>465770</v>
      </c>
      <c r="B5791" t="s">
        <v>6056</v>
      </c>
      <c r="C5791" t="str">
        <f>"9781843106616"</f>
        <v>9781843106616</v>
      </c>
      <c r="D5791" t="str">
        <f>"9781846429255"</f>
        <v>9781846429255</v>
      </c>
      <c r="E5791" t="s">
        <v>2950</v>
      </c>
      <c r="F5791" t="s">
        <v>2950</v>
      </c>
      <c r="G5791" s="1">
        <v>39887</v>
      </c>
      <c r="H5791" s="1">
        <v>40089</v>
      </c>
      <c r="I5791" t="s">
        <v>12</v>
      </c>
      <c r="J5791" t="s">
        <v>16561</v>
      </c>
    </row>
    <row r="5792" spans="1:10" x14ac:dyDescent="0.25">
      <c r="A5792">
        <v>465774</v>
      </c>
      <c r="B5792" t="s">
        <v>6057</v>
      </c>
      <c r="C5792" t="str">
        <f>"9781843109754"</f>
        <v>9781843109754</v>
      </c>
      <c r="D5792" t="str">
        <f>"9781846429620"</f>
        <v>9781846429620</v>
      </c>
      <c r="E5792" t="s">
        <v>2950</v>
      </c>
      <c r="F5792" t="s">
        <v>2950</v>
      </c>
      <c r="G5792" s="1">
        <v>40009</v>
      </c>
      <c r="H5792" s="1">
        <v>40089</v>
      </c>
      <c r="I5792" t="s">
        <v>12</v>
      </c>
      <c r="J5792" t="s">
        <v>16562</v>
      </c>
    </row>
    <row r="5793" spans="1:10" x14ac:dyDescent="0.25">
      <c r="A5793">
        <v>465775</v>
      </c>
      <c r="B5793" t="s">
        <v>6058</v>
      </c>
      <c r="C5793" t="str">
        <f>"9781843106524"</f>
        <v>9781843106524</v>
      </c>
      <c r="D5793" t="str">
        <f>"9781846429538"</f>
        <v>9781846429538</v>
      </c>
      <c r="E5793" t="s">
        <v>2950</v>
      </c>
      <c r="F5793" t="s">
        <v>2950</v>
      </c>
      <c r="G5793" s="1">
        <v>39979</v>
      </c>
      <c r="H5793" s="1">
        <v>40089</v>
      </c>
      <c r="I5793" t="s">
        <v>12</v>
      </c>
      <c r="J5793" t="s">
        <v>16563</v>
      </c>
    </row>
    <row r="5794" spans="1:10" x14ac:dyDescent="0.25">
      <c r="A5794">
        <v>465776</v>
      </c>
      <c r="B5794" t="s">
        <v>6059</v>
      </c>
      <c r="C5794" t="str">
        <f>"9781843109266"</f>
        <v>9781843109266</v>
      </c>
      <c r="D5794" t="str">
        <f>"9781846429125"</f>
        <v>9781846429125</v>
      </c>
      <c r="E5794" t="s">
        <v>2950</v>
      </c>
      <c r="F5794" t="s">
        <v>2950</v>
      </c>
      <c r="G5794" s="1">
        <v>39918</v>
      </c>
      <c r="H5794" s="1">
        <v>40089</v>
      </c>
      <c r="I5794" t="s">
        <v>12</v>
      </c>
      <c r="J5794" t="s">
        <v>16564</v>
      </c>
    </row>
    <row r="5795" spans="1:10" x14ac:dyDescent="0.25">
      <c r="A5795">
        <v>465782</v>
      </c>
      <c r="B5795" t="s">
        <v>6060</v>
      </c>
      <c r="C5795" t="str">
        <f>"9781849058063"</f>
        <v>9781849058063</v>
      </c>
      <c r="D5795" t="str">
        <f>"9781846429613"</f>
        <v>9781846429613</v>
      </c>
      <c r="E5795" t="s">
        <v>2950</v>
      </c>
      <c r="F5795" t="s">
        <v>2950</v>
      </c>
      <c r="G5795" s="1">
        <v>40009</v>
      </c>
      <c r="H5795" s="1">
        <v>40089</v>
      </c>
      <c r="I5795" t="s">
        <v>12</v>
      </c>
      <c r="J5795" t="s">
        <v>16565</v>
      </c>
    </row>
    <row r="5796" spans="1:10" x14ac:dyDescent="0.25">
      <c r="A5796">
        <v>465791</v>
      </c>
      <c r="B5796" t="s">
        <v>6061</v>
      </c>
      <c r="C5796" t="str">
        <f>"9781843108955"</f>
        <v>9781843108955</v>
      </c>
      <c r="D5796" t="str">
        <f>"9781846429224"</f>
        <v>9781846429224</v>
      </c>
      <c r="E5796" t="s">
        <v>2950</v>
      </c>
      <c r="F5796" t="s">
        <v>2950</v>
      </c>
      <c r="G5796" s="1">
        <v>39884</v>
      </c>
      <c r="H5796" s="1">
        <v>40089</v>
      </c>
      <c r="I5796" t="s">
        <v>12</v>
      </c>
      <c r="J5796" t="s">
        <v>16566</v>
      </c>
    </row>
    <row r="5797" spans="1:10" x14ac:dyDescent="0.25">
      <c r="A5797">
        <v>465792</v>
      </c>
      <c r="B5797" t="s">
        <v>6062</v>
      </c>
      <c r="C5797" t="str">
        <f>"9781843106760"</f>
        <v>9781843106760</v>
      </c>
      <c r="D5797" t="str">
        <f>"9781846429644"</f>
        <v>9781846429644</v>
      </c>
      <c r="E5797" t="s">
        <v>2950</v>
      </c>
      <c r="F5797" t="s">
        <v>2950</v>
      </c>
      <c r="G5797" s="1">
        <v>40009</v>
      </c>
      <c r="H5797" s="1">
        <v>40089</v>
      </c>
      <c r="I5797" t="s">
        <v>12</v>
      </c>
      <c r="J5797" t="s">
        <v>16567</v>
      </c>
    </row>
    <row r="5798" spans="1:10" x14ac:dyDescent="0.25">
      <c r="A5798">
        <v>465795</v>
      </c>
      <c r="B5798" t="s">
        <v>6063</v>
      </c>
      <c r="C5798" t="str">
        <f>"9781849050241"</f>
        <v>9781849050241</v>
      </c>
      <c r="D5798" t="str">
        <f>"9781846429583"</f>
        <v>9781846429583</v>
      </c>
      <c r="E5798" t="s">
        <v>2950</v>
      </c>
      <c r="F5798" t="s">
        <v>2950</v>
      </c>
      <c r="G5798" s="1">
        <v>39979</v>
      </c>
      <c r="H5798" s="1">
        <v>40089</v>
      </c>
      <c r="I5798" t="s">
        <v>12</v>
      </c>
      <c r="J5798" t="s">
        <v>16568</v>
      </c>
    </row>
    <row r="5799" spans="1:10" x14ac:dyDescent="0.25">
      <c r="A5799">
        <v>465796</v>
      </c>
      <c r="B5799" t="s">
        <v>6064</v>
      </c>
      <c r="C5799" t="str">
        <f>"9781849058056"</f>
        <v>9781849058056</v>
      </c>
      <c r="D5799" t="str">
        <f>"9781846429576"</f>
        <v>9781846429576</v>
      </c>
      <c r="E5799" t="s">
        <v>2950</v>
      </c>
      <c r="F5799" t="s">
        <v>2950</v>
      </c>
      <c r="G5799" s="1">
        <v>39979</v>
      </c>
      <c r="H5799" s="1">
        <v>40089</v>
      </c>
      <c r="I5799" t="s">
        <v>12</v>
      </c>
      <c r="J5799" t="s">
        <v>16569</v>
      </c>
    </row>
    <row r="5800" spans="1:10" x14ac:dyDescent="0.25">
      <c r="A5800">
        <v>465803</v>
      </c>
      <c r="B5800" t="s">
        <v>6065</v>
      </c>
      <c r="C5800" t="str">
        <f>"9781843109839"</f>
        <v>9781843109839</v>
      </c>
      <c r="D5800" t="str">
        <f>"9781846429156"</f>
        <v>9781846429156</v>
      </c>
      <c r="E5800" t="s">
        <v>2950</v>
      </c>
      <c r="F5800" t="s">
        <v>2950</v>
      </c>
      <c r="G5800" s="1">
        <v>39859</v>
      </c>
      <c r="H5800" s="1">
        <v>40089</v>
      </c>
      <c r="I5800" t="s">
        <v>12</v>
      </c>
      <c r="J5800" t="s">
        <v>16570</v>
      </c>
    </row>
    <row r="5801" spans="1:10" x14ac:dyDescent="0.25">
      <c r="A5801">
        <v>465805</v>
      </c>
      <c r="B5801" t="s">
        <v>6066</v>
      </c>
      <c r="C5801" t="str">
        <f>"9781849058018"</f>
        <v>9781849058018</v>
      </c>
      <c r="D5801" t="str">
        <f>"9781846429651"</f>
        <v>9781846429651</v>
      </c>
      <c r="E5801" t="s">
        <v>2950</v>
      </c>
      <c r="F5801" t="s">
        <v>2950</v>
      </c>
      <c r="G5801" s="1">
        <v>40009</v>
      </c>
      <c r="H5801" s="1">
        <v>40089</v>
      </c>
      <c r="I5801" t="s">
        <v>12</v>
      </c>
      <c r="J5801" t="s">
        <v>16571</v>
      </c>
    </row>
    <row r="5802" spans="1:10" x14ac:dyDescent="0.25">
      <c r="A5802">
        <v>465808</v>
      </c>
      <c r="B5802" t="s">
        <v>6067</v>
      </c>
      <c r="C5802" t="str">
        <f>"9781849058070"</f>
        <v>9781849058070</v>
      </c>
      <c r="D5802" t="str">
        <f>"9781846429569"</f>
        <v>9781846429569</v>
      </c>
      <c r="E5802" t="s">
        <v>2950</v>
      </c>
      <c r="F5802" t="s">
        <v>2950</v>
      </c>
      <c r="G5802" s="1">
        <v>39979</v>
      </c>
      <c r="H5802" s="1">
        <v>40089</v>
      </c>
      <c r="I5802" t="s">
        <v>12</v>
      </c>
      <c r="J5802" t="s">
        <v>16572</v>
      </c>
    </row>
    <row r="5803" spans="1:10" x14ac:dyDescent="0.25">
      <c r="A5803">
        <v>465812</v>
      </c>
      <c r="B5803" t="s">
        <v>6068</v>
      </c>
      <c r="C5803" t="str">
        <f>"9781843109570"</f>
        <v>9781843109570</v>
      </c>
      <c r="D5803" t="str">
        <f>"9781846429491"</f>
        <v>9781846429491</v>
      </c>
      <c r="E5803" t="s">
        <v>2950</v>
      </c>
      <c r="F5803" t="s">
        <v>2950</v>
      </c>
      <c r="G5803" s="1">
        <v>39948</v>
      </c>
      <c r="H5803" s="1">
        <v>40089</v>
      </c>
      <c r="I5803" t="s">
        <v>12</v>
      </c>
      <c r="J5803" t="s">
        <v>16573</v>
      </c>
    </row>
    <row r="5804" spans="1:10" x14ac:dyDescent="0.25">
      <c r="A5804">
        <v>465815</v>
      </c>
      <c r="B5804" t="s">
        <v>6069</v>
      </c>
      <c r="C5804" t="str">
        <f>"9781849058032"</f>
        <v>9781849058032</v>
      </c>
      <c r="D5804" t="str">
        <f>"9781846429453"</f>
        <v>9781846429453</v>
      </c>
      <c r="E5804" t="s">
        <v>2950</v>
      </c>
      <c r="F5804" t="s">
        <v>2950</v>
      </c>
      <c r="G5804" s="1">
        <v>39948</v>
      </c>
      <c r="H5804" s="1">
        <v>40089</v>
      </c>
      <c r="I5804" t="s">
        <v>12</v>
      </c>
      <c r="J5804" t="s">
        <v>16574</v>
      </c>
    </row>
    <row r="5805" spans="1:10" x14ac:dyDescent="0.25">
      <c r="A5805">
        <v>465818</v>
      </c>
      <c r="B5805" t="s">
        <v>6070</v>
      </c>
      <c r="C5805" t="str">
        <f>"9781843106944"</f>
        <v>9781843106944</v>
      </c>
      <c r="D5805" t="str">
        <f>"9781846429361"</f>
        <v>9781846429361</v>
      </c>
      <c r="E5805" t="s">
        <v>2950</v>
      </c>
      <c r="F5805" t="s">
        <v>2950</v>
      </c>
      <c r="G5805" s="1">
        <v>39918</v>
      </c>
      <c r="H5805" s="1">
        <v>40089</v>
      </c>
      <c r="I5805" t="s">
        <v>12</v>
      </c>
      <c r="J5805" t="s">
        <v>16575</v>
      </c>
    </row>
    <row r="5806" spans="1:10" x14ac:dyDescent="0.25">
      <c r="A5806">
        <v>465820</v>
      </c>
      <c r="B5806" t="s">
        <v>6071</v>
      </c>
      <c r="C5806" t="str">
        <f>"9781843109211"</f>
        <v>9781843109211</v>
      </c>
      <c r="D5806" t="str">
        <f>"9781846429545"</f>
        <v>9781846429545</v>
      </c>
      <c r="E5806" t="s">
        <v>2950</v>
      </c>
      <c r="F5806" t="s">
        <v>2950</v>
      </c>
      <c r="G5806" s="1">
        <v>39979</v>
      </c>
      <c r="H5806" s="1">
        <v>40089</v>
      </c>
      <c r="I5806" t="s">
        <v>12</v>
      </c>
      <c r="J5806" t="s">
        <v>16576</v>
      </c>
    </row>
    <row r="5807" spans="1:10" x14ac:dyDescent="0.25">
      <c r="A5807">
        <v>465824</v>
      </c>
      <c r="B5807" t="s">
        <v>6072</v>
      </c>
      <c r="C5807" t="str">
        <f>"9781843109723"</f>
        <v>9781843109723</v>
      </c>
      <c r="D5807" t="str">
        <f>"9781846429378"</f>
        <v>9781846429378</v>
      </c>
      <c r="E5807" t="s">
        <v>2950</v>
      </c>
      <c r="F5807" t="s">
        <v>2950</v>
      </c>
      <c r="G5807" s="1">
        <v>39918</v>
      </c>
      <c r="H5807" s="1">
        <v>40089</v>
      </c>
      <c r="I5807" t="s">
        <v>12</v>
      </c>
      <c r="J5807" t="s">
        <v>16577</v>
      </c>
    </row>
    <row r="5808" spans="1:10" x14ac:dyDescent="0.25">
      <c r="A5808">
        <v>466770</v>
      </c>
      <c r="B5808" t="s">
        <v>6073</v>
      </c>
      <c r="C5808" t="str">
        <f>"9780810859746"</f>
        <v>9780810859746</v>
      </c>
      <c r="D5808" t="str">
        <f>"9780810863552"</f>
        <v>9780810863552</v>
      </c>
      <c r="E5808" t="s">
        <v>6074</v>
      </c>
      <c r="F5808" t="s">
        <v>6074</v>
      </c>
      <c r="G5808" s="1">
        <v>39801</v>
      </c>
      <c r="H5808" s="1">
        <v>40171</v>
      </c>
      <c r="I5808" t="s">
        <v>12</v>
      </c>
      <c r="J5808" t="s">
        <v>16578</v>
      </c>
    </row>
    <row r="5809" spans="1:10" x14ac:dyDescent="0.25">
      <c r="A5809">
        <v>467113</v>
      </c>
      <c r="B5809" t="s">
        <v>6075</v>
      </c>
      <c r="C5809" t="str">
        <f>"9781607092261"</f>
        <v>9781607092261</v>
      </c>
      <c r="D5809" t="str">
        <f>"9781607092285"</f>
        <v>9781607092285</v>
      </c>
      <c r="E5809" t="s">
        <v>6076</v>
      </c>
      <c r="F5809" t="s">
        <v>6076</v>
      </c>
      <c r="G5809" s="1">
        <v>39860</v>
      </c>
      <c r="H5809" s="1">
        <v>40171</v>
      </c>
      <c r="I5809" t="s">
        <v>12</v>
      </c>
      <c r="J5809" t="s">
        <v>16579</v>
      </c>
    </row>
    <row r="5810" spans="1:10" x14ac:dyDescent="0.25">
      <c r="A5810">
        <v>467893</v>
      </c>
      <c r="B5810" t="s">
        <v>6077</v>
      </c>
      <c r="C5810" t="str">
        <f>"9789004170841"</f>
        <v>9789004170841</v>
      </c>
      <c r="D5810" t="str">
        <f>"9789047424154"</f>
        <v>9789047424154</v>
      </c>
      <c r="E5810" t="s">
        <v>1447</v>
      </c>
      <c r="F5810" t="s">
        <v>1447</v>
      </c>
      <c r="G5810" s="1">
        <v>39708</v>
      </c>
      <c r="H5810" s="1">
        <v>40178</v>
      </c>
      <c r="I5810" t="s">
        <v>12</v>
      </c>
      <c r="J5810" t="s">
        <v>16580</v>
      </c>
    </row>
    <row r="5811" spans="1:10" x14ac:dyDescent="0.25">
      <c r="A5811">
        <v>467997</v>
      </c>
      <c r="B5811" t="s">
        <v>6078</v>
      </c>
      <c r="C5811" t="str">
        <f>"9789004171015"</f>
        <v>9789004171015</v>
      </c>
      <c r="D5811" t="str">
        <f>"9789047424321"</f>
        <v>9789047424321</v>
      </c>
      <c r="E5811" t="s">
        <v>1447</v>
      </c>
      <c r="F5811" t="s">
        <v>1447</v>
      </c>
      <c r="G5811" s="1">
        <v>39737</v>
      </c>
      <c r="H5811" s="1">
        <v>40178</v>
      </c>
      <c r="I5811" t="s">
        <v>12</v>
      </c>
      <c r="J5811" t="s">
        <v>16581</v>
      </c>
    </row>
    <row r="5812" spans="1:10" x14ac:dyDescent="0.25">
      <c r="A5812">
        <v>468149</v>
      </c>
      <c r="B5812" t="s">
        <v>6079</v>
      </c>
      <c r="C5812" t="str">
        <f>"9789004165076"</f>
        <v>9789004165076</v>
      </c>
      <c r="D5812" t="str">
        <f>"9789047442974"</f>
        <v>9789047442974</v>
      </c>
      <c r="E5812" t="s">
        <v>1447</v>
      </c>
      <c r="F5812" t="s">
        <v>1447</v>
      </c>
      <c r="G5812" s="1">
        <v>39737</v>
      </c>
      <c r="H5812" s="1">
        <v>40178</v>
      </c>
      <c r="I5812" t="s">
        <v>12</v>
      </c>
      <c r="J5812" t="s">
        <v>16582</v>
      </c>
    </row>
    <row r="5813" spans="1:10" x14ac:dyDescent="0.25">
      <c r="A5813">
        <v>471048</v>
      </c>
      <c r="B5813" t="s">
        <v>6080</v>
      </c>
      <c r="C5813" t="str">
        <f>"9781585623389"</f>
        <v>9781585623389</v>
      </c>
      <c r="D5813" t="str">
        <f>"9781585629053"</f>
        <v>9781585629053</v>
      </c>
      <c r="E5813" t="s">
        <v>5838</v>
      </c>
      <c r="F5813" t="s">
        <v>5838</v>
      </c>
      <c r="G5813" s="1">
        <v>40031</v>
      </c>
      <c r="H5813" s="1">
        <v>40159</v>
      </c>
      <c r="I5813" t="s">
        <v>12</v>
      </c>
      <c r="J5813" t="s">
        <v>16583</v>
      </c>
    </row>
    <row r="5814" spans="1:10" x14ac:dyDescent="0.25">
      <c r="A5814">
        <v>471091</v>
      </c>
      <c r="B5814" t="s">
        <v>5933</v>
      </c>
      <c r="C5814" t="str">
        <f>"9781849505796"</f>
        <v>9781849505796</v>
      </c>
      <c r="D5814" t="str">
        <f>"9781849505802"</f>
        <v>9781849505802</v>
      </c>
      <c r="E5814" t="s">
        <v>1116</v>
      </c>
      <c r="F5814" t="s">
        <v>1116</v>
      </c>
      <c r="G5814" s="1">
        <v>40119</v>
      </c>
      <c r="H5814" s="1">
        <v>40218</v>
      </c>
      <c r="I5814" t="s">
        <v>1504</v>
      </c>
      <c r="J5814" t="s">
        <v>16584</v>
      </c>
    </row>
    <row r="5815" spans="1:10" x14ac:dyDescent="0.25">
      <c r="A5815">
        <v>471315</v>
      </c>
      <c r="B5815" t="s">
        <v>6081</v>
      </c>
      <c r="C5815" t="str">
        <f>"9781845282417"</f>
        <v>9781845282417</v>
      </c>
      <c r="D5815" t="str">
        <f>"9781848032613"</f>
        <v>9781848032613</v>
      </c>
      <c r="E5815" t="s">
        <v>4908</v>
      </c>
      <c r="F5815" t="s">
        <v>4908</v>
      </c>
      <c r="G5815" s="1">
        <v>39651</v>
      </c>
      <c r="H5815" s="1">
        <v>40218</v>
      </c>
      <c r="I5815" t="s">
        <v>12</v>
      </c>
      <c r="J5815" t="s">
        <v>16585</v>
      </c>
    </row>
    <row r="5816" spans="1:10" x14ac:dyDescent="0.25">
      <c r="A5816">
        <v>471707</v>
      </c>
      <c r="B5816" t="s">
        <v>6082</v>
      </c>
      <c r="C5816" t="str">
        <f>"9780863419638"</f>
        <v>9780863419638</v>
      </c>
      <c r="D5816" t="str">
        <f>"9781849191036"</f>
        <v>9781849191036</v>
      </c>
      <c r="E5816" t="s">
        <v>6083</v>
      </c>
      <c r="F5816" t="s">
        <v>6083</v>
      </c>
      <c r="G5816" s="1">
        <v>39996</v>
      </c>
      <c r="H5816" s="1">
        <v>40245</v>
      </c>
      <c r="I5816" t="s">
        <v>12</v>
      </c>
      <c r="J5816" t="s">
        <v>16586</v>
      </c>
    </row>
    <row r="5817" spans="1:10" x14ac:dyDescent="0.25">
      <c r="A5817">
        <v>471709</v>
      </c>
      <c r="B5817" t="s">
        <v>6084</v>
      </c>
      <c r="C5817" t="str">
        <f>"9781849190145"</f>
        <v>9781849190145</v>
      </c>
      <c r="D5817" t="str">
        <f>"9781849191029"</f>
        <v>9781849191029</v>
      </c>
      <c r="E5817" t="s">
        <v>6083</v>
      </c>
      <c r="F5817" t="s">
        <v>6083</v>
      </c>
      <c r="G5817" s="1">
        <v>39988</v>
      </c>
      <c r="H5817" s="1">
        <v>40245</v>
      </c>
      <c r="I5817" t="s">
        <v>12</v>
      </c>
      <c r="J5817" t="s">
        <v>16587</v>
      </c>
    </row>
    <row r="5818" spans="1:10" x14ac:dyDescent="0.25">
      <c r="A5818">
        <v>471772</v>
      </c>
      <c r="B5818" t="s">
        <v>6085</v>
      </c>
      <c r="C5818" t="str">
        <f>"9780816651542"</f>
        <v>9780816651542</v>
      </c>
      <c r="D5818" t="str">
        <f>"9780816670604"</f>
        <v>9780816670604</v>
      </c>
      <c r="E5818" t="s">
        <v>3970</v>
      </c>
      <c r="F5818" t="s">
        <v>3970</v>
      </c>
      <c r="G5818" s="1">
        <v>39814</v>
      </c>
      <c r="H5818" s="1">
        <v>40218</v>
      </c>
      <c r="I5818" t="s">
        <v>12</v>
      </c>
      <c r="J5818" t="s">
        <v>16588</v>
      </c>
    </row>
    <row r="5819" spans="1:10" x14ac:dyDescent="0.25">
      <c r="A5819">
        <v>471784</v>
      </c>
      <c r="B5819" t="s">
        <v>6086</v>
      </c>
      <c r="C5819" t="str">
        <f>"9780226168067"</f>
        <v>9780226168067</v>
      </c>
      <c r="D5819" t="str">
        <f>"9780226168081"</f>
        <v>9780226168081</v>
      </c>
      <c r="E5819" t="s">
        <v>5187</v>
      </c>
      <c r="F5819" t="s">
        <v>5187</v>
      </c>
      <c r="G5819" s="1">
        <v>40071</v>
      </c>
      <c r="H5819" s="1">
        <v>40218</v>
      </c>
      <c r="I5819" t="s">
        <v>12</v>
      </c>
      <c r="J5819" t="s">
        <v>16589</v>
      </c>
    </row>
    <row r="5820" spans="1:10" x14ac:dyDescent="0.25">
      <c r="A5820">
        <v>471788</v>
      </c>
      <c r="B5820" t="s">
        <v>6087</v>
      </c>
      <c r="C5820" t="str">
        <f>"9780226805030"</f>
        <v>9780226805030</v>
      </c>
      <c r="D5820" t="str">
        <f>"9780226805054"</f>
        <v>9780226805054</v>
      </c>
      <c r="E5820" t="s">
        <v>5187</v>
      </c>
      <c r="F5820" t="s">
        <v>5187</v>
      </c>
      <c r="G5820" s="1">
        <v>40026</v>
      </c>
      <c r="H5820" s="1">
        <v>40218</v>
      </c>
      <c r="I5820" t="s">
        <v>12</v>
      </c>
      <c r="J5820" t="s">
        <v>16590</v>
      </c>
    </row>
    <row r="5821" spans="1:10" x14ac:dyDescent="0.25">
      <c r="A5821">
        <v>471795</v>
      </c>
      <c r="B5821" t="s">
        <v>6088</v>
      </c>
      <c r="C5821" t="str">
        <f>"9780226076485"</f>
        <v>9780226076485</v>
      </c>
      <c r="D5821" t="str">
        <f>"9780226076508"</f>
        <v>9780226076508</v>
      </c>
      <c r="E5821" t="s">
        <v>5187</v>
      </c>
      <c r="F5821" t="s">
        <v>5187</v>
      </c>
      <c r="G5821" s="1">
        <v>40162</v>
      </c>
      <c r="H5821" s="1">
        <v>40218</v>
      </c>
      <c r="I5821" t="s">
        <v>12</v>
      </c>
      <c r="J5821" t="s">
        <v>16591</v>
      </c>
    </row>
    <row r="5822" spans="1:10" x14ac:dyDescent="0.25">
      <c r="A5822">
        <v>471797</v>
      </c>
      <c r="B5822" t="s">
        <v>6089</v>
      </c>
      <c r="C5822" t="str">
        <f>"9780226239217"</f>
        <v>9780226239217</v>
      </c>
      <c r="D5822" t="str">
        <f>"9780226239224"</f>
        <v>9780226239224</v>
      </c>
      <c r="E5822" t="s">
        <v>5187</v>
      </c>
      <c r="F5822" t="s">
        <v>5187</v>
      </c>
      <c r="G5822" s="1">
        <v>40071</v>
      </c>
      <c r="H5822" s="1">
        <v>40218</v>
      </c>
      <c r="I5822" t="s">
        <v>12</v>
      </c>
      <c r="J5822" t="s">
        <v>16592</v>
      </c>
    </row>
    <row r="5823" spans="1:10" x14ac:dyDescent="0.25">
      <c r="A5823">
        <v>471822</v>
      </c>
      <c r="B5823" t="s">
        <v>6090</v>
      </c>
      <c r="C5823" t="str">
        <f>"9780226505473"</f>
        <v>9780226505473</v>
      </c>
      <c r="D5823" t="str">
        <f>"9780226505497"</f>
        <v>9780226505497</v>
      </c>
      <c r="E5823" t="s">
        <v>5187</v>
      </c>
      <c r="F5823" t="s">
        <v>5187</v>
      </c>
      <c r="G5823" s="1">
        <v>40071</v>
      </c>
      <c r="H5823" s="1">
        <v>40218</v>
      </c>
      <c r="I5823" t="s">
        <v>12</v>
      </c>
      <c r="J5823" t="s">
        <v>16593</v>
      </c>
    </row>
    <row r="5824" spans="1:10" x14ac:dyDescent="0.25">
      <c r="A5824">
        <v>472575</v>
      </c>
      <c r="B5824" t="s">
        <v>6091</v>
      </c>
      <c r="C5824" t="str">
        <f>"9780814415009"</f>
        <v>9780814415009</v>
      </c>
      <c r="D5824" t="str">
        <f>"9780814415016"</f>
        <v>9780814415016</v>
      </c>
      <c r="E5824" t="s">
        <v>1080</v>
      </c>
      <c r="F5824" t="s">
        <v>1080</v>
      </c>
      <c r="G5824" s="1">
        <v>40114</v>
      </c>
      <c r="H5824" s="1">
        <v>40245</v>
      </c>
      <c r="I5824" t="s">
        <v>12</v>
      </c>
      <c r="J5824" t="s">
        <v>16594</v>
      </c>
    </row>
    <row r="5825" spans="1:10" x14ac:dyDescent="0.25">
      <c r="A5825">
        <v>472579</v>
      </c>
      <c r="B5825" t="s">
        <v>6092</v>
      </c>
      <c r="C5825" t="str">
        <f>"9780814414309"</f>
        <v>9780814414309</v>
      </c>
      <c r="D5825" t="str">
        <f>"9780814414316"</f>
        <v>9780814414316</v>
      </c>
      <c r="E5825" t="s">
        <v>1080</v>
      </c>
      <c r="F5825" t="s">
        <v>1080</v>
      </c>
      <c r="G5825" s="1">
        <v>40513</v>
      </c>
      <c r="H5825" s="1">
        <v>40245</v>
      </c>
      <c r="I5825" t="s">
        <v>12</v>
      </c>
      <c r="J5825" t="s">
        <v>16595</v>
      </c>
    </row>
    <row r="5826" spans="1:10" x14ac:dyDescent="0.25">
      <c r="A5826">
        <v>472585</v>
      </c>
      <c r="B5826" t="s">
        <v>6093</v>
      </c>
      <c r="C5826" t="str">
        <f>"9781845206864"</f>
        <v>9781845206864</v>
      </c>
      <c r="D5826" t="str">
        <f>"9781847884688"</f>
        <v>9781847884688</v>
      </c>
      <c r="E5826" t="s">
        <v>1400</v>
      </c>
      <c r="F5826" t="s">
        <v>5919</v>
      </c>
      <c r="G5826" s="1">
        <v>40057</v>
      </c>
      <c r="H5826" s="1">
        <v>41967</v>
      </c>
      <c r="I5826" t="s">
        <v>12</v>
      </c>
      <c r="J5826" t="s">
        <v>16596</v>
      </c>
    </row>
    <row r="5827" spans="1:10" x14ac:dyDescent="0.25">
      <c r="A5827">
        <v>472586</v>
      </c>
      <c r="B5827" t="s">
        <v>6094</v>
      </c>
      <c r="C5827" t="str">
        <f>"9781847884855"</f>
        <v>9781847884855</v>
      </c>
      <c r="D5827" t="str">
        <f>"9781847886392"</f>
        <v>9781847886392</v>
      </c>
      <c r="E5827" t="s">
        <v>4180</v>
      </c>
      <c r="F5827" t="s">
        <v>5919</v>
      </c>
      <c r="G5827" s="1">
        <v>40118</v>
      </c>
      <c r="H5827" s="1">
        <v>42326</v>
      </c>
      <c r="I5827" t="s">
        <v>12</v>
      </c>
      <c r="J5827" t="s">
        <v>16597</v>
      </c>
    </row>
    <row r="5828" spans="1:10" x14ac:dyDescent="0.25">
      <c r="A5828">
        <v>472588</v>
      </c>
      <c r="B5828" t="s">
        <v>6095</v>
      </c>
      <c r="C5828" t="str">
        <f>"9781845207953"</f>
        <v>9781845207953</v>
      </c>
      <c r="D5828" t="str">
        <f>"9781847885517"</f>
        <v>9781847885517</v>
      </c>
      <c r="E5828" t="s">
        <v>1400</v>
      </c>
      <c r="F5828" t="s">
        <v>5919</v>
      </c>
      <c r="G5828" s="1">
        <v>40087</v>
      </c>
      <c r="H5828" s="1">
        <v>40103</v>
      </c>
      <c r="I5828" t="s">
        <v>12</v>
      </c>
      <c r="J5828" t="s">
        <v>16598</v>
      </c>
    </row>
    <row r="5829" spans="1:10" x14ac:dyDescent="0.25">
      <c r="A5829">
        <v>472590</v>
      </c>
      <c r="B5829" t="s">
        <v>6096</v>
      </c>
      <c r="C5829" t="str">
        <f>"9781845206703"</f>
        <v>9781845206703</v>
      </c>
      <c r="D5829" t="str">
        <f>"9781847886415"</f>
        <v>9781847886415</v>
      </c>
      <c r="E5829" t="s">
        <v>1400</v>
      </c>
      <c r="F5829" t="s">
        <v>5919</v>
      </c>
      <c r="G5829" s="1">
        <v>40118</v>
      </c>
      <c r="H5829" s="1">
        <v>40152</v>
      </c>
      <c r="I5829" t="s">
        <v>12</v>
      </c>
      <c r="J5829" t="s">
        <v>16599</v>
      </c>
    </row>
    <row r="5830" spans="1:10" x14ac:dyDescent="0.25">
      <c r="A5830">
        <v>472591</v>
      </c>
      <c r="B5830" t="s">
        <v>6097</v>
      </c>
      <c r="C5830" t="str">
        <f>"9781847884947"</f>
        <v>9781847884947</v>
      </c>
      <c r="D5830" t="str">
        <f>"9781847884961"</f>
        <v>9781847884961</v>
      </c>
      <c r="E5830" t="s">
        <v>4180</v>
      </c>
      <c r="F5830" t="s">
        <v>5919</v>
      </c>
      <c r="G5830" s="1">
        <v>40087</v>
      </c>
      <c r="H5830" s="1">
        <v>41845</v>
      </c>
      <c r="I5830" t="s">
        <v>12</v>
      </c>
      <c r="J5830" t="s">
        <v>16600</v>
      </c>
    </row>
    <row r="5831" spans="1:10" x14ac:dyDescent="0.25">
      <c r="A5831">
        <v>472671</v>
      </c>
      <c r="B5831" t="s">
        <v>6098</v>
      </c>
      <c r="C5831" t="str">
        <f>"9780815702832"</f>
        <v>9780815702832</v>
      </c>
      <c r="D5831" t="str">
        <f>"9780815703532"</f>
        <v>9780815703532</v>
      </c>
      <c r="E5831" t="s">
        <v>2013</v>
      </c>
      <c r="F5831" t="s">
        <v>2013</v>
      </c>
      <c r="G5831" s="1">
        <v>40057</v>
      </c>
      <c r="H5831" s="1">
        <v>40218</v>
      </c>
      <c r="I5831" t="s">
        <v>12</v>
      </c>
      <c r="J5831" t="s">
        <v>16601</v>
      </c>
    </row>
    <row r="5832" spans="1:10" x14ac:dyDescent="0.25">
      <c r="A5832">
        <v>472672</v>
      </c>
      <c r="B5832" t="s">
        <v>6099</v>
      </c>
      <c r="C5832" t="str">
        <f>"9780815781929"</f>
        <v>9780815781929</v>
      </c>
      <c r="D5832" t="str">
        <f>"9780815701484"</f>
        <v>9780815701484</v>
      </c>
      <c r="E5832" t="s">
        <v>2013</v>
      </c>
      <c r="F5832" t="s">
        <v>6100</v>
      </c>
      <c r="G5832" s="1">
        <v>40116</v>
      </c>
      <c r="H5832" s="1">
        <v>40218</v>
      </c>
      <c r="I5832" t="s">
        <v>12</v>
      </c>
      <c r="J5832" t="s">
        <v>16602</v>
      </c>
    </row>
    <row r="5833" spans="1:10" x14ac:dyDescent="0.25">
      <c r="A5833">
        <v>472700</v>
      </c>
      <c r="B5833" t="s">
        <v>6101</v>
      </c>
      <c r="C5833" t="str">
        <f>"9780815702764"</f>
        <v>9780815702764</v>
      </c>
      <c r="D5833" t="str">
        <f>"9780815703471"</f>
        <v>9780815703471</v>
      </c>
      <c r="E5833" t="s">
        <v>2013</v>
      </c>
      <c r="F5833" t="s">
        <v>2013</v>
      </c>
      <c r="G5833" s="1">
        <v>40057</v>
      </c>
      <c r="H5833" s="1">
        <v>40218</v>
      </c>
      <c r="I5833" t="s">
        <v>12</v>
      </c>
      <c r="J5833" t="s">
        <v>16603</v>
      </c>
    </row>
    <row r="5834" spans="1:10" x14ac:dyDescent="0.25">
      <c r="A5834">
        <v>472728</v>
      </c>
      <c r="B5834" t="s">
        <v>6102</v>
      </c>
      <c r="C5834" t="str">
        <f>"9780815702757"</f>
        <v>9780815702757</v>
      </c>
      <c r="D5834" t="str">
        <f>"9780815703464"</f>
        <v>9780815703464</v>
      </c>
      <c r="E5834" t="s">
        <v>2013</v>
      </c>
      <c r="F5834" t="s">
        <v>2013</v>
      </c>
      <c r="G5834" s="1">
        <v>40026</v>
      </c>
      <c r="H5834" s="1">
        <v>40218</v>
      </c>
      <c r="I5834" t="s">
        <v>12</v>
      </c>
      <c r="J5834" t="s">
        <v>16604</v>
      </c>
    </row>
    <row r="5835" spans="1:10" x14ac:dyDescent="0.25">
      <c r="A5835">
        <v>472735</v>
      </c>
      <c r="B5835" t="s">
        <v>6103</v>
      </c>
      <c r="C5835" t="str">
        <f>"9780815775614"</f>
        <v>9780815775614</v>
      </c>
      <c r="D5835" t="str">
        <f>"9780815701750"</f>
        <v>9780815701750</v>
      </c>
      <c r="E5835" t="s">
        <v>2013</v>
      </c>
      <c r="F5835" t="s">
        <v>6104</v>
      </c>
      <c r="G5835" s="1">
        <v>39741</v>
      </c>
      <c r="H5835" s="1">
        <v>40218</v>
      </c>
      <c r="I5835" t="s">
        <v>12</v>
      </c>
      <c r="J5835" t="s">
        <v>16605</v>
      </c>
    </row>
    <row r="5836" spans="1:10" x14ac:dyDescent="0.25">
      <c r="A5836">
        <v>472760</v>
      </c>
      <c r="B5836" t="s">
        <v>6105</v>
      </c>
      <c r="C5836" t="str">
        <f>"9781441158680"</f>
        <v>9781441158680</v>
      </c>
      <c r="D5836" t="str">
        <f>"9781441181183"</f>
        <v>9781441181183</v>
      </c>
      <c r="E5836" t="s">
        <v>4180</v>
      </c>
      <c r="F5836" t="s">
        <v>4180</v>
      </c>
      <c r="G5836" s="1">
        <v>40522</v>
      </c>
      <c r="H5836" s="1">
        <v>42326</v>
      </c>
      <c r="I5836" t="s">
        <v>12</v>
      </c>
      <c r="J5836" t="s">
        <v>16606</v>
      </c>
    </row>
    <row r="5837" spans="1:10" x14ac:dyDescent="0.25">
      <c r="A5837">
        <v>472769</v>
      </c>
      <c r="B5837" t="s">
        <v>6106</v>
      </c>
      <c r="C5837" t="str">
        <f>"9781441104410"</f>
        <v>9781441104410</v>
      </c>
      <c r="D5837" t="str">
        <f>"9781441134622"</f>
        <v>9781441134622</v>
      </c>
      <c r="E5837" t="s">
        <v>4180</v>
      </c>
      <c r="F5837" t="s">
        <v>4180</v>
      </c>
      <c r="G5837" s="1">
        <v>40731</v>
      </c>
      <c r="H5837" s="1">
        <v>42326</v>
      </c>
      <c r="I5837" t="s">
        <v>12</v>
      </c>
      <c r="J5837" t="s">
        <v>16607</v>
      </c>
    </row>
    <row r="5838" spans="1:10" x14ac:dyDescent="0.25">
      <c r="A5838">
        <v>473680</v>
      </c>
      <c r="B5838" t="s">
        <v>6107</v>
      </c>
      <c r="C5838" t="str">
        <f>"9781604860764"</f>
        <v>9781604860764</v>
      </c>
      <c r="D5838" t="str">
        <f>"9781604862164"</f>
        <v>9781604862164</v>
      </c>
      <c r="E5838" t="s">
        <v>5817</v>
      </c>
      <c r="F5838" t="s">
        <v>5817</v>
      </c>
      <c r="G5838" s="1">
        <v>40057</v>
      </c>
      <c r="H5838" s="1">
        <v>40245</v>
      </c>
      <c r="I5838" t="s">
        <v>12</v>
      </c>
      <c r="J5838" t="s">
        <v>16608</v>
      </c>
    </row>
    <row r="5839" spans="1:10" x14ac:dyDescent="0.25">
      <c r="A5839">
        <v>473728</v>
      </c>
      <c r="B5839" t="s">
        <v>6108</v>
      </c>
      <c r="C5839" t="str">
        <f>"9781604860726"</f>
        <v>9781604860726</v>
      </c>
      <c r="D5839" t="str">
        <f>"9781604862287"</f>
        <v>9781604862287</v>
      </c>
      <c r="E5839" t="s">
        <v>5817</v>
      </c>
      <c r="F5839" t="s">
        <v>5817</v>
      </c>
      <c r="G5839" s="1">
        <v>40057</v>
      </c>
      <c r="H5839" s="1">
        <v>40193</v>
      </c>
      <c r="I5839" t="s">
        <v>12</v>
      </c>
      <c r="J5839" t="s">
        <v>16609</v>
      </c>
    </row>
    <row r="5840" spans="1:10" x14ac:dyDescent="0.25">
      <c r="A5840">
        <v>474051</v>
      </c>
      <c r="B5840" t="s">
        <v>6109</v>
      </c>
      <c r="C5840" t="str">
        <f>"9789264063822"</f>
        <v>9789264063822</v>
      </c>
      <c r="D5840" t="str">
        <f>"9789264063884"</f>
        <v>9789264063884</v>
      </c>
      <c r="E5840" t="s">
        <v>1185</v>
      </c>
      <c r="F5840" t="s">
        <v>1186</v>
      </c>
      <c r="G5840" s="1">
        <v>40071</v>
      </c>
      <c r="H5840" s="1">
        <v>40218</v>
      </c>
      <c r="I5840" t="s">
        <v>12</v>
      </c>
      <c r="J5840" t="s">
        <v>16610</v>
      </c>
    </row>
    <row r="5841" spans="1:10" x14ac:dyDescent="0.25">
      <c r="A5841">
        <v>474166</v>
      </c>
      <c r="B5841" t="s">
        <v>6110</v>
      </c>
      <c r="C5841" t="str">
        <f>"9780838909331"</f>
        <v>9780838909331</v>
      </c>
      <c r="D5841" t="str">
        <f>"9780838998304"</f>
        <v>9780838998304</v>
      </c>
      <c r="E5841" t="s">
        <v>6111</v>
      </c>
      <c r="F5841" t="s">
        <v>6111</v>
      </c>
      <c r="G5841" s="1">
        <v>39083</v>
      </c>
      <c r="H5841" s="1">
        <v>40218</v>
      </c>
      <c r="I5841" t="s">
        <v>12</v>
      </c>
      <c r="J5841" t="s">
        <v>16611</v>
      </c>
    </row>
    <row r="5842" spans="1:10" x14ac:dyDescent="0.25">
      <c r="A5842">
        <v>474182</v>
      </c>
      <c r="B5842" t="s">
        <v>6112</v>
      </c>
      <c r="C5842" t="str">
        <f>"9780838909690"</f>
        <v>9780838909690</v>
      </c>
      <c r="D5842" t="str">
        <f>"9780838998199"</f>
        <v>9780838998199</v>
      </c>
      <c r="E5842" t="s">
        <v>6111</v>
      </c>
      <c r="F5842" t="s">
        <v>6111</v>
      </c>
      <c r="G5842" s="1">
        <v>39448</v>
      </c>
      <c r="H5842" s="1">
        <v>40248</v>
      </c>
      <c r="I5842" t="s">
        <v>12</v>
      </c>
      <c r="J5842" t="s">
        <v>16612</v>
      </c>
    </row>
    <row r="5843" spans="1:10" x14ac:dyDescent="0.25">
      <c r="A5843">
        <v>474207</v>
      </c>
      <c r="B5843" t="s">
        <v>6113</v>
      </c>
      <c r="C5843" t="str">
        <f>"9780838909263"</f>
        <v>9780838909263</v>
      </c>
      <c r="D5843" t="str">
        <f>"9780838990094"</f>
        <v>9780838990094</v>
      </c>
      <c r="E5843" t="s">
        <v>6111</v>
      </c>
      <c r="F5843" t="s">
        <v>6111</v>
      </c>
      <c r="G5843" s="1">
        <v>39083</v>
      </c>
      <c r="H5843" s="1">
        <v>40299</v>
      </c>
      <c r="I5843" t="s">
        <v>12</v>
      </c>
      <c r="J5843" t="s">
        <v>16613</v>
      </c>
    </row>
    <row r="5844" spans="1:10" x14ac:dyDescent="0.25">
      <c r="A5844">
        <v>474257</v>
      </c>
      <c r="B5844" t="s">
        <v>6114</v>
      </c>
      <c r="C5844" t="str">
        <f>"9789087280635"</f>
        <v>9789087280635</v>
      </c>
      <c r="D5844" t="str">
        <f>"9789048508310"</f>
        <v>9789048508310</v>
      </c>
      <c r="E5844" t="s">
        <v>5284</v>
      </c>
      <c r="F5844" t="s">
        <v>5407</v>
      </c>
      <c r="G5844" s="1">
        <v>39982</v>
      </c>
      <c r="H5844" s="1">
        <v>40218</v>
      </c>
      <c r="I5844" t="s">
        <v>12</v>
      </c>
      <c r="J5844" t="s">
        <v>16614</v>
      </c>
    </row>
    <row r="5845" spans="1:10" x14ac:dyDescent="0.25">
      <c r="A5845">
        <v>474347</v>
      </c>
      <c r="B5845" t="s">
        <v>6115</v>
      </c>
      <c r="C5845" t="str">
        <f>"9789056295387"</f>
        <v>9789056295387</v>
      </c>
      <c r="D5845" t="str">
        <f>"9789048507832"</f>
        <v>9789048507832</v>
      </c>
      <c r="E5845" t="s">
        <v>5284</v>
      </c>
      <c r="F5845" t="s">
        <v>5398</v>
      </c>
      <c r="G5845" s="1">
        <v>39448</v>
      </c>
      <c r="H5845" s="1">
        <v>40218</v>
      </c>
      <c r="I5845" t="s">
        <v>12</v>
      </c>
      <c r="J5845" t="s">
        <v>16615</v>
      </c>
    </row>
    <row r="5846" spans="1:10" x14ac:dyDescent="0.25">
      <c r="A5846">
        <v>474442</v>
      </c>
      <c r="B5846" t="s">
        <v>6116</v>
      </c>
      <c r="C5846" t="str">
        <f>"9781615300037"</f>
        <v>9781615300037</v>
      </c>
      <c r="D5846" t="str">
        <f>"9781615300426"</f>
        <v>9781615300426</v>
      </c>
      <c r="E5846" t="s">
        <v>6117</v>
      </c>
      <c r="F5846" t="s">
        <v>6118</v>
      </c>
      <c r="G5846" s="1">
        <v>40167</v>
      </c>
      <c r="H5846" s="1">
        <v>40245</v>
      </c>
      <c r="I5846" t="s">
        <v>12</v>
      </c>
      <c r="J5846" t="s">
        <v>16616</v>
      </c>
    </row>
    <row r="5847" spans="1:10" x14ac:dyDescent="0.25">
      <c r="A5847">
        <v>474443</v>
      </c>
      <c r="B5847" t="s">
        <v>6119</v>
      </c>
      <c r="C5847" t="str">
        <f>"9781615300068"</f>
        <v>9781615300068</v>
      </c>
      <c r="D5847" t="str">
        <f>"9781615300563"</f>
        <v>9781615300563</v>
      </c>
      <c r="E5847" t="s">
        <v>6117</v>
      </c>
      <c r="F5847" t="s">
        <v>6118</v>
      </c>
      <c r="G5847" s="1">
        <v>40167</v>
      </c>
      <c r="H5847" s="1">
        <v>40245</v>
      </c>
      <c r="I5847" t="s">
        <v>12</v>
      </c>
      <c r="J5847" t="s">
        <v>16617</v>
      </c>
    </row>
    <row r="5848" spans="1:10" x14ac:dyDescent="0.25">
      <c r="A5848">
        <v>474444</v>
      </c>
      <c r="B5848" t="s">
        <v>6120</v>
      </c>
      <c r="C5848" t="str">
        <f>"9781615300044"</f>
        <v>9781615300044</v>
      </c>
      <c r="D5848" t="str">
        <f>"9781615300433"</f>
        <v>9781615300433</v>
      </c>
      <c r="E5848" t="s">
        <v>6117</v>
      </c>
      <c r="F5848" t="s">
        <v>6118</v>
      </c>
      <c r="G5848" s="1">
        <v>40167</v>
      </c>
      <c r="H5848" s="1">
        <v>40245</v>
      </c>
      <c r="I5848" t="s">
        <v>12</v>
      </c>
      <c r="J5848" t="s">
        <v>16618</v>
      </c>
    </row>
    <row r="5849" spans="1:10" x14ac:dyDescent="0.25">
      <c r="A5849">
        <v>474446</v>
      </c>
      <c r="B5849" t="s">
        <v>6121</v>
      </c>
      <c r="C5849" t="str">
        <f>"9781615300020"</f>
        <v>9781615300020</v>
      </c>
      <c r="D5849" t="str">
        <f>"9781615300402"</f>
        <v>9781615300402</v>
      </c>
      <c r="E5849" t="s">
        <v>6117</v>
      </c>
      <c r="F5849" t="s">
        <v>6118</v>
      </c>
      <c r="G5849" s="1">
        <v>40167</v>
      </c>
      <c r="H5849" s="1">
        <v>40245</v>
      </c>
      <c r="I5849" t="s">
        <v>12</v>
      </c>
      <c r="J5849" t="s">
        <v>16619</v>
      </c>
    </row>
    <row r="5850" spans="1:10" x14ac:dyDescent="0.25">
      <c r="A5850">
        <v>474447</v>
      </c>
      <c r="B5850" t="s">
        <v>6122</v>
      </c>
      <c r="C5850" t="str">
        <f>"9781615300105"</f>
        <v>9781615300105</v>
      </c>
      <c r="D5850" t="str">
        <f>"9781615300587"</f>
        <v>9781615300587</v>
      </c>
      <c r="E5850" t="s">
        <v>6117</v>
      </c>
      <c r="F5850" t="s">
        <v>6118</v>
      </c>
      <c r="G5850" s="1">
        <v>40167</v>
      </c>
      <c r="H5850" s="1">
        <v>40245</v>
      </c>
      <c r="I5850" t="s">
        <v>12</v>
      </c>
      <c r="J5850" t="s">
        <v>16620</v>
      </c>
    </row>
    <row r="5851" spans="1:10" x14ac:dyDescent="0.25">
      <c r="A5851">
        <v>474449</v>
      </c>
      <c r="B5851" t="s">
        <v>6123</v>
      </c>
      <c r="C5851" t="str">
        <f>"9781615300051"</f>
        <v>9781615300051</v>
      </c>
      <c r="D5851" t="str">
        <f>"9781615300969"</f>
        <v>9781615300969</v>
      </c>
      <c r="E5851" t="s">
        <v>6117</v>
      </c>
      <c r="F5851" t="s">
        <v>6118</v>
      </c>
      <c r="G5851" s="1">
        <v>40167</v>
      </c>
      <c r="H5851" s="1">
        <v>40245</v>
      </c>
      <c r="I5851" t="s">
        <v>12</v>
      </c>
      <c r="J5851" t="s">
        <v>16621</v>
      </c>
    </row>
    <row r="5852" spans="1:10" x14ac:dyDescent="0.25">
      <c r="A5852">
        <v>474452</v>
      </c>
      <c r="B5852" t="s">
        <v>6124</v>
      </c>
      <c r="C5852" t="str">
        <f>"9781615300075"</f>
        <v>9781615300075</v>
      </c>
      <c r="D5852" t="str">
        <f>"9781615300457"</f>
        <v>9781615300457</v>
      </c>
      <c r="E5852" t="s">
        <v>6117</v>
      </c>
      <c r="F5852" t="s">
        <v>6118</v>
      </c>
      <c r="G5852" s="1">
        <v>40167</v>
      </c>
      <c r="H5852" s="1">
        <v>40245</v>
      </c>
      <c r="I5852" t="s">
        <v>12</v>
      </c>
      <c r="J5852" t="s">
        <v>16622</v>
      </c>
    </row>
    <row r="5853" spans="1:10" x14ac:dyDescent="0.25">
      <c r="A5853">
        <v>474659</v>
      </c>
      <c r="B5853" t="s">
        <v>6125</v>
      </c>
      <c r="C5853" t="str">
        <f>"9781847423733"</f>
        <v>9781847423733</v>
      </c>
      <c r="D5853" t="str">
        <f>"9781847427410"</f>
        <v>9781847427410</v>
      </c>
      <c r="E5853" t="s">
        <v>5375</v>
      </c>
      <c r="F5853" t="s">
        <v>5375</v>
      </c>
      <c r="G5853" s="1">
        <v>39981</v>
      </c>
      <c r="H5853" s="1">
        <v>40225</v>
      </c>
      <c r="I5853" t="s">
        <v>12</v>
      </c>
      <c r="J5853" t="s">
        <v>16623</v>
      </c>
    </row>
    <row r="5854" spans="1:10" x14ac:dyDescent="0.25">
      <c r="A5854">
        <v>474668</v>
      </c>
      <c r="B5854" t="s">
        <v>6126</v>
      </c>
      <c r="C5854" t="str">
        <f>"9781861345288"</f>
        <v>9781861345288</v>
      </c>
      <c r="D5854" t="str">
        <f>"9781847425928"</f>
        <v>9781847425928</v>
      </c>
      <c r="E5854" t="s">
        <v>5375</v>
      </c>
      <c r="F5854" t="s">
        <v>5375</v>
      </c>
      <c r="G5854" s="1">
        <v>38140</v>
      </c>
      <c r="H5854" s="1">
        <v>40225</v>
      </c>
      <c r="I5854" t="s">
        <v>12</v>
      </c>
      <c r="J5854" t="s">
        <v>16624</v>
      </c>
    </row>
    <row r="5855" spans="1:10" x14ac:dyDescent="0.25">
      <c r="A5855">
        <v>474672</v>
      </c>
      <c r="B5855" t="s">
        <v>6127</v>
      </c>
      <c r="C5855" t="str">
        <f>"9781861344274"</f>
        <v>9781861344274</v>
      </c>
      <c r="D5855" t="str">
        <f>"9781847425799"</f>
        <v>9781847425799</v>
      </c>
      <c r="E5855" t="s">
        <v>5375</v>
      </c>
      <c r="F5855" t="s">
        <v>5375</v>
      </c>
      <c r="G5855" s="1">
        <v>37874</v>
      </c>
      <c r="H5855" s="1">
        <v>40225</v>
      </c>
      <c r="I5855" t="s">
        <v>12</v>
      </c>
      <c r="J5855" t="s">
        <v>16625</v>
      </c>
    </row>
    <row r="5856" spans="1:10" x14ac:dyDescent="0.25">
      <c r="A5856">
        <v>474676</v>
      </c>
      <c r="B5856" t="s">
        <v>6128</v>
      </c>
      <c r="C5856" t="str">
        <f>"9781861342669"</f>
        <v>9781861342669</v>
      </c>
      <c r="D5856" t="str">
        <f>"9781847425447"</f>
        <v>9781847425447</v>
      </c>
      <c r="E5856" t="s">
        <v>5375</v>
      </c>
      <c r="F5856" t="s">
        <v>5375</v>
      </c>
      <c r="G5856" s="1">
        <v>37363</v>
      </c>
      <c r="H5856" s="1">
        <v>40225</v>
      </c>
      <c r="I5856" t="s">
        <v>12</v>
      </c>
      <c r="J5856" t="s">
        <v>16626</v>
      </c>
    </row>
    <row r="5857" spans="1:10" x14ac:dyDescent="0.25">
      <c r="A5857">
        <v>474730</v>
      </c>
      <c r="B5857" t="s">
        <v>6129</v>
      </c>
      <c r="C5857" t="str">
        <f>"9781861349880"</f>
        <v>9781861349880</v>
      </c>
      <c r="D5857" t="str">
        <f>"9781847426031"</f>
        <v>9781847426031</v>
      </c>
      <c r="E5857" t="s">
        <v>5375</v>
      </c>
      <c r="F5857" t="s">
        <v>5375</v>
      </c>
      <c r="G5857" s="1">
        <v>39918</v>
      </c>
      <c r="H5857" s="1">
        <v>40225</v>
      </c>
      <c r="I5857" t="s">
        <v>12</v>
      </c>
      <c r="J5857" t="s">
        <v>16627</v>
      </c>
    </row>
    <row r="5858" spans="1:10" x14ac:dyDescent="0.25">
      <c r="A5858">
        <v>474796</v>
      </c>
      <c r="B5858" t="s">
        <v>6130</v>
      </c>
      <c r="C5858" t="str">
        <f>"9781848131989"</f>
        <v>9781848131989</v>
      </c>
      <c r="D5858" t="str">
        <f>"9781848131996"</f>
        <v>9781848131996</v>
      </c>
      <c r="E5858" t="s">
        <v>4626</v>
      </c>
      <c r="F5858" t="s">
        <v>4626</v>
      </c>
      <c r="G5858" s="1">
        <v>40129</v>
      </c>
      <c r="H5858" s="1">
        <v>41166</v>
      </c>
      <c r="I5858" t="s">
        <v>12</v>
      </c>
      <c r="J5858" t="s">
        <v>16628</v>
      </c>
    </row>
    <row r="5859" spans="1:10" x14ac:dyDescent="0.25">
      <c r="A5859">
        <v>475846</v>
      </c>
      <c r="B5859" t="s">
        <v>6131</v>
      </c>
      <c r="C5859" t="str">
        <f>"9780691120355"</f>
        <v>9780691120355</v>
      </c>
      <c r="D5859" t="str">
        <f>"9781400829828"</f>
        <v>9781400829828</v>
      </c>
      <c r="E5859" t="s">
        <v>5831</v>
      </c>
      <c r="F5859" t="s">
        <v>5831</v>
      </c>
      <c r="G5859" s="1">
        <v>39797</v>
      </c>
      <c r="H5859" s="1">
        <v>40226</v>
      </c>
      <c r="I5859" t="s">
        <v>12</v>
      </c>
      <c r="J5859" t="s">
        <v>16629</v>
      </c>
    </row>
    <row r="5860" spans="1:10" x14ac:dyDescent="0.25">
      <c r="A5860">
        <v>476004</v>
      </c>
      <c r="B5860" t="s">
        <v>6132</v>
      </c>
      <c r="C5860" t="str">
        <f>"9783110186024"</f>
        <v>9783110186024</v>
      </c>
      <c r="D5860" t="str">
        <f>"9783110219272"</f>
        <v>9783110219272</v>
      </c>
      <c r="E5860" t="s">
        <v>2482</v>
      </c>
      <c r="F5860" t="s">
        <v>2483</v>
      </c>
      <c r="G5860" s="1">
        <v>38916</v>
      </c>
      <c r="H5860" s="1">
        <v>40231</v>
      </c>
      <c r="I5860" t="s">
        <v>12</v>
      </c>
      <c r="J5860" t="s">
        <v>16630</v>
      </c>
    </row>
    <row r="5861" spans="1:10" x14ac:dyDescent="0.25">
      <c r="A5861">
        <v>476023</v>
      </c>
      <c r="B5861" t="s">
        <v>6133</v>
      </c>
      <c r="C5861" t="str">
        <f>"9783110218459"</f>
        <v>9783110218459</v>
      </c>
      <c r="D5861" t="str">
        <f>"9783110218473"</f>
        <v>9783110218473</v>
      </c>
      <c r="E5861" t="s">
        <v>2482</v>
      </c>
      <c r="F5861" t="s">
        <v>2483</v>
      </c>
      <c r="G5861" s="1">
        <v>40072</v>
      </c>
      <c r="H5861" s="1">
        <v>40231</v>
      </c>
      <c r="I5861" t="s">
        <v>12</v>
      </c>
      <c r="J5861" t="s">
        <v>16631</v>
      </c>
    </row>
    <row r="5862" spans="1:10" x14ac:dyDescent="0.25">
      <c r="A5862">
        <v>476030</v>
      </c>
      <c r="B5862" t="s">
        <v>6134</v>
      </c>
      <c r="C5862" t="str">
        <f>"9783110166903"</f>
        <v>9783110166903</v>
      </c>
      <c r="D5862" t="str">
        <f>"9783110219043"</f>
        <v>9783110219043</v>
      </c>
      <c r="E5862" t="s">
        <v>2482</v>
      </c>
      <c r="F5862" t="s">
        <v>2483</v>
      </c>
      <c r="G5862" s="1">
        <v>36692</v>
      </c>
      <c r="H5862" s="1">
        <v>40231</v>
      </c>
      <c r="I5862" t="s">
        <v>12</v>
      </c>
      <c r="J5862" t="s">
        <v>16632</v>
      </c>
    </row>
    <row r="5863" spans="1:10" x14ac:dyDescent="0.25">
      <c r="A5863">
        <v>476034</v>
      </c>
      <c r="B5863" t="s">
        <v>6135</v>
      </c>
      <c r="C5863" t="str">
        <f>"9783110140828"</f>
        <v>9783110140828</v>
      </c>
      <c r="D5863" t="str">
        <f>"9783110219289"</f>
        <v>9783110219289</v>
      </c>
      <c r="E5863" t="s">
        <v>2482</v>
      </c>
      <c r="F5863" t="s">
        <v>2483</v>
      </c>
      <c r="G5863" s="1">
        <v>35047</v>
      </c>
      <c r="H5863" s="1">
        <v>40231</v>
      </c>
      <c r="I5863" t="s">
        <v>12</v>
      </c>
      <c r="J5863" t="s">
        <v>16633</v>
      </c>
    </row>
    <row r="5864" spans="1:10" x14ac:dyDescent="0.25">
      <c r="A5864">
        <v>476043</v>
      </c>
      <c r="B5864" t="s">
        <v>6136</v>
      </c>
      <c r="C5864" t="str">
        <f>"9783110222425"</f>
        <v>9783110222425</v>
      </c>
      <c r="D5864" t="str">
        <f>"9783110222432"</f>
        <v>9783110222432</v>
      </c>
      <c r="E5864" t="s">
        <v>2482</v>
      </c>
      <c r="F5864" t="s">
        <v>2482</v>
      </c>
      <c r="G5864" s="1">
        <v>40060</v>
      </c>
      <c r="H5864" s="1">
        <v>40231</v>
      </c>
      <c r="I5864" t="s">
        <v>12</v>
      </c>
      <c r="J5864" t="s">
        <v>16634</v>
      </c>
    </row>
    <row r="5865" spans="1:10" x14ac:dyDescent="0.25">
      <c r="A5865">
        <v>476047</v>
      </c>
      <c r="B5865" t="s">
        <v>6137</v>
      </c>
      <c r="C5865" t="str">
        <f>"9783110205152"</f>
        <v>9783110205152</v>
      </c>
      <c r="D5865" t="str">
        <f>"9783110215366"</f>
        <v>9783110215366</v>
      </c>
      <c r="E5865" t="s">
        <v>2482</v>
      </c>
      <c r="F5865" t="s">
        <v>2483</v>
      </c>
      <c r="G5865" s="1">
        <v>40072</v>
      </c>
      <c r="H5865" s="1">
        <v>40231</v>
      </c>
      <c r="I5865" t="s">
        <v>12</v>
      </c>
      <c r="J5865" t="s">
        <v>16635</v>
      </c>
    </row>
    <row r="5866" spans="1:10" x14ac:dyDescent="0.25">
      <c r="A5866">
        <v>476090</v>
      </c>
      <c r="B5866" t="s">
        <v>6138</v>
      </c>
      <c r="C5866" t="str">
        <f>"9783110216189"</f>
        <v>9783110216189</v>
      </c>
      <c r="D5866" t="str">
        <f>"9783110216196"</f>
        <v>9783110216196</v>
      </c>
      <c r="E5866" t="s">
        <v>2482</v>
      </c>
      <c r="F5866" t="s">
        <v>2483</v>
      </c>
      <c r="G5866" s="1">
        <v>40060</v>
      </c>
      <c r="H5866" s="1">
        <v>40231</v>
      </c>
      <c r="I5866" t="s">
        <v>12</v>
      </c>
      <c r="J5866" t="s">
        <v>16636</v>
      </c>
    </row>
    <row r="5867" spans="1:10" x14ac:dyDescent="0.25">
      <c r="A5867">
        <v>476127</v>
      </c>
      <c r="B5867" t="s">
        <v>6139</v>
      </c>
      <c r="C5867" t="str">
        <f>"9783110197013"</f>
        <v>9783110197013</v>
      </c>
      <c r="D5867" t="str">
        <f>"9783110203059"</f>
        <v>9783110203059</v>
      </c>
      <c r="E5867" t="s">
        <v>2482</v>
      </c>
      <c r="F5867" t="s">
        <v>2482</v>
      </c>
      <c r="G5867" s="1">
        <v>40060</v>
      </c>
      <c r="H5867" s="1">
        <v>40231</v>
      </c>
      <c r="I5867" t="s">
        <v>12</v>
      </c>
      <c r="J5867" t="s">
        <v>16637</v>
      </c>
    </row>
    <row r="5868" spans="1:10" x14ac:dyDescent="0.25">
      <c r="A5868">
        <v>476464</v>
      </c>
      <c r="B5868" t="s">
        <v>6140</v>
      </c>
      <c r="C5868" t="str">
        <f>"9781555814366"</f>
        <v>9781555814366</v>
      </c>
      <c r="D5868" t="str">
        <f>"9781555815561"</f>
        <v>9781555815561</v>
      </c>
      <c r="E5868" t="s">
        <v>6141</v>
      </c>
      <c r="F5868" t="s">
        <v>6141</v>
      </c>
      <c r="G5868" s="1">
        <v>39686</v>
      </c>
      <c r="H5868" s="1">
        <v>41521</v>
      </c>
      <c r="I5868" t="s">
        <v>12</v>
      </c>
      <c r="J5868" t="s">
        <v>16638</v>
      </c>
    </row>
    <row r="5869" spans="1:10" x14ac:dyDescent="0.25">
      <c r="A5869">
        <v>476470</v>
      </c>
      <c r="B5869" t="s">
        <v>6142</v>
      </c>
      <c r="C5869" t="str">
        <f>"9781555813970"</f>
        <v>9781555813970</v>
      </c>
      <c r="D5869" t="str">
        <f>"9781555815455"</f>
        <v>9781555815455</v>
      </c>
      <c r="E5869" t="s">
        <v>6141</v>
      </c>
      <c r="F5869" t="s">
        <v>6141</v>
      </c>
      <c r="G5869" s="1">
        <v>39708</v>
      </c>
      <c r="H5869" s="1">
        <v>41521</v>
      </c>
      <c r="I5869" t="s">
        <v>12</v>
      </c>
      <c r="J5869" t="s">
        <v>16639</v>
      </c>
    </row>
    <row r="5870" spans="1:10" x14ac:dyDescent="0.25">
      <c r="A5870">
        <v>476514</v>
      </c>
      <c r="B5870" t="s">
        <v>6143</v>
      </c>
      <c r="C5870" t="str">
        <f>"9781441112361"</f>
        <v>9781441112361</v>
      </c>
      <c r="D5870" t="str">
        <f>"9781441135803"</f>
        <v>9781441135803</v>
      </c>
      <c r="E5870" t="s">
        <v>4180</v>
      </c>
      <c r="F5870" t="s">
        <v>4180</v>
      </c>
      <c r="G5870" s="1">
        <v>40899</v>
      </c>
      <c r="H5870" s="1">
        <v>42326</v>
      </c>
      <c r="I5870" t="s">
        <v>12</v>
      </c>
      <c r="J5870" t="s">
        <v>16640</v>
      </c>
    </row>
    <row r="5871" spans="1:10" x14ac:dyDescent="0.25">
      <c r="A5871">
        <v>476515</v>
      </c>
      <c r="B5871" t="s">
        <v>6144</v>
      </c>
      <c r="C5871" t="str">
        <f>"9781441129246"</f>
        <v>9781441129246</v>
      </c>
      <c r="D5871" t="str">
        <f>"9781441125149"</f>
        <v>9781441125149</v>
      </c>
      <c r="E5871" t="s">
        <v>4180</v>
      </c>
      <c r="F5871" t="s">
        <v>4180</v>
      </c>
      <c r="G5871" s="1">
        <v>40906</v>
      </c>
      <c r="H5871" s="1">
        <v>42326</v>
      </c>
      <c r="I5871" t="s">
        <v>12</v>
      </c>
      <c r="J5871" t="s">
        <v>16641</v>
      </c>
    </row>
    <row r="5872" spans="1:10" x14ac:dyDescent="0.25">
      <c r="A5872">
        <v>476530</v>
      </c>
      <c r="B5872" t="s">
        <v>6145</v>
      </c>
      <c r="C5872" t="str">
        <f>"9781441142733"</f>
        <v>9781441142733</v>
      </c>
      <c r="D5872" t="str">
        <f>"9781441158284"</f>
        <v>9781441158284</v>
      </c>
      <c r="E5872" t="s">
        <v>4180</v>
      </c>
      <c r="F5872" t="s">
        <v>4180</v>
      </c>
      <c r="G5872" s="1">
        <v>40920</v>
      </c>
      <c r="H5872" s="1">
        <v>42326</v>
      </c>
      <c r="I5872" t="s">
        <v>12</v>
      </c>
      <c r="J5872" t="s">
        <v>16642</v>
      </c>
    </row>
    <row r="5873" spans="1:10" x14ac:dyDescent="0.25">
      <c r="A5873">
        <v>476537</v>
      </c>
      <c r="B5873" t="s">
        <v>6146</v>
      </c>
      <c r="C5873" t="str">
        <f>"9781847061188"</f>
        <v>9781847061188</v>
      </c>
      <c r="D5873" t="str">
        <f>"9780826436504"</f>
        <v>9780826436504</v>
      </c>
      <c r="E5873" t="s">
        <v>1400</v>
      </c>
      <c r="F5873" t="s">
        <v>1401</v>
      </c>
      <c r="G5873" s="1">
        <v>40108</v>
      </c>
      <c r="H5873" s="1">
        <v>40292</v>
      </c>
      <c r="I5873" t="s">
        <v>12</v>
      </c>
      <c r="J5873" t="s">
        <v>16643</v>
      </c>
    </row>
    <row r="5874" spans="1:10" x14ac:dyDescent="0.25">
      <c r="A5874">
        <v>476562</v>
      </c>
      <c r="B5874" t="s">
        <v>6147</v>
      </c>
      <c r="C5874" t="str">
        <f>"9781844077588"</f>
        <v>9781844077588</v>
      </c>
      <c r="D5874" t="str">
        <f>"9781849772983"</f>
        <v>9781849772983</v>
      </c>
      <c r="E5874" t="s">
        <v>15</v>
      </c>
      <c r="F5874" t="s">
        <v>16</v>
      </c>
      <c r="G5874" s="1">
        <v>39961</v>
      </c>
      <c r="H5874" s="1">
        <v>41085</v>
      </c>
      <c r="I5874" t="s">
        <v>12</v>
      </c>
      <c r="J5874" t="s">
        <v>16644</v>
      </c>
    </row>
    <row r="5875" spans="1:10" x14ac:dyDescent="0.25">
      <c r="A5875">
        <v>476576</v>
      </c>
      <c r="B5875" t="s">
        <v>6148</v>
      </c>
      <c r="C5875" t="str">
        <f>"9781844076444"</f>
        <v>9781844076444</v>
      </c>
      <c r="D5875" t="str">
        <f>"9781849770941"</f>
        <v>9781849770941</v>
      </c>
      <c r="E5875" t="s">
        <v>15</v>
      </c>
      <c r="F5875" t="s">
        <v>16</v>
      </c>
      <c r="G5875" s="1">
        <v>39961</v>
      </c>
      <c r="H5875" s="1">
        <v>40192</v>
      </c>
      <c r="I5875" t="s">
        <v>12</v>
      </c>
      <c r="J5875" t="s">
        <v>16645</v>
      </c>
    </row>
    <row r="5876" spans="1:10" x14ac:dyDescent="0.25">
      <c r="A5876">
        <v>476579</v>
      </c>
      <c r="B5876" t="s">
        <v>5621</v>
      </c>
      <c r="C5876" t="str">
        <f>""</f>
        <v/>
      </c>
      <c r="D5876" t="str">
        <f>"9781849770392"</f>
        <v>9781849770392</v>
      </c>
      <c r="E5876" t="s">
        <v>16</v>
      </c>
      <c r="F5876" t="s">
        <v>16</v>
      </c>
      <c r="G5876" s="1">
        <v>39203</v>
      </c>
      <c r="H5876" s="1">
        <v>40192</v>
      </c>
      <c r="I5876" t="s">
        <v>12</v>
      </c>
      <c r="J5876" t="s">
        <v>16646</v>
      </c>
    </row>
    <row r="5877" spans="1:10" x14ac:dyDescent="0.25">
      <c r="A5877">
        <v>476985</v>
      </c>
      <c r="B5877" t="s">
        <v>6149</v>
      </c>
      <c r="C5877" t="str">
        <f>"9780874620818"</f>
        <v>9780874620818</v>
      </c>
      <c r="D5877" t="str">
        <f>"9780874623475"</f>
        <v>9780874623475</v>
      </c>
      <c r="E5877" t="s">
        <v>6150</v>
      </c>
      <c r="F5877" t="s">
        <v>6150</v>
      </c>
      <c r="G5877" s="1">
        <v>39448</v>
      </c>
      <c r="H5877" s="1">
        <v>40245</v>
      </c>
      <c r="I5877" t="s">
        <v>12</v>
      </c>
      <c r="J5877" t="s">
        <v>16647</v>
      </c>
    </row>
    <row r="5878" spans="1:10" x14ac:dyDescent="0.25">
      <c r="A5878">
        <v>477241</v>
      </c>
      <c r="B5878" t="s">
        <v>6151</v>
      </c>
      <c r="C5878" t="str">
        <f>"9789812838230"</f>
        <v>9789812838230</v>
      </c>
      <c r="D5878" t="str">
        <f>"9789812838247"</f>
        <v>9789812838247</v>
      </c>
      <c r="E5878" t="s">
        <v>1056</v>
      </c>
      <c r="F5878" t="s">
        <v>1056</v>
      </c>
      <c r="G5878" s="1">
        <v>39987</v>
      </c>
      <c r="H5878" s="1">
        <v>40218</v>
      </c>
      <c r="I5878" t="s">
        <v>12</v>
      </c>
      <c r="J5878" t="s">
        <v>16648</v>
      </c>
    </row>
    <row r="5879" spans="1:10" x14ac:dyDescent="0.25">
      <c r="A5879">
        <v>477262</v>
      </c>
      <c r="B5879" t="s">
        <v>6152</v>
      </c>
      <c r="C5879" t="str">
        <f>"9789812834751"</f>
        <v>9789812834751</v>
      </c>
      <c r="D5879" t="str">
        <f>"9789812834768"</f>
        <v>9789812834768</v>
      </c>
      <c r="E5879" t="s">
        <v>1056</v>
      </c>
      <c r="F5879" t="s">
        <v>1056</v>
      </c>
      <c r="G5879" s="1">
        <v>39881</v>
      </c>
      <c r="H5879" s="1">
        <v>40218</v>
      </c>
      <c r="I5879" t="s">
        <v>12</v>
      </c>
      <c r="J5879" t="s">
        <v>16649</v>
      </c>
    </row>
    <row r="5880" spans="1:10" x14ac:dyDescent="0.25">
      <c r="A5880">
        <v>477271</v>
      </c>
      <c r="B5880" t="s">
        <v>6153</v>
      </c>
      <c r="C5880" t="str">
        <f>"9789812813886"</f>
        <v>9789812813886</v>
      </c>
      <c r="D5880" t="str">
        <f>"9789812813893"</f>
        <v>9789812813893</v>
      </c>
      <c r="E5880" t="s">
        <v>1042</v>
      </c>
      <c r="F5880" t="s">
        <v>1043</v>
      </c>
      <c r="G5880" s="1">
        <v>39783</v>
      </c>
      <c r="H5880" s="1">
        <v>40218</v>
      </c>
      <c r="I5880" t="s">
        <v>12</v>
      </c>
      <c r="J5880" t="s">
        <v>16650</v>
      </c>
    </row>
    <row r="5881" spans="1:10" x14ac:dyDescent="0.25">
      <c r="A5881">
        <v>477449</v>
      </c>
      <c r="B5881" t="s">
        <v>6154</v>
      </c>
      <c r="C5881" t="str">
        <f>"9780816070114"</f>
        <v>9780816070114</v>
      </c>
      <c r="D5881" t="str">
        <f>"9781438119090"</f>
        <v>9781438119090</v>
      </c>
      <c r="E5881" t="s">
        <v>2998</v>
      </c>
      <c r="F5881" t="s">
        <v>2999</v>
      </c>
      <c r="G5881" s="1">
        <v>40132</v>
      </c>
      <c r="H5881" s="1">
        <v>40218</v>
      </c>
      <c r="I5881" t="s">
        <v>12</v>
      </c>
      <c r="J5881" t="s">
        <v>16651</v>
      </c>
    </row>
    <row r="5882" spans="1:10" x14ac:dyDescent="0.25">
      <c r="A5882">
        <v>477465</v>
      </c>
      <c r="B5882" t="s">
        <v>6155</v>
      </c>
      <c r="C5882" t="str">
        <f>"9780816061006"</f>
        <v>9780816061006</v>
      </c>
      <c r="D5882" t="str">
        <f>"9781438125695"</f>
        <v>9781438125695</v>
      </c>
      <c r="E5882" t="s">
        <v>2998</v>
      </c>
      <c r="F5882" t="s">
        <v>2999</v>
      </c>
      <c r="G5882" s="1">
        <v>40132</v>
      </c>
      <c r="H5882" s="1">
        <v>40218</v>
      </c>
      <c r="I5882" t="s">
        <v>12</v>
      </c>
      <c r="J5882" t="s">
        <v>16652</v>
      </c>
    </row>
    <row r="5883" spans="1:10" x14ac:dyDescent="0.25">
      <c r="A5883">
        <v>477563</v>
      </c>
      <c r="B5883" t="s">
        <v>6156</v>
      </c>
      <c r="C5883" t="str">
        <f>"9780816072026"</f>
        <v>9780816072026</v>
      </c>
      <c r="D5883" t="str">
        <f>"9781438126333"</f>
        <v>9781438126333</v>
      </c>
      <c r="E5883" t="s">
        <v>2998</v>
      </c>
      <c r="F5883" t="s">
        <v>2999</v>
      </c>
      <c r="G5883" s="1">
        <v>40087</v>
      </c>
      <c r="H5883" s="1">
        <v>40218</v>
      </c>
      <c r="I5883" t="s">
        <v>12</v>
      </c>
      <c r="J5883" t="s">
        <v>16653</v>
      </c>
    </row>
    <row r="5884" spans="1:10" x14ac:dyDescent="0.25">
      <c r="A5884">
        <v>477564</v>
      </c>
      <c r="B5884" t="s">
        <v>6157</v>
      </c>
      <c r="C5884" t="str">
        <f>"9780816071999"</f>
        <v>9780816071999</v>
      </c>
      <c r="D5884" t="str">
        <f>"9781438126326"</f>
        <v>9781438126326</v>
      </c>
      <c r="E5884" t="s">
        <v>2998</v>
      </c>
      <c r="F5884" t="s">
        <v>2999</v>
      </c>
      <c r="G5884" s="1">
        <v>40132</v>
      </c>
      <c r="H5884" s="1">
        <v>40218</v>
      </c>
      <c r="I5884" t="s">
        <v>12</v>
      </c>
      <c r="J5884" t="s">
        <v>16654</v>
      </c>
    </row>
    <row r="5885" spans="1:10" x14ac:dyDescent="0.25">
      <c r="A5885">
        <v>477578</v>
      </c>
      <c r="B5885" t="s">
        <v>6158</v>
      </c>
      <c r="C5885" t="str">
        <f>"9780816063949"</f>
        <v>9780816063949</v>
      </c>
      <c r="D5885" t="str">
        <f>"9781438107875"</f>
        <v>9781438107875</v>
      </c>
      <c r="E5885" t="s">
        <v>2998</v>
      </c>
      <c r="F5885" t="s">
        <v>2999</v>
      </c>
      <c r="G5885" s="1">
        <v>39217</v>
      </c>
      <c r="H5885" s="1">
        <v>40218</v>
      </c>
      <c r="I5885" t="s">
        <v>12</v>
      </c>
      <c r="J5885" t="s">
        <v>16655</v>
      </c>
    </row>
    <row r="5886" spans="1:10" x14ac:dyDescent="0.25">
      <c r="A5886">
        <v>477606</v>
      </c>
      <c r="B5886" t="s">
        <v>6159</v>
      </c>
      <c r="C5886" t="str">
        <f>"9780816070824"</f>
        <v>9780816070824</v>
      </c>
      <c r="D5886" t="str">
        <f>"9781438116822"</f>
        <v>9781438116822</v>
      </c>
      <c r="E5886" t="s">
        <v>2998</v>
      </c>
      <c r="F5886" t="s">
        <v>2999</v>
      </c>
      <c r="G5886" s="1">
        <v>39918</v>
      </c>
      <c r="H5886" s="1">
        <v>40218</v>
      </c>
      <c r="I5886" t="s">
        <v>12</v>
      </c>
      <c r="J5886" t="s">
        <v>16656</v>
      </c>
    </row>
    <row r="5887" spans="1:10" x14ac:dyDescent="0.25">
      <c r="A5887">
        <v>477610</v>
      </c>
      <c r="B5887" t="s">
        <v>6160</v>
      </c>
      <c r="C5887" t="str">
        <f>"9780816070862"</f>
        <v>9780816070862</v>
      </c>
      <c r="D5887" t="str">
        <f>"9781438116860"</f>
        <v>9781438116860</v>
      </c>
      <c r="E5887" t="s">
        <v>2998</v>
      </c>
      <c r="F5887" t="s">
        <v>2999</v>
      </c>
      <c r="G5887" s="1">
        <v>39948</v>
      </c>
      <c r="H5887" s="1">
        <v>40218</v>
      </c>
      <c r="I5887" t="s">
        <v>12</v>
      </c>
      <c r="J5887" t="s">
        <v>16657</v>
      </c>
    </row>
    <row r="5888" spans="1:10" x14ac:dyDescent="0.25">
      <c r="A5888">
        <v>478828</v>
      </c>
      <c r="B5888" t="s">
        <v>6161</v>
      </c>
      <c r="C5888" t="str">
        <f>"9780876590713"</f>
        <v>9780876590713</v>
      </c>
      <c r="D5888" t="str">
        <f>"9780876591468"</f>
        <v>9780876591468</v>
      </c>
      <c r="E5888" t="s">
        <v>6162</v>
      </c>
      <c r="F5888" t="s">
        <v>6162</v>
      </c>
      <c r="G5888" s="1">
        <v>39965</v>
      </c>
      <c r="H5888" s="1">
        <v>41345</v>
      </c>
      <c r="I5888" t="s">
        <v>12</v>
      </c>
      <c r="J5888" t="s">
        <v>16658</v>
      </c>
    </row>
    <row r="5889" spans="1:10" x14ac:dyDescent="0.25">
      <c r="A5889">
        <v>478849</v>
      </c>
      <c r="B5889" t="s">
        <v>6163</v>
      </c>
      <c r="C5889" t="str">
        <f>"9780876590652"</f>
        <v>9780876590652</v>
      </c>
      <c r="D5889" t="str">
        <f>"9780876591321"</f>
        <v>9780876591321</v>
      </c>
      <c r="E5889" t="s">
        <v>6162</v>
      </c>
      <c r="F5889" t="s">
        <v>6162</v>
      </c>
      <c r="G5889" s="1">
        <v>39995</v>
      </c>
      <c r="H5889" s="1">
        <v>41333</v>
      </c>
      <c r="I5889" t="s">
        <v>12</v>
      </c>
      <c r="J5889" t="s">
        <v>16659</v>
      </c>
    </row>
    <row r="5890" spans="1:10" x14ac:dyDescent="0.25">
      <c r="A5890">
        <v>478954</v>
      </c>
      <c r="B5890" t="s">
        <v>6164</v>
      </c>
      <c r="C5890" t="str">
        <f>"9780813344522"</f>
        <v>9780813344522</v>
      </c>
      <c r="D5890" t="str">
        <f>"9780786751464"</f>
        <v>9780786751464</v>
      </c>
      <c r="E5890" t="s">
        <v>15</v>
      </c>
      <c r="F5890" t="s">
        <v>16</v>
      </c>
      <c r="G5890" s="1">
        <v>40036</v>
      </c>
      <c r="H5890" s="1">
        <v>40218</v>
      </c>
      <c r="I5890" t="s">
        <v>12</v>
      </c>
      <c r="J5890" t="s">
        <v>16660</v>
      </c>
    </row>
    <row r="5891" spans="1:10" x14ac:dyDescent="0.25">
      <c r="A5891">
        <v>479209</v>
      </c>
      <c r="B5891" t="s">
        <v>6165</v>
      </c>
      <c r="C5891" t="str">
        <f>"9781576756003"</f>
        <v>9781576756003</v>
      </c>
      <c r="D5891" t="str">
        <f>"9781605094304"</f>
        <v>9781605094304</v>
      </c>
      <c r="E5891" t="s">
        <v>6166</v>
      </c>
      <c r="F5891" t="s">
        <v>6166</v>
      </c>
      <c r="G5891" s="1">
        <v>38169</v>
      </c>
      <c r="H5891" s="1">
        <v>42336</v>
      </c>
      <c r="I5891" t="s">
        <v>12</v>
      </c>
      <c r="J5891" t="s">
        <v>16661</v>
      </c>
    </row>
    <row r="5892" spans="1:10" x14ac:dyDescent="0.25">
      <c r="A5892">
        <v>479227</v>
      </c>
      <c r="B5892" t="s">
        <v>6167</v>
      </c>
      <c r="C5892" t="str">
        <f>"9781605092898"</f>
        <v>9781605092898</v>
      </c>
      <c r="D5892" t="str">
        <f>"9781605092904"</f>
        <v>9781605092904</v>
      </c>
      <c r="E5892" t="s">
        <v>6168</v>
      </c>
      <c r="F5892" t="s">
        <v>6166</v>
      </c>
      <c r="G5892" s="1">
        <v>39847</v>
      </c>
      <c r="H5892" s="1">
        <v>40233</v>
      </c>
      <c r="I5892" t="s">
        <v>12</v>
      </c>
      <c r="J5892" t="s">
        <v>16662</v>
      </c>
    </row>
    <row r="5893" spans="1:10" x14ac:dyDescent="0.25">
      <c r="A5893">
        <v>479231</v>
      </c>
      <c r="B5893" t="s">
        <v>6169</v>
      </c>
      <c r="C5893" t="str">
        <f>"9781576754443"</f>
        <v>9781576754443</v>
      </c>
      <c r="D5893" t="str">
        <f>"9781576759028"</f>
        <v>9781576759028</v>
      </c>
      <c r="E5893" t="s">
        <v>6166</v>
      </c>
      <c r="F5893" t="s">
        <v>6166</v>
      </c>
      <c r="G5893" s="1">
        <v>39965</v>
      </c>
      <c r="H5893" s="1">
        <v>40287</v>
      </c>
      <c r="I5893" t="s">
        <v>12</v>
      </c>
      <c r="J5893" t="s">
        <v>16663</v>
      </c>
    </row>
    <row r="5894" spans="1:10" x14ac:dyDescent="0.25">
      <c r="A5894">
        <v>479898</v>
      </c>
      <c r="B5894" t="s">
        <v>6170</v>
      </c>
      <c r="C5894" t="str">
        <f>"9780470607541"</f>
        <v>9780470607541</v>
      </c>
      <c r="D5894" t="str">
        <f>"9780470632604"</f>
        <v>9780470632604</v>
      </c>
      <c r="E5894" t="s">
        <v>1138</v>
      </c>
      <c r="F5894" t="s">
        <v>4889</v>
      </c>
      <c r="G5894" s="1">
        <v>40197</v>
      </c>
      <c r="H5894" s="1">
        <v>40218</v>
      </c>
      <c r="I5894" t="s">
        <v>12</v>
      </c>
      <c r="J5894" t="s">
        <v>16664</v>
      </c>
    </row>
    <row r="5895" spans="1:10" x14ac:dyDescent="0.25">
      <c r="A5895">
        <v>479921</v>
      </c>
      <c r="B5895" t="s">
        <v>6171</v>
      </c>
      <c r="C5895" t="str">
        <f>"9780470562260"</f>
        <v>9780470562260</v>
      </c>
      <c r="D5895" t="str">
        <f>"9780470609378"</f>
        <v>9780470609378</v>
      </c>
      <c r="E5895" t="s">
        <v>1088</v>
      </c>
      <c r="F5895" t="s">
        <v>5057</v>
      </c>
      <c r="G5895" s="1">
        <v>40190</v>
      </c>
      <c r="H5895" s="1">
        <v>40218</v>
      </c>
      <c r="I5895" t="s">
        <v>12</v>
      </c>
      <c r="J5895" t="s">
        <v>16665</v>
      </c>
    </row>
    <row r="5896" spans="1:10" x14ac:dyDescent="0.25">
      <c r="A5896">
        <v>479924</v>
      </c>
      <c r="B5896" t="s">
        <v>6172</v>
      </c>
      <c r="C5896" t="str">
        <f>"9780787995201"</f>
        <v>9780787995201</v>
      </c>
      <c r="D5896" t="str">
        <f>"9780470623596"</f>
        <v>9780470623596</v>
      </c>
      <c r="E5896" t="s">
        <v>1088</v>
      </c>
      <c r="F5896" t="s">
        <v>5059</v>
      </c>
      <c r="G5896" s="1">
        <v>40184</v>
      </c>
      <c r="H5896" s="1">
        <v>40218</v>
      </c>
      <c r="I5896" t="s">
        <v>12</v>
      </c>
      <c r="J5896" t="s">
        <v>16666</v>
      </c>
    </row>
    <row r="5897" spans="1:10" x14ac:dyDescent="0.25">
      <c r="A5897">
        <v>480059</v>
      </c>
      <c r="B5897" t="s">
        <v>6173</v>
      </c>
      <c r="C5897" t="str">
        <f>"9780810872868"</f>
        <v>9780810872868</v>
      </c>
      <c r="D5897" t="str">
        <f>"9780810872875"</f>
        <v>9780810872875</v>
      </c>
      <c r="E5897" t="s">
        <v>6074</v>
      </c>
      <c r="F5897" t="s">
        <v>6074</v>
      </c>
      <c r="G5897" s="1">
        <v>40157</v>
      </c>
      <c r="H5897" s="1">
        <v>40577</v>
      </c>
      <c r="I5897" t="s">
        <v>12</v>
      </c>
      <c r="J5897" t="s">
        <v>16667</v>
      </c>
    </row>
    <row r="5898" spans="1:10" x14ac:dyDescent="0.25">
      <c r="A5898">
        <v>480074</v>
      </c>
      <c r="B5898" t="s">
        <v>6174</v>
      </c>
      <c r="C5898" t="str">
        <f>"9781607093138"</f>
        <v>9781607093138</v>
      </c>
      <c r="D5898" t="str">
        <f>"9781607093152"</f>
        <v>9781607093152</v>
      </c>
      <c r="E5898" t="s">
        <v>6076</v>
      </c>
      <c r="F5898" t="s">
        <v>6076</v>
      </c>
      <c r="G5898" s="1">
        <v>40194</v>
      </c>
      <c r="H5898" s="1">
        <v>40218</v>
      </c>
      <c r="I5898" t="s">
        <v>12</v>
      </c>
      <c r="J5898" t="s">
        <v>16668</v>
      </c>
    </row>
    <row r="5899" spans="1:10" x14ac:dyDescent="0.25">
      <c r="A5899">
        <v>480471</v>
      </c>
      <c r="B5899" t="s">
        <v>6175</v>
      </c>
      <c r="C5899" t="str">
        <f>"9780470747162"</f>
        <v>9780470747162</v>
      </c>
      <c r="D5899" t="str">
        <f>"9780470665022"</f>
        <v>9780470665022</v>
      </c>
      <c r="E5899" t="s">
        <v>1088</v>
      </c>
      <c r="F5899" t="s">
        <v>4889</v>
      </c>
      <c r="G5899" s="1">
        <v>40212</v>
      </c>
      <c r="H5899" s="1">
        <v>40228</v>
      </c>
      <c r="I5899" t="s">
        <v>12</v>
      </c>
      <c r="J5899" t="s">
        <v>16669</v>
      </c>
    </row>
    <row r="5900" spans="1:10" x14ac:dyDescent="0.25">
      <c r="A5900">
        <v>480546</v>
      </c>
      <c r="B5900" t="s">
        <v>6176</v>
      </c>
      <c r="C5900" t="str">
        <f>"9780749456375"</f>
        <v>9780749456375</v>
      </c>
      <c r="D5900" t="str">
        <f>"9780749458720"</f>
        <v>9780749458720</v>
      </c>
      <c r="E5900" t="s">
        <v>1059</v>
      </c>
      <c r="F5900" t="s">
        <v>1059</v>
      </c>
      <c r="G5900" s="1">
        <v>40150</v>
      </c>
      <c r="H5900" s="1">
        <v>40228</v>
      </c>
      <c r="I5900" t="s">
        <v>12</v>
      </c>
      <c r="J5900" t="s">
        <v>16670</v>
      </c>
    </row>
    <row r="5901" spans="1:10" x14ac:dyDescent="0.25">
      <c r="A5901">
        <v>480633</v>
      </c>
      <c r="B5901" t="s">
        <v>6177</v>
      </c>
      <c r="C5901" t="str">
        <f>"9780335210541"</f>
        <v>9780335210541</v>
      </c>
      <c r="D5901" t="str">
        <f>"9780335227754"</f>
        <v>9780335227754</v>
      </c>
      <c r="E5901" t="s">
        <v>2795</v>
      </c>
      <c r="F5901" t="s">
        <v>2796</v>
      </c>
      <c r="G5901" s="1">
        <v>37622</v>
      </c>
      <c r="H5901" s="1">
        <v>40229</v>
      </c>
      <c r="I5901" t="s">
        <v>12</v>
      </c>
      <c r="J5901" t="s">
        <v>16671</v>
      </c>
    </row>
    <row r="5902" spans="1:10" x14ac:dyDescent="0.25">
      <c r="A5902">
        <v>480976</v>
      </c>
      <c r="B5902" t="s">
        <v>6178</v>
      </c>
      <c r="C5902" t="str">
        <f>"9781861890085"</f>
        <v>9781861890085</v>
      </c>
      <c r="D5902" t="str">
        <f>"9781861894991"</f>
        <v>9781861894991</v>
      </c>
      <c r="E5902" t="s">
        <v>5129</v>
      </c>
      <c r="F5902" t="s">
        <v>5129</v>
      </c>
      <c r="G5902" s="1">
        <v>38777</v>
      </c>
      <c r="H5902" s="1">
        <v>40218</v>
      </c>
      <c r="I5902" t="s">
        <v>12</v>
      </c>
      <c r="J5902" t="s">
        <v>16672</v>
      </c>
    </row>
    <row r="5903" spans="1:10" x14ac:dyDescent="0.25">
      <c r="A5903">
        <v>480991</v>
      </c>
      <c r="B5903" t="s">
        <v>6179</v>
      </c>
      <c r="C5903" t="str">
        <f>"9781861893727"</f>
        <v>9781861893727</v>
      </c>
      <c r="D5903" t="str">
        <f>"9781861894748"</f>
        <v>9781861894748</v>
      </c>
      <c r="E5903" t="s">
        <v>5129</v>
      </c>
      <c r="F5903" t="s">
        <v>5129</v>
      </c>
      <c r="G5903" s="1">
        <v>39706</v>
      </c>
      <c r="H5903" s="1">
        <v>40218</v>
      </c>
      <c r="I5903" t="s">
        <v>12</v>
      </c>
      <c r="J5903" t="s">
        <v>16673</v>
      </c>
    </row>
    <row r="5904" spans="1:10" x14ac:dyDescent="0.25">
      <c r="A5904">
        <v>481233</v>
      </c>
      <c r="B5904" t="s">
        <v>6180</v>
      </c>
      <c r="C5904" t="str">
        <f>"9780226401188"</f>
        <v>9780226401188</v>
      </c>
      <c r="D5904" t="str">
        <f>"9780226401201"</f>
        <v>9780226401201</v>
      </c>
      <c r="E5904" t="s">
        <v>5187</v>
      </c>
      <c r="F5904" t="s">
        <v>5187</v>
      </c>
      <c r="G5904" s="1">
        <v>40193</v>
      </c>
      <c r="H5904" s="1">
        <v>40226</v>
      </c>
      <c r="I5904" t="s">
        <v>12</v>
      </c>
      <c r="J5904" t="s">
        <v>16674</v>
      </c>
    </row>
    <row r="5905" spans="1:10" x14ac:dyDescent="0.25">
      <c r="A5905">
        <v>483310</v>
      </c>
      <c r="B5905" t="s">
        <v>6181</v>
      </c>
      <c r="C5905" t="str">
        <f>"9781412922289"</f>
        <v>9781412922289</v>
      </c>
      <c r="D5905" t="str">
        <f>"9780857023049"</f>
        <v>9780857023049</v>
      </c>
      <c r="E5905" t="s">
        <v>1569</v>
      </c>
      <c r="F5905" t="s">
        <v>1570</v>
      </c>
      <c r="G5905" s="1">
        <v>39755</v>
      </c>
      <c r="H5905" s="1">
        <v>40218</v>
      </c>
      <c r="I5905" t="s">
        <v>12</v>
      </c>
      <c r="J5905" t="s">
        <v>16675</v>
      </c>
    </row>
    <row r="5906" spans="1:10" x14ac:dyDescent="0.25">
      <c r="A5906">
        <v>483323</v>
      </c>
      <c r="B5906" t="s">
        <v>6182</v>
      </c>
      <c r="C5906" t="str">
        <f>"9781412903158"</f>
        <v>9781412903158</v>
      </c>
      <c r="D5906" t="str">
        <f>"9780857022998"</f>
        <v>9780857022998</v>
      </c>
      <c r="E5906" t="s">
        <v>1569</v>
      </c>
      <c r="F5906" t="s">
        <v>1570</v>
      </c>
      <c r="G5906" s="1">
        <v>39728</v>
      </c>
      <c r="H5906" s="1">
        <v>40218</v>
      </c>
      <c r="I5906" t="s">
        <v>12</v>
      </c>
      <c r="J5906" t="s">
        <v>16676</v>
      </c>
    </row>
    <row r="5907" spans="1:10" x14ac:dyDescent="0.25">
      <c r="A5907">
        <v>483327</v>
      </c>
      <c r="B5907" t="s">
        <v>6183</v>
      </c>
      <c r="C5907" t="str">
        <f>"9781412910224"</f>
        <v>9781412910224</v>
      </c>
      <c r="D5907" t="str">
        <f>"9780857023018"</f>
        <v>9780857023018</v>
      </c>
      <c r="E5907" t="s">
        <v>1569</v>
      </c>
      <c r="F5907" t="s">
        <v>1570</v>
      </c>
      <c r="G5907" s="1">
        <v>39499</v>
      </c>
      <c r="H5907" s="1">
        <v>40218</v>
      </c>
      <c r="I5907" t="s">
        <v>12</v>
      </c>
      <c r="J5907" t="s">
        <v>16677</v>
      </c>
    </row>
    <row r="5908" spans="1:10" x14ac:dyDescent="0.25">
      <c r="A5908">
        <v>483356</v>
      </c>
      <c r="B5908" t="s">
        <v>6184</v>
      </c>
      <c r="C5908" t="str">
        <f>"9781412928243"</f>
        <v>9781412928243</v>
      </c>
      <c r="D5908" t="str">
        <f>"9780857023063"</f>
        <v>9780857023063</v>
      </c>
      <c r="E5908" t="s">
        <v>1569</v>
      </c>
      <c r="F5908" t="s">
        <v>1570</v>
      </c>
      <c r="G5908" s="1">
        <v>39667</v>
      </c>
      <c r="H5908" s="1">
        <v>40218</v>
      </c>
      <c r="I5908" t="s">
        <v>12</v>
      </c>
      <c r="J5908" t="s">
        <v>16678</v>
      </c>
    </row>
    <row r="5909" spans="1:10" x14ac:dyDescent="0.25">
      <c r="A5909">
        <v>483386</v>
      </c>
      <c r="B5909" t="s">
        <v>2635</v>
      </c>
      <c r="C5909" t="str">
        <f>"9781412947688"</f>
        <v>9781412947688</v>
      </c>
      <c r="D5909" t="str">
        <f>"9780857023148"</f>
        <v>9780857023148</v>
      </c>
      <c r="E5909" t="s">
        <v>1569</v>
      </c>
      <c r="F5909" t="s">
        <v>1570</v>
      </c>
      <c r="G5909" s="1">
        <v>39728</v>
      </c>
      <c r="H5909" s="1">
        <v>40218</v>
      </c>
      <c r="I5909" t="s">
        <v>12</v>
      </c>
      <c r="J5909" t="s">
        <v>16679</v>
      </c>
    </row>
    <row r="5910" spans="1:10" x14ac:dyDescent="0.25">
      <c r="A5910">
        <v>483392</v>
      </c>
      <c r="B5910" t="s">
        <v>6185</v>
      </c>
      <c r="C5910" t="str">
        <f>"9781412912358"</f>
        <v>9781412912358</v>
      </c>
      <c r="D5910" t="str">
        <f>"9780857023025"</f>
        <v>9780857023025</v>
      </c>
      <c r="E5910" t="s">
        <v>1569</v>
      </c>
      <c r="F5910" t="s">
        <v>1570</v>
      </c>
      <c r="G5910" s="1">
        <v>39589</v>
      </c>
      <c r="H5910" s="1">
        <v>40218</v>
      </c>
      <c r="I5910" t="s">
        <v>12</v>
      </c>
      <c r="J5910" t="s">
        <v>16680</v>
      </c>
    </row>
    <row r="5911" spans="1:10" x14ac:dyDescent="0.25">
      <c r="A5911">
        <v>483494</v>
      </c>
      <c r="B5911" t="s">
        <v>6186</v>
      </c>
      <c r="C5911" t="str">
        <f>"9780691154527"</f>
        <v>9780691154527</v>
      </c>
      <c r="D5911" t="str">
        <f>"9781400833580"</f>
        <v>9781400833580</v>
      </c>
      <c r="E5911" t="s">
        <v>5831</v>
      </c>
      <c r="F5911" t="s">
        <v>5831</v>
      </c>
      <c r="G5911" s="1">
        <v>40209</v>
      </c>
      <c r="H5911" s="1">
        <v>40315</v>
      </c>
      <c r="I5911" t="s">
        <v>12</v>
      </c>
      <c r="J5911" t="s">
        <v>16681</v>
      </c>
    </row>
    <row r="5912" spans="1:10" x14ac:dyDescent="0.25">
      <c r="A5912">
        <v>483499</v>
      </c>
      <c r="B5912" t="s">
        <v>6187</v>
      </c>
      <c r="C5912" t="str">
        <f>"9780691124797"</f>
        <v>9780691124797</v>
      </c>
      <c r="D5912" t="str">
        <f>"9781400831432"</f>
        <v>9781400831432</v>
      </c>
      <c r="E5912" t="s">
        <v>5831</v>
      </c>
      <c r="F5912" t="s">
        <v>5831</v>
      </c>
      <c r="G5912" s="1">
        <v>40118</v>
      </c>
      <c r="H5912" s="1">
        <v>40315</v>
      </c>
      <c r="I5912" t="s">
        <v>12</v>
      </c>
      <c r="J5912" t="s">
        <v>16682</v>
      </c>
    </row>
    <row r="5913" spans="1:10" x14ac:dyDescent="0.25">
      <c r="A5913">
        <v>483512</v>
      </c>
      <c r="B5913" t="s">
        <v>6188</v>
      </c>
      <c r="C5913" t="str">
        <f>"9780691125596"</f>
        <v>9780691125596</v>
      </c>
      <c r="D5913" t="str">
        <f>"9781400832163"</f>
        <v>9781400832163</v>
      </c>
      <c r="E5913" t="s">
        <v>5831</v>
      </c>
      <c r="F5913" t="s">
        <v>5831</v>
      </c>
      <c r="G5913" s="1">
        <v>40174</v>
      </c>
      <c r="H5913" s="1">
        <v>40227</v>
      </c>
      <c r="I5913" t="s">
        <v>12</v>
      </c>
      <c r="J5913" t="s">
        <v>16683</v>
      </c>
    </row>
    <row r="5914" spans="1:10" x14ac:dyDescent="0.25">
      <c r="A5914">
        <v>483587</v>
      </c>
      <c r="B5914" t="s">
        <v>6189</v>
      </c>
      <c r="C5914" t="str">
        <f>"9780691142753"</f>
        <v>9780691142753</v>
      </c>
      <c r="D5914" t="str">
        <f>"9781400832255"</f>
        <v>9781400832255</v>
      </c>
      <c r="E5914" t="s">
        <v>5831</v>
      </c>
      <c r="F5914" t="s">
        <v>5831</v>
      </c>
      <c r="G5914" s="1">
        <v>40202</v>
      </c>
      <c r="H5914" s="1">
        <v>40315</v>
      </c>
      <c r="I5914" t="s">
        <v>12</v>
      </c>
      <c r="J5914" t="s">
        <v>16684</v>
      </c>
    </row>
    <row r="5915" spans="1:10" x14ac:dyDescent="0.25">
      <c r="A5915">
        <v>483737</v>
      </c>
      <c r="B5915" t="s">
        <v>6190</v>
      </c>
      <c r="C5915" t="str">
        <f>"9781576756256"</f>
        <v>9781576756256</v>
      </c>
      <c r="D5915" t="str">
        <f>"9781576757994"</f>
        <v>9781576757994</v>
      </c>
      <c r="E5915" t="s">
        <v>6166</v>
      </c>
      <c r="F5915" t="s">
        <v>6166</v>
      </c>
      <c r="G5915" s="1">
        <v>40026</v>
      </c>
      <c r="H5915" s="1">
        <v>42336</v>
      </c>
      <c r="I5915" t="s">
        <v>12</v>
      </c>
      <c r="J5915" t="s">
        <v>16685</v>
      </c>
    </row>
    <row r="5916" spans="1:10" x14ac:dyDescent="0.25">
      <c r="A5916">
        <v>483740</v>
      </c>
      <c r="B5916" t="s">
        <v>6191</v>
      </c>
      <c r="C5916" t="str">
        <f>"9781576753033"</f>
        <v>9781576753033</v>
      </c>
      <c r="D5916" t="str">
        <f>"9781605094090"</f>
        <v>9781605094090</v>
      </c>
      <c r="E5916" t="s">
        <v>4158</v>
      </c>
      <c r="F5916" t="s">
        <v>4158</v>
      </c>
      <c r="G5916" s="1">
        <v>38270</v>
      </c>
      <c r="H5916" s="1">
        <v>40233</v>
      </c>
      <c r="I5916" t="s">
        <v>12</v>
      </c>
      <c r="J5916" t="s">
        <v>16686</v>
      </c>
    </row>
    <row r="5917" spans="1:10" x14ac:dyDescent="0.25">
      <c r="A5917">
        <v>483750</v>
      </c>
      <c r="B5917" t="s">
        <v>6192</v>
      </c>
      <c r="C5917" t="str">
        <f>"9781605092652"</f>
        <v>9781605092652</v>
      </c>
      <c r="D5917" t="str">
        <f>"9781605092669"</f>
        <v>9781605092669</v>
      </c>
      <c r="E5917" t="s">
        <v>4158</v>
      </c>
      <c r="F5917" t="s">
        <v>4158</v>
      </c>
      <c r="G5917" s="1">
        <v>40035</v>
      </c>
      <c r="H5917" s="1">
        <v>40233</v>
      </c>
      <c r="I5917" t="s">
        <v>12</v>
      </c>
      <c r="J5917" t="s">
        <v>16687</v>
      </c>
    </row>
    <row r="5918" spans="1:10" x14ac:dyDescent="0.25">
      <c r="A5918">
        <v>483752</v>
      </c>
      <c r="B5918" t="s">
        <v>6193</v>
      </c>
      <c r="C5918" t="str">
        <f>"9781576759011"</f>
        <v>9781576759011</v>
      </c>
      <c r="D5918" t="str">
        <f>"9781605091396"</f>
        <v>9781605091396</v>
      </c>
      <c r="E5918" t="s">
        <v>4158</v>
      </c>
      <c r="F5918" t="s">
        <v>4158</v>
      </c>
      <c r="G5918" s="1">
        <v>39944</v>
      </c>
      <c r="H5918" s="1">
        <v>40233</v>
      </c>
      <c r="I5918" t="s">
        <v>12</v>
      </c>
      <c r="J5918" t="s">
        <v>16688</v>
      </c>
    </row>
    <row r="5919" spans="1:10" x14ac:dyDescent="0.25">
      <c r="A5919">
        <v>483823</v>
      </c>
      <c r="B5919" t="s">
        <v>6194</v>
      </c>
      <c r="C5919" t="str">
        <f>"9781607096290"</f>
        <v>9781607096290</v>
      </c>
      <c r="D5919" t="str">
        <f>"9781607095804"</f>
        <v>9781607095804</v>
      </c>
      <c r="E5919" t="s">
        <v>6076</v>
      </c>
      <c r="F5919" t="s">
        <v>6076</v>
      </c>
      <c r="G5919" s="1">
        <v>40194</v>
      </c>
      <c r="H5919" s="1">
        <v>40577</v>
      </c>
      <c r="I5919" t="s">
        <v>12</v>
      </c>
      <c r="J5919" t="s">
        <v>16689</v>
      </c>
    </row>
    <row r="5920" spans="1:10" x14ac:dyDescent="0.25">
      <c r="A5920">
        <v>483835</v>
      </c>
      <c r="B5920" t="s">
        <v>6195</v>
      </c>
      <c r="C5920" t="str">
        <f>"9780761848387"</f>
        <v>9780761848387</v>
      </c>
      <c r="D5920" t="str">
        <f>"9780761848394"</f>
        <v>9780761848394</v>
      </c>
      <c r="E5920" t="s">
        <v>6196</v>
      </c>
      <c r="F5920" t="s">
        <v>6196</v>
      </c>
      <c r="G5920" s="1">
        <v>40154</v>
      </c>
      <c r="H5920" s="1">
        <v>40245</v>
      </c>
      <c r="I5920" t="s">
        <v>12</v>
      </c>
      <c r="J5920" t="s">
        <v>16690</v>
      </c>
    </row>
    <row r="5921" spans="1:10" x14ac:dyDescent="0.25">
      <c r="A5921">
        <v>483900</v>
      </c>
      <c r="B5921" t="s">
        <v>6197</v>
      </c>
      <c r="C5921" t="str">
        <f>"9780759118089"</f>
        <v>9780759118089</v>
      </c>
      <c r="D5921" t="str">
        <f>"9780759118102"</f>
        <v>9780759118102</v>
      </c>
      <c r="E5921" t="s">
        <v>6198</v>
      </c>
      <c r="F5921" t="s">
        <v>6198</v>
      </c>
      <c r="G5921" s="1">
        <v>40194</v>
      </c>
      <c r="H5921" s="1">
        <v>40864</v>
      </c>
      <c r="I5921" t="s">
        <v>12</v>
      </c>
      <c r="J5921" t="s">
        <v>16691</v>
      </c>
    </row>
    <row r="5922" spans="1:10" x14ac:dyDescent="0.25">
      <c r="A5922">
        <v>484824</v>
      </c>
      <c r="B5922" t="s">
        <v>6199</v>
      </c>
      <c r="C5922" t="str">
        <f>"9780787983116"</f>
        <v>9780787983116</v>
      </c>
      <c r="D5922" t="str">
        <f>"9780470575000"</f>
        <v>9780470575000</v>
      </c>
      <c r="E5922" t="s">
        <v>1088</v>
      </c>
      <c r="F5922" t="s">
        <v>5059</v>
      </c>
      <c r="G5922" s="1">
        <v>40238</v>
      </c>
      <c r="H5922" s="1">
        <v>40229</v>
      </c>
      <c r="I5922" t="s">
        <v>12</v>
      </c>
      <c r="J5922" t="s">
        <v>16692</v>
      </c>
    </row>
    <row r="5923" spans="1:10" x14ac:dyDescent="0.25">
      <c r="A5923">
        <v>484889</v>
      </c>
      <c r="B5923" t="s">
        <v>6200</v>
      </c>
      <c r="C5923" t="str">
        <f>"9780470574928"</f>
        <v>9780470574928</v>
      </c>
      <c r="D5923" t="str">
        <f>"9780470622681"</f>
        <v>9780470622681</v>
      </c>
      <c r="E5923" t="s">
        <v>1088</v>
      </c>
      <c r="F5923" t="s">
        <v>5057</v>
      </c>
      <c r="G5923" s="1">
        <v>40211</v>
      </c>
      <c r="H5923" s="1">
        <v>40229</v>
      </c>
      <c r="I5923" t="s">
        <v>12</v>
      </c>
      <c r="J5923" t="s">
        <v>16693</v>
      </c>
    </row>
    <row r="5924" spans="1:10" x14ac:dyDescent="0.25">
      <c r="A5924">
        <v>485195</v>
      </c>
      <c r="B5924" t="s">
        <v>6201</v>
      </c>
      <c r="C5924" t="str">
        <f>"9781615353217"</f>
        <v>9781615353217</v>
      </c>
      <c r="D5924" t="str">
        <f>"9781615353637"</f>
        <v>9781615353637</v>
      </c>
      <c r="E5924" t="s">
        <v>5042</v>
      </c>
      <c r="F5924" t="s">
        <v>5043</v>
      </c>
      <c r="G5924" s="1">
        <v>40179</v>
      </c>
      <c r="H5924" s="1">
        <v>40305</v>
      </c>
      <c r="I5924" t="s">
        <v>12</v>
      </c>
      <c r="J5924" t="s">
        <v>16694</v>
      </c>
    </row>
    <row r="5925" spans="1:10" x14ac:dyDescent="0.25">
      <c r="A5925">
        <v>485284</v>
      </c>
      <c r="B5925" t="s">
        <v>6202</v>
      </c>
      <c r="C5925" t="str">
        <f>"9781847354211"</f>
        <v>9781847354211</v>
      </c>
      <c r="D5925" t="str">
        <f>"9781847354235"</f>
        <v>9781847354235</v>
      </c>
      <c r="E5925" t="s">
        <v>6203</v>
      </c>
      <c r="F5925" t="s">
        <v>6203</v>
      </c>
      <c r="G5925" s="1">
        <v>40052</v>
      </c>
      <c r="H5925" s="1">
        <v>40230</v>
      </c>
      <c r="I5925" t="s">
        <v>12</v>
      </c>
      <c r="J5925" t="s">
        <v>16695</v>
      </c>
    </row>
    <row r="5926" spans="1:10" x14ac:dyDescent="0.25">
      <c r="A5926">
        <v>485431</v>
      </c>
      <c r="B5926" t="s">
        <v>6204</v>
      </c>
      <c r="C5926" t="str">
        <f>"9780762434329"</f>
        <v>9780762434329</v>
      </c>
      <c r="D5926" t="str">
        <f>"9780762440283"</f>
        <v>9780762440283</v>
      </c>
      <c r="E5926" t="s">
        <v>6205</v>
      </c>
      <c r="F5926" t="s">
        <v>6205</v>
      </c>
      <c r="G5926" s="1">
        <v>40274</v>
      </c>
      <c r="H5926" s="1">
        <v>40245</v>
      </c>
      <c r="I5926" t="s">
        <v>12</v>
      </c>
      <c r="J5926" t="s">
        <v>16696</v>
      </c>
    </row>
    <row r="5927" spans="1:10" x14ac:dyDescent="0.25">
      <c r="A5927">
        <v>485496</v>
      </c>
      <c r="B5927" t="s">
        <v>6206</v>
      </c>
      <c r="C5927" t="str">
        <f>"9781416608417"</f>
        <v>9781416608417</v>
      </c>
      <c r="D5927" t="str">
        <f>"9781416609438"</f>
        <v>9781416609438</v>
      </c>
      <c r="E5927" t="s">
        <v>2492</v>
      </c>
      <c r="F5927" t="s">
        <v>2492</v>
      </c>
      <c r="G5927" s="1">
        <v>39814</v>
      </c>
      <c r="H5927" s="1">
        <v>40231</v>
      </c>
      <c r="I5927" t="s">
        <v>12</v>
      </c>
      <c r="J5927" t="s">
        <v>16697</v>
      </c>
    </row>
    <row r="5928" spans="1:10" x14ac:dyDescent="0.25">
      <c r="A5928">
        <v>485499</v>
      </c>
      <c r="B5928" t="s">
        <v>6207</v>
      </c>
      <c r="C5928" t="str">
        <f>"9781416608820"</f>
        <v>9781416608820</v>
      </c>
      <c r="D5928" t="str">
        <f>"9781416609735"</f>
        <v>9781416609735</v>
      </c>
      <c r="E5928" t="s">
        <v>2492</v>
      </c>
      <c r="F5928" t="s">
        <v>2492</v>
      </c>
      <c r="G5928" s="1">
        <v>40118</v>
      </c>
      <c r="H5928" s="1">
        <v>40231</v>
      </c>
      <c r="I5928" t="s">
        <v>12</v>
      </c>
      <c r="J5928" t="s">
        <v>16698</v>
      </c>
    </row>
    <row r="5929" spans="1:10" x14ac:dyDescent="0.25">
      <c r="A5929">
        <v>485503</v>
      </c>
      <c r="B5929" t="s">
        <v>6208</v>
      </c>
      <c r="C5929" t="str">
        <f>""</f>
        <v/>
      </c>
      <c r="D5929" t="str">
        <f>"9781416608936"</f>
        <v>9781416608936</v>
      </c>
      <c r="E5929" t="s">
        <v>2492</v>
      </c>
      <c r="F5929" t="s">
        <v>2494</v>
      </c>
      <c r="G5929" s="1">
        <v>40028</v>
      </c>
      <c r="H5929" s="1">
        <v>40231</v>
      </c>
      <c r="I5929" t="s">
        <v>12</v>
      </c>
      <c r="J5929" t="s">
        <v>16699</v>
      </c>
    </row>
    <row r="5930" spans="1:10" x14ac:dyDescent="0.25">
      <c r="A5930">
        <v>485718</v>
      </c>
      <c r="B5930" t="s">
        <v>6209</v>
      </c>
      <c r="C5930" t="str">
        <f>"9780749458812"</f>
        <v>9780749458812</v>
      </c>
      <c r="D5930" t="str">
        <f>"9780749458973"</f>
        <v>9780749458973</v>
      </c>
      <c r="E5930" t="s">
        <v>1059</v>
      </c>
      <c r="F5930" t="s">
        <v>1059</v>
      </c>
      <c r="G5930" s="1">
        <v>40181</v>
      </c>
      <c r="H5930" s="1">
        <v>40237</v>
      </c>
      <c r="I5930" t="s">
        <v>12</v>
      </c>
      <c r="J5930" t="s">
        <v>16700</v>
      </c>
    </row>
    <row r="5931" spans="1:10" x14ac:dyDescent="0.25">
      <c r="A5931">
        <v>485759</v>
      </c>
      <c r="B5931" t="s">
        <v>6210</v>
      </c>
      <c r="C5931" t="str">
        <f>"9780691128283"</f>
        <v>9780691128283</v>
      </c>
      <c r="D5931" t="str">
        <f>"9781400835294"</f>
        <v>9781400835294</v>
      </c>
      <c r="E5931" t="s">
        <v>5831</v>
      </c>
      <c r="F5931" t="s">
        <v>5831</v>
      </c>
      <c r="G5931" s="1">
        <v>40272</v>
      </c>
      <c r="H5931" s="1">
        <v>40258</v>
      </c>
      <c r="I5931" t="s">
        <v>12</v>
      </c>
      <c r="J5931" t="s">
        <v>16701</v>
      </c>
    </row>
    <row r="5932" spans="1:10" x14ac:dyDescent="0.25">
      <c r="A5932">
        <v>485763</v>
      </c>
      <c r="B5932" t="s">
        <v>6211</v>
      </c>
      <c r="C5932" t="str">
        <f>"9780691146225"</f>
        <v>9780691146225</v>
      </c>
      <c r="D5932" t="str">
        <f>"9781400834082"</f>
        <v>9781400834082</v>
      </c>
      <c r="E5932" t="s">
        <v>5831</v>
      </c>
      <c r="F5932" t="s">
        <v>5831</v>
      </c>
      <c r="G5932" s="1">
        <v>39530</v>
      </c>
      <c r="H5932" s="1">
        <v>40232</v>
      </c>
      <c r="I5932" t="s">
        <v>12</v>
      </c>
      <c r="J5932" t="s">
        <v>16702</v>
      </c>
    </row>
    <row r="5933" spans="1:10" x14ac:dyDescent="0.25">
      <c r="A5933">
        <v>485774</v>
      </c>
      <c r="B5933" t="s">
        <v>6212</v>
      </c>
      <c r="C5933" t="str">
        <f>"9780691137995"</f>
        <v>9780691137995</v>
      </c>
      <c r="D5933" t="str">
        <f>"9781400832231"</f>
        <v>9781400832231</v>
      </c>
      <c r="E5933" t="s">
        <v>5831</v>
      </c>
      <c r="F5933" t="s">
        <v>5831</v>
      </c>
      <c r="G5933" s="1">
        <v>40182</v>
      </c>
      <c r="H5933" s="1">
        <v>40577</v>
      </c>
      <c r="I5933" t="s">
        <v>12</v>
      </c>
      <c r="J5933" t="s">
        <v>16703</v>
      </c>
    </row>
    <row r="5934" spans="1:10" x14ac:dyDescent="0.25">
      <c r="A5934">
        <v>485778</v>
      </c>
      <c r="B5934" t="s">
        <v>6213</v>
      </c>
      <c r="C5934" t="str">
        <f>"9780691122847"</f>
        <v>9780691122847</v>
      </c>
      <c r="D5934" t="str">
        <f>"9781400829149"</f>
        <v>9781400829149</v>
      </c>
      <c r="E5934" t="s">
        <v>5831</v>
      </c>
      <c r="F5934" t="s">
        <v>5831</v>
      </c>
      <c r="G5934" s="1">
        <v>40920</v>
      </c>
      <c r="H5934" s="1">
        <v>40232</v>
      </c>
      <c r="I5934" t="s">
        <v>12</v>
      </c>
      <c r="J5934" t="s">
        <v>16704</v>
      </c>
    </row>
    <row r="5935" spans="1:10" x14ac:dyDescent="0.25">
      <c r="A5935">
        <v>485779</v>
      </c>
      <c r="B5935" t="s">
        <v>6214</v>
      </c>
      <c r="C5935" t="str">
        <f>"9780691137759"</f>
        <v>9780691137759</v>
      </c>
      <c r="D5935" t="str">
        <f>"9781400834402"</f>
        <v>9781400834402</v>
      </c>
      <c r="E5935" t="s">
        <v>5831</v>
      </c>
      <c r="F5935" t="s">
        <v>5831</v>
      </c>
      <c r="G5935" s="1">
        <v>40251</v>
      </c>
      <c r="H5935" s="1">
        <v>40258</v>
      </c>
      <c r="I5935" t="s">
        <v>12</v>
      </c>
      <c r="J5935" t="s">
        <v>16705</v>
      </c>
    </row>
    <row r="5936" spans="1:10" x14ac:dyDescent="0.25">
      <c r="A5936">
        <v>485781</v>
      </c>
      <c r="B5936" t="s">
        <v>6215</v>
      </c>
      <c r="C5936" t="str">
        <f>"9780691129945"</f>
        <v>9780691129945</v>
      </c>
      <c r="D5936" t="str">
        <f>"9781400834624"</f>
        <v>9781400834624</v>
      </c>
      <c r="E5936" t="s">
        <v>5831</v>
      </c>
      <c r="F5936" t="s">
        <v>5831</v>
      </c>
      <c r="G5936" s="1">
        <v>40279</v>
      </c>
      <c r="H5936" s="1">
        <v>40272</v>
      </c>
      <c r="I5936" t="s">
        <v>12</v>
      </c>
      <c r="J5936" t="s">
        <v>16706</v>
      </c>
    </row>
    <row r="5937" spans="1:10" x14ac:dyDescent="0.25">
      <c r="A5937">
        <v>485801</v>
      </c>
      <c r="B5937" t="s">
        <v>6216</v>
      </c>
      <c r="C5937" t="str">
        <f>"9780691138503"</f>
        <v>9780691138503</v>
      </c>
      <c r="D5937" t="str">
        <f>"9781400830183"</f>
        <v>9781400830183</v>
      </c>
      <c r="E5937" t="s">
        <v>5831</v>
      </c>
      <c r="F5937" t="s">
        <v>5831</v>
      </c>
      <c r="G5937" s="1">
        <v>39650</v>
      </c>
      <c r="H5937" s="1">
        <v>40232</v>
      </c>
      <c r="I5937" t="s">
        <v>12</v>
      </c>
      <c r="J5937" t="s">
        <v>16707</v>
      </c>
    </row>
    <row r="5938" spans="1:10" x14ac:dyDescent="0.25">
      <c r="A5938">
        <v>485967</v>
      </c>
      <c r="B5938" t="s">
        <v>6217</v>
      </c>
      <c r="C5938" t="str">
        <f>"9780226239156"</f>
        <v>9780226239156</v>
      </c>
      <c r="D5938" t="str">
        <f>"9780226239149"</f>
        <v>9780226239149</v>
      </c>
      <c r="E5938" t="s">
        <v>5187</v>
      </c>
      <c r="F5938" t="s">
        <v>5187</v>
      </c>
      <c r="G5938" s="1">
        <v>26755</v>
      </c>
      <c r="H5938" s="1">
        <v>40232</v>
      </c>
      <c r="I5938" t="s">
        <v>12</v>
      </c>
      <c r="J5938" t="s">
        <v>16708</v>
      </c>
    </row>
    <row r="5939" spans="1:10" x14ac:dyDescent="0.25">
      <c r="A5939">
        <v>485976</v>
      </c>
      <c r="B5939" t="s">
        <v>6218</v>
      </c>
      <c r="C5939" t="str">
        <f>"9780226520735"</f>
        <v>9780226520735</v>
      </c>
      <c r="D5939" t="str">
        <f>"9780226520759"</f>
        <v>9780226520759</v>
      </c>
      <c r="E5939" t="s">
        <v>5187</v>
      </c>
      <c r="F5939" t="s">
        <v>5187</v>
      </c>
      <c r="G5939" s="1">
        <v>38701</v>
      </c>
      <c r="H5939" s="1">
        <v>40232</v>
      </c>
      <c r="I5939" t="s">
        <v>12</v>
      </c>
      <c r="J5939" t="s">
        <v>16709</v>
      </c>
    </row>
    <row r="5940" spans="1:10" x14ac:dyDescent="0.25">
      <c r="A5940">
        <v>487177</v>
      </c>
      <c r="B5940" t="s">
        <v>6219</v>
      </c>
      <c r="C5940" t="str">
        <f>"9781845201340"</f>
        <v>9781845201340</v>
      </c>
      <c r="D5940" t="str">
        <f>"9781847881267"</f>
        <v>9781847881267</v>
      </c>
      <c r="E5940" t="s">
        <v>1400</v>
      </c>
      <c r="F5940" t="s">
        <v>1401</v>
      </c>
      <c r="G5940" s="1">
        <v>38838</v>
      </c>
      <c r="H5940" s="1">
        <v>40240</v>
      </c>
      <c r="I5940" t="s">
        <v>12</v>
      </c>
      <c r="J5940" t="s">
        <v>16710</v>
      </c>
    </row>
    <row r="5941" spans="1:10" x14ac:dyDescent="0.25">
      <c r="A5941">
        <v>487619</v>
      </c>
      <c r="B5941" t="s">
        <v>6220</v>
      </c>
      <c r="C5941" t="str">
        <f>"9781932925180"</f>
        <v>9781932925180</v>
      </c>
      <c r="D5941" t="str">
        <f>"9781932925203"</f>
        <v>9781932925203</v>
      </c>
      <c r="E5941" t="s">
        <v>6221</v>
      </c>
      <c r="F5941" t="s">
        <v>6221</v>
      </c>
      <c r="G5941" s="1">
        <v>40211</v>
      </c>
      <c r="H5941" s="1">
        <v>40275</v>
      </c>
      <c r="I5941" t="s">
        <v>12</v>
      </c>
      <c r="J5941" t="s">
        <v>16711</v>
      </c>
    </row>
    <row r="5942" spans="1:10" x14ac:dyDescent="0.25">
      <c r="A5942">
        <v>487638</v>
      </c>
      <c r="B5942" t="s">
        <v>6222</v>
      </c>
      <c r="C5942" t="str">
        <f>"9780787984670"</f>
        <v>9780787984670</v>
      </c>
      <c r="D5942" t="str">
        <f>"9780470585153"</f>
        <v>9780470585153</v>
      </c>
      <c r="E5942" t="s">
        <v>1088</v>
      </c>
      <c r="F5942" t="s">
        <v>5059</v>
      </c>
      <c r="G5942" s="1">
        <v>40238</v>
      </c>
      <c r="H5942" s="1">
        <v>40240</v>
      </c>
      <c r="I5942" t="s">
        <v>12</v>
      </c>
      <c r="J5942" t="s">
        <v>16712</v>
      </c>
    </row>
    <row r="5943" spans="1:10" x14ac:dyDescent="0.25">
      <c r="A5943">
        <v>487673</v>
      </c>
      <c r="B5943" t="s">
        <v>6223</v>
      </c>
      <c r="C5943" t="str">
        <f>"9780470562314"</f>
        <v>9780470562314</v>
      </c>
      <c r="D5943" t="str">
        <f>"9780470634929"</f>
        <v>9780470634929</v>
      </c>
      <c r="E5943" t="s">
        <v>1138</v>
      </c>
      <c r="F5943" t="s">
        <v>5057</v>
      </c>
      <c r="G5943" s="1">
        <v>40290</v>
      </c>
      <c r="H5943" s="1">
        <v>40316</v>
      </c>
      <c r="I5943" t="s">
        <v>12</v>
      </c>
      <c r="J5943" t="s">
        <v>16713</v>
      </c>
    </row>
    <row r="5944" spans="1:10" x14ac:dyDescent="0.25">
      <c r="A5944">
        <v>487961</v>
      </c>
      <c r="B5944" t="s">
        <v>6224</v>
      </c>
      <c r="C5944" t="str">
        <f>"9780804762410"</f>
        <v>9780804762410</v>
      </c>
      <c r="D5944" t="str">
        <f>"9780804772822"</f>
        <v>9780804772822</v>
      </c>
      <c r="E5944" t="s">
        <v>6225</v>
      </c>
      <c r="F5944" t="s">
        <v>6225</v>
      </c>
      <c r="G5944" s="1">
        <v>40106</v>
      </c>
      <c r="H5944" s="1">
        <v>40245</v>
      </c>
      <c r="I5944" t="s">
        <v>12</v>
      </c>
      <c r="J5944" t="s">
        <v>16714</v>
      </c>
    </row>
    <row r="5945" spans="1:10" x14ac:dyDescent="0.25">
      <c r="A5945">
        <v>488078</v>
      </c>
      <c r="B5945" t="s">
        <v>6226</v>
      </c>
      <c r="C5945" t="str">
        <f>"9780465002306"</f>
        <v>9780465002306</v>
      </c>
      <c r="D5945" t="str">
        <f>"9780786731749"</f>
        <v>9780786731749</v>
      </c>
      <c r="E5945" t="s">
        <v>6227</v>
      </c>
      <c r="F5945" t="s">
        <v>6227</v>
      </c>
      <c r="G5945" s="1">
        <v>39672</v>
      </c>
      <c r="H5945" s="1">
        <v>40245</v>
      </c>
      <c r="I5945" t="s">
        <v>12</v>
      </c>
      <c r="J5945" t="s">
        <v>16715</v>
      </c>
    </row>
    <row r="5946" spans="1:10" x14ac:dyDescent="0.25">
      <c r="A5946">
        <v>488117</v>
      </c>
      <c r="B5946" t="s">
        <v>6228</v>
      </c>
      <c r="C5946" t="str">
        <f>"9788132102281"</f>
        <v>9788132102281</v>
      </c>
      <c r="D5946" t="str">
        <f>"9788132104377"</f>
        <v>9788132104377</v>
      </c>
      <c r="E5946" t="s">
        <v>1569</v>
      </c>
      <c r="F5946" t="s">
        <v>5273</v>
      </c>
      <c r="G5946" s="1">
        <v>40137</v>
      </c>
      <c r="H5946" s="1">
        <v>40245</v>
      </c>
      <c r="I5946" t="s">
        <v>12</v>
      </c>
      <c r="J5946" t="s">
        <v>16716</v>
      </c>
    </row>
    <row r="5947" spans="1:10" x14ac:dyDescent="0.25">
      <c r="A5947">
        <v>491263</v>
      </c>
      <c r="B5947" t="s">
        <v>6229</v>
      </c>
      <c r="C5947" t="str">
        <f>"9780275978846"</f>
        <v>9780275978846</v>
      </c>
      <c r="D5947" t="str">
        <f>"9780313051784"</f>
        <v>9780313051784</v>
      </c>
      <c r="E5947" t="s">
        <v>6230</v>
      </c>
      <c r="F5947" t="s">
        <v>6231</v>
      </c>
      <c r="G5947" s="1">
        <v>37832</v>
      </c>
      <c r="H5947" s="1">
        <v>40577</v>
      </c>
      <c r="I5947" t="s">
        <v>12</v>
      </c>
      <c r="J5947" t="s">
        <v>16717</v>
      </c>
    </row>
    <row r="5948" spans="1:10" x14ac:dyDescent="0.25">
      <c r="A5948">
        <v>491493</v>
      </c>
      <c r="B5948" t="s">
        <v>6232</v>
      </c>
      <c r="C5948" t="str">
        <f>"9781567506600"</f>
        <v>9781567506600</v>
      </c>
      <c r="D5948" t="str">
        <f>"9780313051371"</f>
        <v>9780313051371</v>
      </c>
      <c r="E5948" t="s">
        <v>1951</v>
      </c>
      <c r="F5948" t="s">
        <v>6233</v>
      </c>
      <c r="G5948" s="1">
        <v>38229</v>
      </c>
      <c r="H5948" s="1">
        <v>40257</v>
      </c>
      <c r="I5948" t="s">
        <v>12</v>
      </c>
      <c r="J5948" t="s">
        <v>16718</v>
      </c>
    </row>
    <row r="5949" spans="1:10" x14ac:dyDescent="0.25">
      <c r="A5949">
        <v>492025</v>
      </c>
      <c r="B5949" t="s">
        <v>6234</v>
      </c>
      <c r="C5949" t="str">
        <f>"9781591585855"</f>
        <v>9781591585855</v>
      </c>
      <c r="D5949" t="str">
        <f>"9780313363917"</f>
        <v>9780313363917</v>
      </c>
      <c r="E5949" t="s">
        <v>6230</v>
      </c>
      <c r="F5949" t="s">
        <v>2457</v>
      </c>
      <c r="G5949" s="1">
        <v>39568</v>
      </c>
      <c r="H5949" s="1">
        <v>40257</v>
      </c>
      <c r="I5949" t="s">
        <v>12</v>
      </c>
      <c r="J5949" t="s">
        <v>16719</v>
      </c>
    </row>
    <row r="5950" spans="1:10" x14ac:dyDescent="0.25">
      <c r="A5950">
        <v>495073</v>
      </c>
      <c r="B5950" t="s">
        <v>6235</v>
      </c>
      <c r="C5950" t="str">
        <f>"9781591584766"</f>
        <v>9781591584766</v>
      </c>
      <c r="D5950" t="str">
        <f>"9780313363580"</f>
        <v>9780313363580</v>
      </c>
      <c r="E5950" t="s">
        <v>6230</v>
      </c>
      <c r="F5950" t="s">
        <v>2457</v>
      </c>
      <c r="G5950" s="1">
        <v>39721</v>
      </c>
      <c r="H5950" s="1">
        <v>40269</v>
      </c>
      <c r="I5950" t="s">
        <v>12</v>
      </c>
      <c r="J5950" t="s">
        <v>16720</v>
      </c>
    </row>
    <row r="5951" spans="1:10" x14ac:dyDescent="0.25">
      <c r="A5951">
        <v>495280</v>
      </c>
      <c r="B5951" t="s">
        <v>6236</v>
      </c>
      <c r="C5951" t="str">
        <f>"9780814409268"</f>
        <v>9780814409268</v>
      </c>
      <c r="D5951" t="str">
        <f>"9780814409534"</f>
        <v>9780814409534</v>
      </c>
      <c r="E5951" t="s">
        <v>1080</v>
      </c>
      <c r="F5951" t="s">
        <v>1080</v>
      </c>
      <c r="G5951" s="1">
        <v>39356</v>
      </c>
      <c r="H5951" s="1">
        <v>40270</v>
      </c>
      <c r="I5951" t="s">
        <v>12</v>
      </c>
      <c r="J5951" t="s">
        <v>16721</v>
      </c>
    </row>
    <row r="5952" spans="1:10" x14ac:dyDescent="0.25">
      <c r="A5952">
        <v>495281</v>
      </c>
      <c r="B5952" t="s">
        <v>6237</v>
      </c>
      <c r="C5952" t="str">
        <f>"9780814431856"</f>
        <v>9780814431856</v>
      </c>
      <c r="D5952" t="str">
        <f>"9780814409756"</f>
        <v>9780814409756</v>
      </c>
      <c r="E5952" t="s">
        <v>1080</v>
      </c>
      <c r="F5952" t="s">
        <v>1080</v>
      </c>
      <c r="G5952" s="1">
        <v>39393</v>
      </c>
      <c r="H5952" s="1">
        <v>40270</v>
      </c>
      <c r="I5952" t="s">
        <v>12</v>
      </c>
      <c r="J5952" t="s">
        <v>16722</v>
      </c>
    </row>
    <row r="5953" spans="1:10" x14ac:dyDescent="0.25">
      <c r="A5953">
        <v>495336</v>
      </c>
      <c r="B5953" t="s">
        <v>6238</v>
      </c>
      <c r="C5953" t="str">
        <f>"9781441151988"</f>
        <v>9781441151988</v>
      </c>
      <c r="D5953" t="str">
        <f>"9781441182029"</f>
        <v>9781441182029</v>
      </c>
      <c r="E5953" t="s">
        <v>4180</v>
      </c>
      <c r="F5953" t="s">
        <v>4180</v>
      </c>
      <c r="G5953" s="1">
        <v>40997</v>
      </c>
      <c r="H5953" s="1">
        <v>42326</v>
      </c>
      <c r="I5953" t="s">
        <v>12</v>
      </c>
      <c r="J5953" t="s">
        <v>16723</v>
      </c>
    </row>
    <row r="5954" spans="1:10" x14ac:dyDescent="0.25">
      <c r="A5954">
        <v>495339</v>
      </c>
      <c r="B5954" t="s">
        <v>6239</v>
      </c>
      <c r="C5954" t="str">
        <f>"9781441116666"</f>
        <v>9781441116666</v>
      </c>
      <c r="D5954" t="str">
        <f>"9781441185655"</f>
        <v>9781441185655</v>
      </c>
      <c r="E5954" t="s">
        <v>4180</v>
      </c>
      <c r="F5954" t="s">
        <v>4180</v>
      </c>
      <c r="G5954" s="1">
        <v>40920</v>
      </c>
      <c r="H5954" s="1">
        <v>42326</v>
      </c>
      <c r="I5954" t="s">
        <v>12</v>
      </c>
      <c r="J5954" t="s">
        <v>16724</v>
      </c>
    </row>
    <row r="5955" spans="1:10" x14ac:dyDescent="0.25">
      <c r="A5955">
        <v>495342</v>
      </c>
      <c r="B5955" t="s">
        <v>6240</v>
      </c>
      <c r="C5955" t="str">
        <f>"9781441126573"</f>
        <v>9781441126573</v>
      </c>
      <c r="D5955" t="str">
        <f>"9781441162335"</f>
        <v>9781441162335</v>
      </c>
      <c r="E5955" t="s">
        <v>4180</v>
      </c>
      <c r="F5955" t="s">
        <v>4180</v>
      </c>
      <c r="G5955" s="1">
        <v>40899</v>
      </c>
      <c r="H5955" s="1">
        <v>42326</v>
      </c>
      <c r="I5955" t="s">
        <v>12</v>
      </c>
      <c r="J5955" t="s">
        <v>16725</v>
      </c>
    </row>
    <row r="5956" spans="1:10" x14ac:dyDescent="0.25">
      <c r="A5956">
        <v>495343</v>
      </c>
      <c r="B5956" t="s">
        <v>6241</v>
      </c>
      <c r="C5956" t="str">
        <f>"9781441162434"</f>
        <v>9781441162434</v>
      </c>
      <c r="D5956" t="str">
        <f>"9781441114006"</f>
        <v>9781441114006</v>
      </c>
      <c r="E5956" t="s">
        <v>4180</v>
      </c>
      <c r="F5956" t="s">
        <v>4180</v>
      </c>
      <c r="G5956" s="1">
        <v>40899</v>
      </c>
      <c r="H5956" s="1">
        <v>42326</v>
      </c>
      <c r="I5956" t="s">
        <v>12</v>
      </c>
      <c r="J5956" t="s">
        <v>16726</v>
      </c>
    </row>
    <row r="5957" spans="1:10" x14ac:dyDescent="0.25">
      <c r="A5957">
        <v>495347</v>
      </c>
      <c r="B5957" t="s">
        <v>6242</v>
      </c>
      <c r="C5957" t="str">
        <f>"9781441164193"</f>
        <v>9781441164193</v>
      </c>
      <c r="D5957" t="str">
        <f>"9781441117953"</f>
        <v>9781441117953</v>
      </c>
      <c r="E5957" t="s">
        <v>4180</v>
      </c>
      <c r="F5957" t="s">
        <v>4180</v>
      </c>
      <c r="G5957" s="1">
        <v>40913</v>
      </c>
      <c r="H5957" s="1">
        <v>41844</v>
      </c>
      <c r="I5957" t="s">
        <v>12</v>
      </c>
      <c r="J5957" t="s">
        <v>16727</v>
      </c>
    </row>
    <row r="5958" spans="1:10" x14ac:dyDescent="0.25">
      <c r="A5958">
        <v>495350</v>
      </c>
      <c r="B5958" t="s">
        <v>6243</v>
      </c>
      <c r="C5958" t="str">
        <f>"9781441187482"</f>
        <v>9781441187482</v>
      </c>
      <c r="D5958" t="str">
        <f>"9781441138958"</f>
        <v>9781441138958</v>
      </c>
      <c r="E5958" t="s">
        <v>4180</v>
      </c>
      <c r="F5958" t="s">
        <v>4180</v>
      </c>
      <c r="G5958" s="1">
        <v>40913</v>
      </c>
      <c r="H5958" s="1">
        <v>41844</v>
      </c>
      <c r="I5958" t="s">
        <v>12</v>
      </c>
      <c r="J5958" t="s">
        <v>16728</v>
      </c>
    </row>
    <row r="5959" spans="1:10" x14ac:dyDescent="0.25">
      <c r="A5959">
        <v>495355</v>
      </c>
      <c r="B5959" t="s">
        <v>6244</v>
      </c>
      <c r="C5959" t="str">
        <f>"9781441119308"</f>
        <v>9781441119308</v>
      </c>
      <c r="D5959" t="str">
        <f>"9781441103369"</f>
        <v>9781441103369</v>
      </c>
      <c r="E5959" t="s">
        <v>4180</v>
      </c>
      <c r="F5959" t="s">
        <v>4180</v>
      </c>
      <c r="G5959" s="1">
        <v>40899</v>
      </c>
      <c r="H5959" s="1">
        <v>42326</v>
      </c>
      <c r="I5959" t="s">
        <v>12</v>
      </c>
      <c r="J5959" t="s">
        <v>16729</v>
      </c>
    </row>
    <row r="5960" spans="1:10" x14ac:dyDescent="0.25">
      <c r="A5960">
        <v>496103</v>
      </c>
      <c r="B5960" t="s">
        <v>6245</v>
      </c>
      <c r="C5960" t="str">
        <f>"9789264059603"</f>
        <v>9789264059603</v>
      </c>
      <c r="D5960" t="str">
        <f>"9789264062658"</f>
        <v>9789264062658</v>
      </c>
      <c r="E5960" t="s">
        <v>1185</v>
      </c>
      <c r="F5960" t="s">
        <v>1186</v>
      </c>
      <c r="G5960" s="1">
        <v>40213</v>
      </c>
      <c r="H5960" s="1">
        <v>40272</v>
      </c>
      <c r="I5960" t="s">
        <v>12</v>
      </c>
      <c r="J5960" t="s">
        <v>16730</v>
      </c>
    </row>
    <row r="5961" spans="1:10" x14ac:dyDescent="0.25">
      <c r="A5961">
        <v>496489</v>
      </c>
      <c r="B5961" t="s">
        <v>6246</v>
      </c>
      <c r="C5961" t="str">
        <f>"9781586489021"</f>
        <v>9781586489021</v>
      </c>
      <c r="D5961" t="str">
        <f>"9781586488369"</f>
        <v>9781586488369</v>
      </c>
      <c r="E5961" t="s">
        <v>6247</v>
      </c>
      <c r="F5961" t="s">
        <v>6247</v>
      </c>
      <c r="G5961" s="1">
        <v>40016</v>
      </c>
      <c r="H5961" s="1">
        <v>40394</v>
      </c>
      <c r="I5961" t="s">
        <v>12</v>
      </c>
      <c r="J5961" t="s">
        <v>16731</v>
      </c>
    </row>
    <row r="5962" spans="1:10" x14ac:dyDescent="0.25">
      <c r="A5962">
        <v>496610</v>
      </c>
      <c r="B5962" t="s">
        <v>6248</v>
      </c>
      <c r="C5962" t="str">
        <f>"9780226239712"</f>
        <v>9780226239712</v>
      </c>
      <c r="D5962" t="str">
        <f>"9780226239729"</f>
        <v>9780226239729</v>
      </c>
      <c r="E5962" t="s">
        <v>5187</v>
      </c>
      <c r="F5962" t="s">
        <v>5187</v>
      </c>
      <c r="G5962" s="1">
        <v>40247</v>
      </c>
      <c r="H5962" s="1">
        <v>40269</v>
      </c>
      <c r="I5962" t="s">
        <v>12</v>
      </c>
      <c r="J5962" t="s">
        <v>16732</v>
      </c>
    </row>
    <row r="5963" spans="1:10" x14ac:dyDescent="0.25">
      <c r="A5963">
        <v>497162</v>
      </c>
      <c r="B5963" t="s">
        <v>6249</v>
      </c>
      <c r="C5963" t="str">
        <f>"9780275962876"</f>
        <v>9780275962876</v>
      </c>
      <c r="D5963" t="str">
        <f>"9781573568661"</f>
        <v>9781573568661</v>
      </c>
      <c r="E5963" t="s">
        <v>6230</v>
      </c>
      <c r="F5963" t="s">
        <v>6231</v>
      </c>
      <c r="G5963" s="1">
        <v>35879</v>
      </c>
      <c r="H5963" s="1">
        <v>40269</v>
      </c>
      <c r="I5963" t="s">
        <v>12</v>
      </c>
      <c r="J5963" t="s">
        <v>16733</v>
      </c>
    </row>
    <row r="5964" spans="1:10" x14ac:dyDescent="0.25">
      <c r="A5964">
        <v>497228</v>
      </c>
      <c r="B5964" t="s">
        <v>6250</v>
      </c>
      <c r="C5964" t="str">
        <f>"9780275994853"</f>
        <v>9780275994853</v>
      </c>
      <c r="D5964" t="str">
        <f>"9781567207606"</f>
        <v>9781567207606</v>
      </c>
      <c r="E5964" t="s">
        <v>6230</v>
      </c>
      <c r="F5964" t="s">
        <v>6231</v>
      </c>
      <c r="G5964" s="1">
        <v>40059</v>
      </c>
      <c r="H5964" s="1">
        <v>40269</v>
      </c>
      <c r="I5964" t="s">
        <v>12</v>
      </c>
      <c r="J5964" t="s">
        <v>16734</v>
      </c>
    </row>
    <row r="5965" spans="1:10" x14ac:dyDescent="0.25">
      <c r="A5965">
        <v>497278</v>
      </c>
      <c r="B5965" t="s">
        <v>6251</v>
      </c>
      <c r="C5965" t="str">
        <f>"9781591588757"</f>
        <v>9781591588757</v>
      </c>
      <c r="D5965" t="str">
        <f>"9781591588764"</f>
        <v>9781591588764</v>
      </c>
      <c r="E5965" t="s">
        <v>6230</v>
      </c>
      <c r="F5965" t="s">
        <v>2457</v>
      </c>
      <c r="G5965" s="1">
        <v>40079</v>
      </c>
      <c r="H5965" s="1">
        <v>40269</v>
      </c>
      <c r="I5965" t="s">
        <v>12</v>
      </c>
      <c r="J5965" t="s">
        <v>16735</v>
      </c>
    </row>
    <row r="5966" spans="1:10" x14ac:dyDescent="0.25">
      <c r="A5966">
        <v>500794</v>
      </c>
      <c r="B5966" t="s">
        <v>6252</v>
      </c>
      <c r="C5966" t="str">
        <f>"9781607095194"</f>
        <v>9781607095194</v>
      </c>
      <c r="D5966" t="str">
        <f>"9781607095200"</f>
        <v>9781607095200</v>
      </c>
      <c r="E5966" t="s">
        <v>6253</v>
      </c>
      <c r="F5966" t="s">
        <v>6253</v>
      </c>
      <c r="G5966" s="1">
        <v>40252</v>
      </c>
      <c r="H5966" s="1">
        <v>40274</v>
      </c>
      <c r="I5966" t="s">
        <v>12</v>
      </c>
      <c r="J5966" t="s">
        <v>16736</v>
      </c>
    </row>
    <row r="5967" spans="1:10" x14ac:dyDescent="0.25">
      <c r="A5967">
        <v>500851</v>
      </c>
      <c r="B5967" t="s">
        <v>6254</v>
      </c>
      <c r="C5967" t="str">
        <f>"9780742567702"</f>
        <v>9780742567702</v>
      </c>
      <c r="D5967" t="str">
        <f>"9780742567719"</f>
        <v>9780742567719</v>
      </c>
      <c r="E5967" t="s">
        <v>6253</v>
      </c>
      <c r="F5967" t="s">
        <v>6253</v>
      </c>
      <c r="G5967" s="1">
        <v>40163</v>
      </c>
      <c r="H5967" s="1">
        <v>40577</v>
      </c>
      <c r="I5967" t="s">
        <v>12</v>
      </c>
      <c r="J5967" t="s">
        <v>16737</v>
      </c>
    </row>
    <row r="5968" spans="1:10" x14ac:dyDescent="0.25">
      <c r="A5968">
        <v>500853</v>
      </c>
      <c r="B5968" t="s">
        <v>6255</v>
      </c>
      <c r="C5968" t="str">
        <f>"9780739135570"</f>
        <v>9780739135570</v>
      </c>
      <c r="D5968" t="str">
        <f>"9780739135587"</f>
        <v>9780739135587</v>
      </c>
      <c r="E5968" t="s">
        <v>6256</v>
      </c>
      <c r="F5968" t="s">
        <v>6256</v>
      </c>
      <c r="G5968" s="1">
        <v>40280</v>
      </c>
      <c r="H5968" s="1">
        <v>40274</v>
      </c>
      <c r="I5968" t="s">
        <v>12</v>
      </c>
      <c r="J5968" t="s">
        <v>16738</v>
      </c>
    </row>
    <row r="5969" spans="1:10" x14ac:dyDescent="0.25">
      <c r="A5969">
        <v>500867</v>
      </c>
      <c r="B5969" t="s">
        <v>6257</v>
      </c>
      <c r="C5969" t="str">
        <f>"9780739141410"</f>
        <v>9780739141410</v>
      </c>
      <c r="D5969" t="str">
        <f>"9780739141427"</f>
        <v>9780739141427</v>
      </c>
      <c r="E5969" t="s">
        <v>6256</v>
      </c>
      <c r="F5969" t="s">
        <v>6256</v>
      </c>
      <c r="G5969" s="1">
        <v>40253</v>
      </c>
      <c r="H5969" s="1">
        <v>40283</v>
      </c>
      <c r="I5969" t="s">
        <v>12</v>
      </c>
      <c r="J5969" t="s">
        <v>16739</v>
      </c>
    </row>
    <row r="5970" spans="1:10" x14ac:dyDescent="0.25">
      <c r="A5970">
        <v>500875</v>
      </c>
      <c r="B5970" t="s">
        <v>6258</v>
      </c>
      <c r="C5970" t="str">
        <f>"9780739126882"</f>
        <v>9780739126882</v>
      </c>
      <c r="D5970" t="str">
        <f>"9780739144091"</f>
        <v>9780739144091</v>
      </c>
      <c r="E5970" t="s">
        <v>6256</v>
      </c>
      <c r="F5970" t="s">
        <v>6256</v>
      </c>
      <c r="G5970" s="1">
        <v>40170</v>
      </c>
      <c r="H5970" s="1">
        <v>40274</v>
      </c>
      <c r="I5970" t="s">
        <v>12</v>
      </c>
      <c r="J5970" t="s">
        <v>16740</v>
      </c>
    </row>
    <row r="5971" spans="1:10" x14ac:dyDescent="0.25">
      <c r="A5971">
        <v>500895</v>
      </c>
      <c r="B5971" t="s">
        <v>6259</v>
      </c>
      <c r="C5971" t="str">
        <f>"9780759118454"</f>
        <v>9780759118454</v>
      </c>
      <c r="D5971" t="str">
        <f>"9780759118478"</f>
        <v>9780759118478</v>
      </c>
      <c r="E5971" t="s">
        <v>6198</v>
      </c>
      <c r="F5971" t="s">
        <v>6198</v>
      </c>
      <c r="G5971" s="1">
        <v>40194</v>
      </c>
      <c r="H5971" s="1">
        <v>42341</v>
      </c>
      <c r="I5971" t="s">
        <v>12</v>
      </c>
      <c r="J5971" t="s">
        <v>16741</v>
      </c>
    </row>
    <row r="5972" spans="1:10" x14ac:dyDescent="0.25">
      <c r="A5972">
        <v>500926</v>
      </c>
      <c r="B5972" t="s">
        <v>6260</v>
      </c>
      <c r="C5972" t="str">
        <f>"9780810849921"</f>
        <v>9780810849921</v>
      </c>
      <c r="D5972" t="str">
        <f>"9780810872844"</f>
        <v>9780810872844</v>
      </c>
      <c r="E5972" t="s">
        <v>6074</v>
      </c>
      <c r="F5972" t="s">
        <v>6074</v>
      </c>
      <c r="G5972" s="1">
        <v>40248</v>
      </c>
      <c r="H5972" s="1">
        <v>42341</v>
      </c>
      <c r="I5972" t="s">
        <v>12</v>
      </c>
      <c r="J5972" t="s">
        <v>16742</v>
      </c>
    </row>
    <row r="5973" spans="1:10" x14ac:dyDescent="0.25">
      <c r="A5973">
        <v>500960</v>
      </c>
      <c r="B5973" t="s">
        <v>6261</v>
      </c>
      <c r="C5973" t="str">
        <f>"9780810855168"</f>
        <v>9780810855168</v>
      </c>
      <c r="D5973" t="str">
        <f>"9780810870819"</f>
        <v>9780810870819</v>
      </c>
      <c r="E5973" t="s">
        <v>6074</v>
      </c>
      <c r="F5973" t="s">
        <v>6074</v>
      </c>
      <c r="G5973" s="1">
        <v>40169</v>
      </c>
      <c r="H5973" s="1">
        <v>40577</v>
      </c>
      <c r="I5973" t="s">
        <v>12</v>
      </c>
      <c r="J5973" t="s">
        <v>16743</v>
      </c>
    </row>
    <row r="5974" spans="1:10" x14ac:dyDescent="0.25">
      <c r="A5974">
        <v>501495</v>
      </c>
      <c r="B5974" t="s">
        <v>6262</v>
      </c>
      <c r="C5974" t="str">
        <f>"9780749460204"</f>
        <v>9780749460204</v>
      </c>
      <c r="D5974" t="str">
        <f>"9780749460211"</f>
        <v>9780749460211</v>
      </c>
      <c r="E5974" t="s">
        <v>1770</v>
      </c>
      <c r="F5974" t="s">
        <v>1770</v>
      </c>
      <c r="G5974" s="1">
        <v>40299</v>
      </c>
      <c r="H5974" s="1">
        <v>40328</v>
      </c>
      <c r="I5974" t="s">
        <v>12</v>
      </c>
      <c r="J5974" t="s">
        <v>16744</v>
      </c>
    </row>
    <row r="5975" spans="1:10" x14ac:dyDescent="0.25">
      <c r="A5975">
        <v>501520</v>
      </c>
      <c r="B5975" t="s">
        <v>6263</v>
      </c>
      <c r="C5975" t="str">
        <f>"9780765623102"</f>
        <v>9780765623102</v>
      </c>
      <c r="D5975" t="str">
        <f>"9780765626448"</f>
        <v>9780765626448</v>
      </c>
      <c r="E5975" t="s">
        <v>15</v>
      </c>
      <c r="F5975" t="s">
        <v>16</v>
      </c>
      <c r="G5975" s="1">
        <v>39814</v>
      </c>
      <c r="H5975" s="1">
        <v>40312</v>
      </c>
      <c r="I5975" t="s">
        <v>12</v>
      </c>
      <c r="J5975" t="s">
        <v>16745</v>
      </c>
    </row>
    <row r="5976" spans="1:10" x14ac:dyDescent="0.25">
      <c r="A5976">
        <v>510065</v>
      </c>
      <c r="B5976" t="s">
        <v>6264</v>
      </c>
      <c r="C5976" t="str">
        <f>"9780816072163"</f>
        <v>9780816072163</v>
      </c>
      <c r="D5976" t="str">
        <f>"9781438116938"</f>
        <v>9781438116938</v>
      </c>
      <c r="E5976" t="s">
        <v>2998</v>
      </c>
      <c r="F5976" t="s">
        <v>2999</v>
      </c>
      <c r="G5976" s="1">
        <v>39873</v>
      </c>
      <c r="H5976" s="1">
        <v>40279</v>
      </c>
      <c r="I5976" t="s">
        <v>12</v>
      </c>
      <c r="J5976" t="s">
        <v>16746</v>
      </c>
    </row>
    <row r="5977" spans="1:10" x14ac:dyDescent="0.25">
      <c r="A5977">
        <v>510110</v>
      </c>
      <c r="B5977" t="s">
        <v>6265</v>
      </c>
      <c r="C5977" t="str">
        <f>"9780470241554"</f>
        <v>9780470241554</v>
      </c>
      <c r="D5977" t="str">
        <f>"9780470590171"</f>
        <v>9780470590171</v>
      </c>
      <c r="E5977" t="s">
        <v>1088</v>
      </c>
      <c r="F5977" t="s">
        <v>5059</v>
      </c>
      <c r="G5977" s="1">
        <v>40255</v>
      </c>
      <c r="H5977" s="1">
        <v>40278</v>
      </c>
      <c r="I5977" t="s">
        <v>12</v>
      </c>
      <c r="J5977" t="s">
        <v>16747</v>
      </c>
    </row>
    <row r="5978" spans="1:10" x14ac:dyDescent="0.25">
      <c r="A5978">
        <v>510118</v>
      </c>
      <c r="B5978" t="s">
        <v>6266</v>
      </c>
      <c r="C5978" t="str">
        <f>"9780470548769"</f>
        <v>9780470548769</v>
      </c>
      <c r="D5978" t="str">
        <f>"9780470636947"</f>
        <v>9780470636947</v>
      </c>
      <c r="E5978" t="s">
        <v>1088</v>
      </c>
      <c r="F5978" t="s">
        <v>4889</v>
      </c>
      <c r="G5978" s="1">
        <v>40269</v>
      </c>
      <c r="H5978" s="1">
        <v>40278</v>
      </c>
      <c r="I5978" t="s">
        <v>12</v>
      </c>
      <c r="J5978" t="s">
        <v>16748</v>
      </c>
    </row>
    <row r="5979" spans="1:10" x14ac:dyDescent="0.25">
      <c r="A5979">
        <v>510139</v>
      </c>
      <c r="B5979" t="s">
        <v>6267</v>
      </c>
      <c r="C5979" t="str">
        <f>"9781119143215"</f>
        <v>9781119143215</v>
      </c>
      <c r="D5979" t="str">
        <f>"9780470463680"</f>
        <v>9780470463680</v>
      </c>
      <c r="E5979" t="s">
        <v>1138</v>
      </c>
      <c r="F5979" t="s">
        <v>5059</v>
      </c>
      <c r="G5979" s="1">
        <v>40262</v>
      </c>
      <c r="H5979" s="1">
        <v>40278</v>
      </c>
      <c r="I5979" t="s">
        <v>12</v>
      </c>
      <c r="J5979" t="s">
        <v>16749</v>
      </c>
    </row>
    <row r="5980" spans="1:10" x14ac:dyDescent="0.25">
      <c r="A5980">
        <v>510240</v>
      </c>
      <c r="B5980" t="s">
        <v>6268</v>
      </c>
      <c r="C5980" t="str">
        <f>"9780786444311"</f>
        <v>9780786444311</v>
      </c>
      <c r="D5980" t="str">
        <f>"9780786457373"</f>
        <v>9780786457373</v>
      </c>
      <c r="E5980" t="s">
        <v>6269</v>
      </c>
      <c r="F5980" t="s">
        <v>6269</v>
      </c>
      <c r="G5980" s="1">
        <v>40513</v>
      </c>
      <c r="H5980" s="1">
        <v>40278</v>
      </c>
      <c r="I5980" t="s">
        <v>12</v>
      </c>
      <c r="J5980" t="s">
        <v>16750</v>
      </c>
    </row>
    <row r="5981" spans="1:10" x14ac:dyDescent="0.25">
      <c r="A5981">
        <v>510248</v>
      </c>
      <c r="B5981" t="s">
        <v>6270</v>
      </c>
      <c r="C5981" t="str">
        <f>"9780786444052"</f>
        <v>9780786444052</v>
      </c>
      <c r="D5981" t="str">
        <f>"9780786457403"</f>
        <v>9780786457403</v>
      </c>
      <c r="E5981" t="s">
        <v>6269</v>
      </c>
      <c r="F5981" t="s">
        <v>6269</v>
      </c>
      <c r="G5981" s="1">
        <v>40270</v>
      </c>
      <c r="H5981" s="1">
        <v>40284</v>
      </c>
      <c r="I5981" t="s">
        <v>12</v>
      </c>
      <c r="J5981" t="s">
        <v>16751</v>
      </c>
    </row>
    <row r="5982" spans="1:10" x14ac:dyDescent="0.25">
      <c r="A5982">
        <v>510404</v>
      </c>
      <c r="B5982" t="s">
        <v>6271</v>
      </c>
      <c r="C5982" t="str">
        <f>"9780833047540"</f>
        <v>9780833047540</v>
      </c>
      <c r="D5982" t="str">
        <f>"9780833049155"</f>
        <v>9780833049155</v>
      </c>
      <c r="E5982" t="s">
        <v>1063</v>
      </c>
      <c r="F5982" t="s">
        <v>1064</v>
      </c>
      <c r="G5982" s="1">
        <v>40253</v>
      </c>
      <c r="H5982" s="1">
        <v>40390</v>
      </c>
      <c r="I5982" t="s">
        <v>12</v>
      </c>
      <c r="J5982" t="s">
        <v>16752</v>
      </c>
    </row>
    <row r="5983" spans="1:10" x14ac:dyDescent="0.25">
      <c r="A5983">
        <v>512029</v>
      </c>
      <c r="B5983" t="s">
        <v>6272</v>
      </c>
      <c r="C5983" t="str">
        <f>"9781848130036"</f>
        <v>9781848130036</v>
      </c>
      <c r="D5983" t="str">
        <f>"9781848134546"</f>
        <v>9781848134546</v>
      </c>
      <c r="E5983" t="s">
        <v>4626</v>
      </c>
      <c r="F5983" t="s">
        <v>4626</v>
      </c>
      <c r="G5983" s="1">
        <v>40248</v>
      </c>
      <c r="H5983" s="1">
        <v>40279</v>
      </c>
      <c r="I5983" t="s">
        <v>12</v>
      </c>
      <c r="J5983" t="s">
        <v>16753</v>
      </c>
    </row>
    <row r="5984" spans="1:10" x14ac:dyDescent="0.25">
      <c r="A5984">
        <v>513964</v>
      </c>
      <c r="B5984" t="s">
        <v>6273</v>
      </c>
      <c r="C5984" t="str">
        <f>"9781555814595"</f>
        <v>9781555814595</v>
      </c>
      <c r="D5984" t="str">
        <f>"9781555815936"</f>
        <v>9781555815936</v>
      </c>
      <c r="E5984" t="s">
        <v>6141</v>
      </c>
      <c r="F5984" t="s">
        <v>6141</v>
      </c>
      <c r="G5984" s="1">
        <v>40095</v>
      </c>
      <c r="H5984" s="1">
        <v>41521</v>
      </c>
      <c r="I5984" t="s">
        <v>12</v>
      </c>
      <c r="J5984" t="s">
        <v>16754</v>
      </c>
    </row>
    <row r="5985" spans="1:10" x14ac:dyDescent="0.25">
      <c r="A5985">
        <v>513966</v>
      </c>
      <c r="B5985" t="s">
        <v>6274</v>
      </c>
      <c r="C5985" t="str">
        <f>"9781416609117"</f>
        <v>9781416609117</v>
      </c>
      <c r="D5985" t="str">
        <f>"9781416610007"</f>
        <v>9781416610007</v>
      </c>
      <c r="E5985" t="s">
        <v>2492</v>
      </c>
      <c r="F5985" t="s">
        <v>2492</v>
      </c>
      <c r="G5985" s="1">
        <v>40148</v>
      </c>
      <c r="H5985" s="1">
        <v>40323</v>
      </c>
      <c r="I5985" t="s">
        <v>12</v>
      </c>
      <c r="J5985" t="s">
        <v>16755</v>
      </c>
    </row>
    <row r="5986" spans="1:10" x14ac:dyDescent="0.25">
      <c r="A5986">
        <v>513968</v>
      </c>
      <c r="B5986" t="s">
        <v>6275</v>
      </c>
      <c r="C5986" t="str">
        <f>"9781416609124"</f>
        <v>9781416609124</v>
      </c>
      <c r="D5986" t="str">
        <f>"9781416610434"</f>
        <v>9781416610434</v>
      </c>
      <c r="E5986" t="s">
        <v>2492</v>
      </c>
      <c r="F5986" t="s">
        <v>2492</v>
      </c>
      <c r="G5986" s="1">
        <v>40210</v>
      </c>
      <c r="H5986" s="1">
        <v>40323</v>
      </c>
      <c r="I5986" t="s">
        <v>12</v>
      </c>
      <c r="J5986" t="s">
        <v>16756</v>
      </c>
    </row>
    <row r="5987" spans="1:10" x14ac:dyDescent="0.25">
      <c r="A5987">
        <v>513972</v>
      </c>
      <c r="B5987" t="s">
        <v>6276</v>
      </c>
      <c r="C5987" t="str">
        <f>"9781416609407"</f>
        <v>9781416609407</v>
      </c>
      <c r="D5987" t="str">
        <f>"9781416610311"</f>
        <v>9781416610311</v>
      </c>
      <c r="E5987" t="s">
        <v>2492</v>
      </c>
      <c r="F5987" t="s">
        <v>2492</v>
      </c>
      <c r="G5987" s="1">
        <v>41834</v>
      </c>
      <c r="H5987" s="1">
        <v>40323</v>
      </c>
      <c r="I5987" t="s">
        <v>12</v>
      </c>
      <c r="J5987" t="s">
        <v>16757</v>
      </c>
    </row>
    <row r="5988" spans="1:10" x14ac:dyDescent="0.25">
      <c r="A5988">
        <v>514000</v>
      </c>
      <c r="B5988" t="s">
        <v>6277</v>
      </c>
      <c r="C5988" t="str">
        <f>"9781859592281"</f>
        <v>9781859592281</v>
      </c>
      <c r="D5988" t="str">
        <f>"9781859593141"</f>
        <v>9781859593141</v>
      </c>
      <c r="E5988" t="s">
        <v>4788</v>
      </c>
      <c r="F5988" t="s">
        <v>4789</v>
      </c>
      <c r="G5988" s="1">
        <v>40178</v>
      </c>
      <c r="H5988" s="1">
        <v>40289</v>
      </c>
      <c r="I5988" t="s">
        <v>12</v>
      </c>
      <c r="J5988" t="s">
        <v>16758</v>
      </c>
    </row>
    <row r="5989" spans="1:10" x14ac:dyDescent="0.25">
      <c r="A5989">
        <v>514081</v>
      </c>
      <c r="B5989" t="s">
        <v>6278</v>
      </c>
      <c r="C5989" t="str">
        <f>"9781615301096"</f>
        <v>9781615301096</v>
      </c>
      <c r="D5989" t="str">
        <f>"9781615301812"</f>
        <v>9781615301812</v>
      </c>
      <c r="E5989" t="s">
        <v>6117</v>
      </c>
      <c r="F5989" t="s">
        <v>6118</v>
      </c>
      <c r="G5989" s="1">
        <v>40269</v>
      </c>
      <c r="H5989" s="1">
        <v>40295</v>
      </c>
      <c r="I5989" t="s">
        <v>12</v>
      </c>
      <c r="J5989" t="s">
        <v>16759</v>
      </c>
    </row>
    <row r="5990" spans="1:10" x14ac:dyDescent="0.25">
      <c r="A5990">
        <v>514584</v>
      </c>
      <c r="B5990" t="s">
        <v>6279</v>
      </c>
      <c r="C5990" t="str">
        <f>"9789264013605"</f>
        <v>9789264013605</v>
      </c>
      <c r="D5990" t="str">
        <f>"9789264013612"</f>
        <v>9789264013612</v>
      </c>
      <c r="E5990" t="s">
        <v>1185</v>
      </c>
      <c r="F5990" t="s">
        <v>1186</v>
      </c>
      <c r="G5990" s="1">
        <v>38657</v>
      </c>
      <c r="H5990" s="1">
        <v>40577</v>
      </c>
      <c r="I5990" t="s">
        <v>12</v>
      </c>
      <c r="J5990" t="s">
        <v>16760</v>
      </c>
    </row>
    <row r="5991" spans="1:10" x14ac:dyDescent="0.25">
      <c r="A5991">
        <v>514587</v>
      </c>
      <c r="B5991" t="s">
        <v>6280</v>
      </c>
      <c r="C5991" t="str">
        <f>"9789264009202"</f>
        <v>9789264009202</v>
      </c>
      <c r="D5991" t="str">
        <f>"9789264009219"</f>
        <v>9789264009219</v>
      </c>
      <c r="E5991" t="s">
        <v>1185</v>
      </c>
      <c r="F5991" t="s">
        <v>1186</v>
      </c>
      <c r="G5991" s="1">
        <v>38518</v>
      </c>
      <c r="H5991" s="1">
        <v>40577</v>
      </c>
      <c r="I5991" t="s">
        <v>12</v>
      </c>
      <c r="J5991" t="s">
        <v>16761</v>
      </c>
    </row>
    <row r="5992" spans="1:10" x14ac:dyDescent="0.25">
      <c r="A5992">
        <v>514636</v>
      </c>
      <c r="B5992" t="s">
        <v>6281</v>
      </c>
      <c r="C5992" t="str">
        <f>"9789264109070"</f>
        <v>9789264109070</v>
      </c>
      <c r="D5992" t="str">
        <f>"9789264109087"</f>
        <v>9789264109087</v>
      </c>
      <c r="E5992" t="s">
        <v>1185</v>
      </c>
      <c r="F5992" t="s">
        <v>1186</v>
      </c>
      <c r="G5992" s="1">
        <v>38573</v>
      </c>
      <c r="H5992" s="1">
        <v>40577</v>
      </c>
      <c r="I5992" t="s">
        <v>12</v>
      </c>
      <c r="J5992" t="s">
        <v>16762</v>
      </c>
    </row>
    <row r="5993" spans="1:10" x14ac:dyDescent="0.25">
      <c r="A5993">
        <v>514685</v>
      </c>
      <c r="B5993" t="s">
        <v>6282</v>
      </c>
      <c r="C5993" t="str">
        <f>"9789264010925"</f>
        <v>9789264010925</v>
      </c>
      <c r="D5993" t="str">
        <f>"9789264010932"</f>
        <v>9789264010932</v>
      </c>
      <c r="E5993" t="s">
        <v>1185</v>
      </c>
      <c r="F5993" t="s">
        <v>1186</v>
      </c>
      <c r="G5993" s="1">
        <v>38601</v>
      </c>
      <c r="H5993" s="1">
        <v>40334</v>
      </c>
      <c r="I5993" t="s">
        <v>12</v>
      </c>
      <c r="J5993" t="s">
        <v>16763</v>
      </c>
    </row>
    <row r="5994" spans="1:10" x14ac:dyDescent="0.25">
      <c r="A5994">
        <v>514711</v>
      </c>
      <c r="B5994" t="s">
        <v>6283</v>
      </c>
      <c r="C5994" t="str">
        <f>"9789264008724"</f>
        <v>9789264008724</v>
      </c>
      <c r="D5994" t="str">
        <f>"9789264008748"</f>
        <v>9789264008748</v>
      </c>
      <c r="E5994" t="s">
        <v>1185</v>
      </c>
      <c r="F5994" t="s">
        <v>1186</v>
      </c>
      <c r="G5994" s="1">
        <v>38539</v>
      </c>
      <c r="H5994" s="1">
        <v>40334</v>
      </c>
      <c r="I5994" t="s">
        <v>12</v>
      </c>
      <c r="J5994" t="s">
        <v>16764</v>
      </c>
    </row>
    <row r="5995" spans="1:10" x14ac:dyDescent="0.25">
      <c r="A5995">
        <v>514746</v>
      </c>
      <c r="B5995" t="s">
        <v>6284</v>
      </c>
      <c r="C5995" t="str">
        <f>"9789264010383"</f>
        <v>9789264010383</v>
      </c>
      <c r="D5995" t="str">
        <f>"9789264010390"</f>
        <v>9789264010390</v>
      </c>
      <c r="E5995" t="s">
        <v>1185</v>
      </c>
      <c r="F5995" t="s">
        <v>1186</v>
      </c>
      <c r="G5995" s="1">
        <v>38509</v>
      </c>
      <c r="H5995" s="1">
        <v>40577</v>
      </c>
      <c r="I5995" t="s">
        <v>12</v>
      </c>
      <c r="J5995" t="s">
        <v>16765</v>
      </c>
    </row>
    <row r="5996" spans="1:10" x14ac:dyDescent="0.25">
      <c r="A5996">
        <v>514767</v>
      </c>
      <c r="B5996" t="s">
        <v>6285</v>
      </c>
      <c r="C5996" t="str">
        <f>"9789264013049"</f>
        <v>9789264013049</v>
      </c>
      <c r="D5996" t="str">
        <f>"9789264013056"</f>
        <v>9789264013056</v>
      </c>
      <c r="E5996" t="s">
        <v>1185</v>
      </c>
      <c r="F5996" t="s">
        <v>1186</v>
      </c>
      <c r="G5996" s="1">
        <v>38652</v>
      </c>
      <c r="H5996" s="1">
        <v>40334</v>
      </c>
      <c r="I5996" t="s">
        <v>12</v>
      </c>
      <c r="J5996" t="s">
        <v>16766</v>
      </c>
    </row>
    <row r="5997" spans="1:10" x14ac:dyDescent="0.25">
      <c r="A5997">
        <v>514771</v>
      </c>
      <c r="B5997" t="s">
        <v>6286</v>
      </c>
      <c r="C5997" t="str">
        <f>"9789264010871"</f>
        <v>9789264010871</v>
      </c>
      <c r="D5997" t="str">
        <f>"9789264010888"</f>
        <v>9789264010888</v>
      </c>
      <c r="E5997" t="s">
        <v>1185</v>
      </c>
      <c r="F5997" t="s">
        <v>1186</v>
      </c>
      <c r="G5997" s="1">
        <v>38629</v>
      </c>
      <c r="H5997" s="1">
        <v>40577</v>
      </c>
      <c r="I5997" t="s">
        <v>12</v>
      </c>
      <c r="J5997" t="s">
        <v>16767</v>
      </c>
    </row>
    <row r="5998" spans="1:10" x14ac:dyDescent="0.25">
      <c r="A5998">
        <v>514776</v>
      </c>
      <c r="B5998" t="s">
        <v>6287</v>
      </c>
      <c r="C5998" t="str">
        <f>"9789264104419"</f>
        <v>9789264104419</v>
      </c>
      <c r="D5998" t="str">
        <f>"9789264104433"</f>
        <v>9789264104433</v>
      </c>
      <c r="E5998" t="s">
        <v>1185</v>
      </c>
      <c r="F5998" t="s">
        <v>1186</v>
      </c>
      <c r="G5998" s="1">
        <v>38567</v>
      </c>
      <c r="H5998" s="1">
        <v>40334</v>
      </c>
      <c r="I5998" t="s">
        <v>12</v>
      </c>
      <c r="J5998" t="s">
        <v>16768</v>
      </c>
    </row>
    <row r="5999" spans="1:10" x14ac:dyDescent="0.25">
      <c r="A5999">
        <v>514891</v>
      </c>
      <c r="B5999" t="s">
        <v>6288</v>
      </c>
      <c r="C5999" t="str">
        <f>"9789264011786"</f>
        <v>9789264011786</v>
      </c>
      <c r="D5999" t="str">
        <f>"9789264011793"</f>
        <v>9789264011793</v>
      </c>
      <c r="E5999" t="s">
        <v>1185</v>
      </c>
      <c r="F5999" t="s">
        <v>1186</v>
      </c>
      <c r="G5999" s="1">
        <v>38637</v>
      </c>
      <c r="H5999" s="1">
        <v>40334</v>
      </c>
      <c r="I5999" t="s">
        <v>12</v>
      </c>
      <c r="J5999" t="s">
        <v>16769</v>
      </c>
    </row>
    <row r="6000" spans="1:10" x14ac:dyDescent="0.25">
      <c r="A6000">
        <v>514896</v>
      </c>
      <c r="B6000" t="s">
        <v>6289</v>
      </c>
      <c r="C6000" t="str">
        <f>"9789264018631"</f>
        <v>9789264018631</v>
      </c>
      <c r="D6000" t="str">
        <f>"9789264018648"</f>
        <v>9789264018648</v>
      </c>
      <c r="E6000" t="s">
        <v>1185</v>
      </c>
      <c r="F6000" t="s">
        <v>1186</v>
      </c>
      <c r="G6000" s="1">
        <v>38560</v>
      </c>
      <c r="H6000" s="1">
        <v>40334</v>
      </c>
      <c r="I6000" t="s">
        <v>12</v>
      </c>
      <c r="J6000" t="s">
        <v>16770</v>
      </c>
    </row>
    <row r="6001" spans="1:10" x14ac:dyDescent="0.25">
      <c r="A6001">
        <v>514915</v>
      </c>
      <c r="B6001" t="s">
        <v>6290</v>
      </c>
      <c r="C6001" t="str">
        <f>"9789264010635"</f>
        <v>9789264010635</v>
      </c>
      <c r="D6001" t="str">
        <f>"9789264010642"</f>
        <v>9789264010642</v>
      </c>
      <c r="E6001" t="s">
        <v>1185</v>
      </c>
      <c r="F6001" t="s">
        <v>1186</v>
      </c>
      <c r="G6001" s="1">
        <v>38532</v>
      </c>
      <c r="H6001" s="1">
        <v>40334</v>
      </c>
      <c r="I6001" t="s">
        <v>12</v>
      </c>
      <c r="J6001" t="s">
        <v>16771</v>
      </c>
    </row>
    <row r="6002" spans="1:10" x14ac:dyDescent="0.25">
      <c r="A6002">
        <v>515523</v>
      </c>
      <c r="B6002" t="s">
        <v>6291</v>
      </c>
      <c r="C6002" t="str">
        <f>"9781604732115"</f>
        <v>9781604732115</v>
      </c>
      <c r="D6002" t="str">
        <f>"9781604733549"</f>
        <v>9781604733549</v>
      </c>
      <c r="E6002" t="s">
        <v>6292</v>
      </c>
      <c r="F6002" t="s">
        <v>6292</v>
      </c>
      <c r="G6002" s="1">
        <v>39910</v>
      </c>
      <c r="H6002" s="1">
        <v>40877</v>
      </c>
      <c r="I6002" t="s">
        <v>12</v>
      </c>
      <c r="J6002" t="s">
        <v>16772</v>
      </c>
    </row>
    <row r="6003" spans="1:10" x14ac:dyDescent="0.25">
      <c r="A6003">
        <v>515552</v>
      </c>
      <c r="B6003" t="s">
        <v>6293</v>
      </c>
      <c r="C6003" t="str">
        <f>"9781578069392"</f>
        <v>9781578069392</v>
      </c>
      <c r="D6003" t="str">
        <f>"9781604731637"</f>
        <v>9781604731637</v>
      </c>
      <c r="E6003" t="s">
        <v>6292</v>
      </c>
      <c r="F6003" t="s">
        <v>6292</v>
      </c>
      <c r="G6003" s="1">
        <v>39231</v>
      </c>
      <c r="H6003" s="1">
        <v>40877</v>
      </c>
      <c r="I6003" t="s">
        <v>12</v>
      </c>
      <c r="J6003" t="s">
        <v>16773</v>
      </c>
    </row>
    <row r="6004" spans="1:10" x14ac:dyDescent="0.25">
      <c r="A6004">
        <v>515577</v>
      </c>
      <c r="B6004" t="s">
        <v>6294</v>
      </c>
      <c r="C6004" t="str">
        <f>"9781604731248"</f>
        <v>9781604731248</v>
      </c>
      <c r="D6004" t="str">
        <f>"9781604733280"</f>
        <v>9781604733280</v>
      </c>
      <c r="E6004" t="s">
        <v>6292</v>
      </c>
      <c r="F6004" t="s">
        <v>6292</v>
      </c>
      <c r="G6004" s="1">
        <v>39701</v>
      </c>
      <c r="H6004" s="1">
        <v>40877</v>
      </c>
      <c r="I6004" t="s">
        <v>12</v>
      </c>
      <c r="J6004" t="s">
        <v>16774</v>
      </c>
    </row>
    <row r="6005" spans="1:10" x14ac:dyDescent="0.25">
      <c r="A6005">
        <v>515591</v>
      </c>
      <c r="B6005" t="s">
        <v>6295</v>
      </c>
      <c r="C6005" t="str">
        <f>"9781578069668"</f>
        <v>9781578069668</v>
      </c>
      <c r="D6005" t="str">
        <f>"9781604731569"</f>
        <v>9781604731569</v>
      </c>
      <c r="E6005" t="s">
        <v>6292</v>
      </c>
      <c r="F6005" t="s">
        <v>6292</v>
      </c>
      <c r="G6005" s="1">
        <v>39167</v>
      </c>
      <c r="H6005" s="1">
        <v>40877</v>
      </c>
      <c r="I6005" t="s">
        <v>12</v>
      </c>
      <c r="J6005" t="s">
        <v>16775</v>
      </c>
    </row>
    <row r="6006" spans="1:10" x14ac:dyDescent="0.25">
      <c r="A6006">
        <v>515594</v>
      </c>
      <c r="B6006" t="s">
        <v>6296</v>
      </c>
      <c r="C6006" t="str">
        <f>"9781604732221"</f>
        <v>9781604732221</v>
      </c>
      <c r="D6006" t="str">
        <f>"9781604734799"</f>
        <v>9781604734799</v>
      </c>
      <c r="E6006" t="s">
        <v>6292</v>
      </c>
      <c r="F6006" t="s">
        <v>6292</v>
      </c>
      <c r="G6006" s="1">
        <v>39972</v>
      </c>
      <c r="H6006" s="1">
        <v>40877</v>
      </c>
      <c r="I6006" t="s">
        <v>12</v>
      </c>
      <c r="J6006" t="s">
        <v>16776</v>
      </c>
    </row>
    <row r="6007" spans="1:10" x14ac:dyDescent="0.25">
      <c r="A6007">
        <v>515604</v>
      </c>
      <c r="B6007" t="s">
        <v>6297</v>
      </c>
      <c r="C6007" t="str">
        <f>"9781604730821"</f>
        <v>9781604730821</v>
      </c>
      <c r="D6007" t="str">
        <f>"9781604733341"</f>
        <v>9781604733341</v>
      </c>
      <c r="E6007" t="s">
        <v>6292</v>
      </c>
      <c r="F6007" t="s">
        <v>6292</v>
      </c>
      <c r="G6007" s="1">
        <v>39681</v>
      </c>
      <c r="H6007" s="1">
        <v>40877</v>
      </c>
      <c r="I6007" t="s">
        <v>12</v>
      </c>
      <c r="J6007" t="s">
        <v>16777</v>
      </c>
    </row>
    <row r="6008" spans="1:10" x14ac:dyDescent="0.25">
      <c r="A6008">
        <v>515614</v>
      </c>
      <c r="B6008" t="s">
        <v>6298</v>
      </c>
      <c r="C6008" t="str">
        <f>"9781604731019"</f>
        <v>9781604731019</v>
      </c>
      <c r="D6008" t="str">
        <f>"9781604733389"</f>
        <v>9781604733389</v>
      </c>
      <c r="E6008" t="s">
        <v>6292</v>
      </c>
      <c r="F6008" t="s">
        <v>6292</v>
      </c>
      <c r="G6008" s="1">
        <v>39814</v>
      </c>
      <c r="H6008" s="1">
        <v>40877</v>
      </c>
      <c r="I6008" t="s">
        <v>12</v>
      </c>
      <c r="J6008" t="s">
        <v>16778</v>
      </c>
    </row>
    <row r="6009" spans="1:10" x14ac:dyDescent="0.25">
      <c r="A6009">
        <v>515636</v>
      </c>
      <c r="B6009" t="s">
        <v>6299</v>
      </c>
      <c r="C6009" t="str">
        <f>"9781934110843"</f>
        <v>9781934110843</v>
      </c>
      <c r="D6009" t="str">
        <f>"9781604733235"</f>
        <v>9781604733235</v>
      </c>
      <c r="E6009" t="s">
        <v>6292</v>
      </c>
      <c r="F6009" t="s">
        <v>6292</v>
      </c>
      <c r="G6009" s="1">
        <v>39569</v>
      </c>
      <c r="H6009" s="1">
        <v>40877</v>
      </c>
      <c r="I6009" t="s">
        <v>12</v>
      </c>
      <c r="J6009" t="s">
        <v>16779</v>
      </c>
    </row>
    <row r="6010" spans="1:10" x14ac:dyDescent="0.25">
      <c r="A6010">
        <v>515660</v>
      </c>
      <c r="B6010" t="s">
        <v>6300</v>
      </c>
      <c r="C6010" t="str">
        <f>"9781578069248"</f>
        <v>9781578069248</v>
      </c>
      <c r="D6010" t="str">
        <f>"9781604731477"</f>
        <v>9781604731477</v>
      </c>
      <c r="E6010" t="s">
        <v>6292</v>
      </c>
      <c r="F6010" t="s">
        <v>6292</v>
      </c>
      <c r="G6010" s="1">
        <v>39070</v>
      </c>
      <c r="H6010" s="1">
        <v>40877</v>
      </c>
      <c r="I6010" t="s">
        <v>12</v>
      </c>
      <c r="J6010" t="s">
        <v>16780</v>
      </c>
    </row>
    <row r="6011" spans="1:10" x14ac:dyDescent="0.25">
      <c r="A6011">
        <v>515728</v>
      </c>
      <c r="B6011" t="s">
        <v>6301</v>
      </c>
      <c r="C6011" t="str">
        <f>"9780226789965"</f>
        <v>9780226789965</v>
      </c>
      <c r="D6011" t="str">
        <f>"9780226789989"</f>
        <v>9780226789989</v>
      </c>
      <c r="E6011" t="s">
        <v>5187</v>
      </c>
      <c r="F6011" t="s">
        <v>5187</v>
      </c>
      <c r="G6011" s="1">
        <v>40269</v>
      </c>
      <c r="H6011" s="1">
        <v>40286</v>
      </c>
      <c r="I6011" t="s">
        <v>12</v>
      </c>
      <c r="J6011" t="s">
        <v>16781</v>
      </c>
    </row>
    <row r="6012" spans="1:10" x14ac:dyDescent="0.25">
      <c r="A6012">
        <v>515736</v>
      </c>
      <c r="B6012" t="s">
        <v>6302</v>
      </c>
      <c r="C6012" t="str">
        <f>"9780226077963"</f>
        <v>9780226077963</v>
      </c>
      <c r="D6012" t="str">
        <f>"9780226077987"</f>
        <v>9780226077987</v>
      </c>
      <c r="E6012" t="s">
        <v>5187</v>
      </c>
      <c r="F6012" t="s">
        <v>5187</v>
      </c>
      <c r="G6012" s="1">
        <v>37958</v>
      </c>
      <c r="H6012" s="1">
        <v>40286</v>
      </c>
      <c r="I6012" t="s">
        <v>12</v>
      </c>
      <c r="J6012" t="s">
        <v>16782</v>
      </c>
    </row>
    <row r="6013" spans="1:10" x14ac:dyDescent="0.25">
      <c r="A6013">
        <v>515751</v>
      </c>
      <c r="B6013" t="s">
        <v>6303</v>
      </c>
      <c r="C6013" t="str">
        <f>"9780226496580"</f>
        <v>9780226496580</v>
      </c>
      <c r="D6013" t="str">
        <f>"9780226496597"</f>
        <v>9780226496597</v>
      </c>
      <c r="E6013" t="s">
        <v>5187</v>
      </c>
      <c r="F6013" t="s">
        <v>5187</v>
      </c>
      <c r="G6013" s="1">
        <v>40283</v>
      </c>
      <c r="H6013" s="1">
        <v>40286</v>
      </c>
      <c r="I6013" t="s">
        <v>12</v>
      </c>
      <c r="J6013" t="s">
        <v>16783</v>
      </c>
    </row>
    <row r="6014" spans="1:10" x14ac:dyDescent="0.25">
      <c r="A6014">
        <v>516756</v>
      </c>
      <c r="B6014" t="s">
        <v>6304</v>
      </c>
      <c r="C6014" t="str">
        <f>"9781845532918"</f>
        <v>9781845532918</v>
      </c>
      <c r="D6014" t="str">
        <f>"9781845537258"</f>
        <v>9781845537258</v>
      </c>
      <c r="E6014" t="s">
        <v>6305</v>
      </c>
      <c r="F6014" t="s">
        <v>6305</v>
      </c>
      <c r="G6014" s="1">
        <v>39814</v>
      </c>
      <c r="H6014" s="1">
        <v>40297</v>
      </c>
      <c r="I6014" t="s">
        <v>12</v>
      </c>
      <c r="J6014" t="s">
        <v>16784</v>
      </c>
    </row>
    <row r="6015" spans="1:10" x14ac:dyDescent="0.25">
      <c r="A6015">
        <v>516776</v>
      </c>
      <c r="B6015" t="s">
        <v>6306</v>
      </c>
      <c r="C6015" t="str">
        <f>"9781845536121"</f>
        <v>9781845536121</v>
      </c>
      <c r="D6015" t="str">
        <f>"9781845536138"</f>
        <v>9781845536138</v>
      </c>
      <c r="E6015" t="s">
        <v>6305</v>
      </c>
      <c r="F6015" t="s">
        <v>6305</v>
      </c>
      <c r="G6015" s="1">
        <v>39814</v>
      </c>
      <c r="H6015" s="1">
        <v>40297</v>
      </c>
      <c r="I6015" t="s">
        <v>12</v>
      </c>
      <c r="J6015" t="s">
        <v>16785</v>
      </c>
    </row>
    <row r="6016" spans="1:10" x14ac:dyDescent="0.25">
      <c r="A6016">
        <v>516801</v>
      </c>
      <c r="B6016" t="s">
        <v>6307</v>
      </c>
      <c r="C6016" t="str">
        <f>"9781589010802"</f>
        <v>9781589010802</v>
      </c>
      <c r="D6016" t="str">
        <f>"9781589013056"</f>
        <v>9781589013056</v>
      </c>
      <c r="E6016" t="s">
        <v>5877</v>
      </c>
      <c r="F6016" t="s">
        <v>5877</v>
      </c>
      <c r="G6016" s="1">
        <v>38856</v>
      </c>
      <c r="H6016" s="1">
        <v>40331</v>
      </c>
      <c r="I6016" t="s">
        <v>12</v>
      </c>
      <c r="J6016" t="s">
        <v>16786</v>
      </c>
    </row>
    <row r="6017" spans="1:10" x14ac:dyDescent="0.25">
      <c r="A6017">
        <v>516874</v>
      </c>
      <c r="B6017" t="s">
        <v>6308</v>
      </c>
      <c r="C6017" t="str">
        <f>"9780816066841"</f>
        <v>9780816066841</v>
      </c>
      <c r="D6017" t="str">
        <f>"9781438128573"</f>
        <v>9781438128573</v>
      </c>
      <c r="E6017" t="s">
        <v>2998</v>
      </c>
      <c r="F6017" t="s">
        <v>2999</v>
      </c>
      <c r="G6017" s="1">
        <v>40181</v>
      </c>
      <c r="H6017" s="1">
        <v>40297</v>
      </c>
      <c r="I6017" t="s">
        <v>12</v>
      </c>
      <c r="J6017" t="s">
        <v>16787</v>
      </c>
    </row>
    <row r="6018" spans="1:10" x14ac:dyDescent="0.25">
      <c r="A6018">
        <v>516945</v>
      </c>
      <c r="B6018" t="s">
        <v>6309</v>
      </c>
      <c r="C6018" t="str">
        <f>"9780470402986"</f>
        <v>9780470402986</v>
      </c>
      <c r="D6018" t="str">
        <f>"9780470625422"</f>
        <v>9780470625422</v>
      </c>
      <c r="E6018" t="s">
        <v>1088</v>
      </c>
      <c r="F6018" t="s">
        <v>5059</v>
      </c>
      <c r="G6018" s="1">
        <v>40277</v>
      </c>
      <c r="H6018" s="1">
        <v>40292</v>
      </c>
      <c r="I6018" t="s">
        <v>12</v>
      </c>
      <c r="J6018" t="s">
        <v>16788</v>
      </c>
    </row>
    <row r="6019" spans="1:10" x14ac:dyDescent="0.25">
      <c r="A6019">
        <v>516952</v>
      </c>
      <c r="B6019" t="s">
        <v>6310</v>
      </c>
      <c r="C6019" t="str">
        <f>"9780470525203"</f>
        <v>9780470525203</v>
      </c>
      <c r="D6019" t="str">
        <f>"9780470642863"</f>
        <v>9780470642863</v>
      </c>
      <c r="E6019" t="s">
        <v>1088</v>
      </c>
      <c r="F6019" t="s">
        <v>5057</v>
      </c>
      <c r="G6019" s="1">
        <v>40294</v>
      </c>
      <c r="H6019" s="1">
        <v>40292</v>
      </c>
      <c r="I6019" t="s">
        <v>12</v>
      </c>
      <c r="J6019" t="s">
        <v>16789</v>
      </c>
    </row>
    <row r="6020" spans="1:10" x14ac:dyDescent="0.25">
      <c r="A6020">
        <v>517130</v>
      </c>
      <c r="B6020" t="s">
        <v>6311</v>
      </c>
      <c r="C6020" t="str">
        <f>"9780306818257"</f>
        <v>9780306818257</v>
      </c>
      <c r="D6020" t="str">
        <f>"9780306819032"</f>
        <v>9780306819032</v>
      </c>
      <c r="E6020" t="s">
        <v>6312</v>
      </c>
      <c r="F6020" t="s">
        <v>6312</v>
      </c>
      <c r="G6020" s="1">
        <v>40295</v>
      </c>
      <c r="H6020" s="1">
        <v>40322</v>
      </c>
      <c r="I6020" t="s">
        <v>12</v>
      </c>
      <c r="J6020" t="s">
        <v>16790</v>
      </c>
    </row>
    <row r="6021" spans="1:10" x14ac:dyDescent="0.25">
      <c r="A6021">
        <v>517143</v>
      </c>
      <c r="B6021" t="s">
        <v>6313</v>
      </c>
      <c r="C6021" t="str">
        <f>"9781847421968"</f>
        <v>9781847421968</v>
      </c>
      <c r="D6021" t="str">
        <f>"9781847421975"</f>
        <v>9781847421975</v>
      </c>
      <c r="E6021" t="s">
        <v>5375</v>
      </c>
      <c r="F6021" t="s">
        <v>5375</v>
      </c>
      <c r="G6021" s="1">
        <v>40072</v>
      </c>
      <c r="H6021" s="1">
        <v>40308</v>
      </c>
      <c r="I6021" t="s">
        <v>12</v>
      </c>
      <c r="J6021" t="s">
        <v>16791</v>
      </c>
    </row>
    <row r="6022" spans="1:10" x14ac:dyDescent="0.25">
      <c r="A6022">
        <v>517145</v>
      </c>
      <c r="B6022" t="s">
        <v>6314</v>
      </c>
      <c r="C6022" t="str">
        <f>"9781847422187"</f>
        <v>9781847422187</v>
      </c>
      <c r="D6022" t="str">
        <f>"9781847422194"</f>
        <v>9781847422194</v>
      </c>
      <c r="E6022" t="s">
        <v>5375</v>
      </c>
      <c r="F6022" t="s">
        <v>5375</v>
      </c>
      <c r="G6022" s="1">
        <v>40100</v>
      </c>
      <c r="H6022" s="1">
        <v>40308</v>
      </c>
      <c r="I6022" t="s">
        <v>12</v>
      </c>
      <c r="J6022" t="s">
        <v>16792</v>
      </c>
    </row>
    <row r="6023" spans="1:10" x14ac:dyDescent="0.25">
      <c r="A6023">
        <v>517148</v>
      </c>
      <c r="B6023" t="s">
        <v>6315</v>
      </c>
      <c r="C6023" t="str">
        <f>"9781847424396"</f>
        <v>9781847424396</v>
      </c>
      <c r="D6023" t="str">
        <f>"9781847427342"</f>
        <v>9781847427342</v>
      </c>
      <c r="E6023" t="s">
        <v>5375</v>
      </c>
      <c r="F6023" t="s">
        <v>5375</v>
      </c>
      <c r="G6023" s="1">
        <v>40086</v>
      </c>
      <c r="H6023" s="1">
        <v>40308</v>
      </c>
      <c r="I6023" t="s">
        <v>12</v>
      </c>
      <c r="J6023" t="s">
        <v>16793</v>
      </c>
    </row>
    <row r="6024" spans="1:10" x14ac:dyDescent="0.25">
      <c r="A6024">
        <v>529947</v>
      </c>
      <c r="B6024" t="s">
        <v>6316</v>
      </c>
      <c r="C6024" t="str">
        <f>"9780470484104"</f>
        <v>9780470484104</v>
      </c>
      <c r="D6024" t="str">
        <f>"9780470617595"</f>
        <v>9780470617595</v>
      </c>
      <c r="E6024" t="s">
        <v>1088</v>
      </c>
      <c r="F6024" t="s">
        <v>5059</v>
      </c>
      <c r="G6024" s="1">
        <v>40315</v>
      </c>
      <c r="H6024" s="1">
        <v>40312</v>
      </c>
      <c r="I6024" t="s">
        <v>12</v>
      </c>
      <c r="J6024" t="s">
        <v>16794</v>
      </c>
    </row>
    <row r="6025" spans="1:10" x14ac:dyDescent="0.25">
      <c r="A6025">
        <v>529956</v>
      </c>
      <c r="B6025" t="s">
        <v>6317</v>
      </c>
      <c r="C6025" t="str">
        <f>"9780470542934"</f>
        <v>9780470542934</v>
      </c>
      <c r="D6025" t="str">
        <f>"9780470644652"</f>
        <v>9780470644652</v>
      </c>
      <c r="E6025" t="s">
        <v>1088</v>
      </c>
      <c r="F6025" t="s">
        <v>4889</v>
      </c>
      <c r="G6025" s="1">
        <v>40283</v>
      </c>
      <c r="H6025" s="1">
        <v>40312</v>
      </c>
      <c r="I6025" t="s">
        <v>12</v>
      </c>
      <c r="J6025" t="s">
        <v>16795</v>
      </c>
    </row>
    <row r="6026" spans="1:10" x14ac:dyDescent="0.25">
      <c r="A6026">
        <v>529979</v>
      </c>
      <c r="B6026" t="s">
        <v>6318</v>
      </c>
      <c r="C6026" t="str">
        <f>"9780470403006"</f>
        <v>9780470403006</v>
      </c>
      <c r="D6026" t="str">
        <f>"9780470618622"</f>
        <v>9780470618622</v>
      </c>
      <c r="E6026" t="s">
        <v>6319</v>
      </c>
      <c r="F6026" t="s">
        <v>6319</v>
      </c>
      <c r="G6026" s="1">
        <v>40322</v>
      </c>
      <c r="H6026" s="1">
        <v>40312</v>
      </c>
      <c r="I6026" t="s">
        <v>12</v>
      </c>
      <c r="J6026" t="s">
        <v>16796</v>
      </c>
    </row>
    <row r="6027" spans="1:10" x14ac:dyDescent="0.25">
      <c r="A6027">
        <v>530027</v>
      </c>
      <c r="B6027" t="s">
        <v>6320</v>
      </c>
      <c r="C6027" t="str">
        <f>"9780470546642"</f>
        <v>9780470546642</v>
      </c>
      <c r="D6027" t="str">
        <f>"9780470635575"</f>
        <v>9780470635575</v>
      </c>
      <c r="E6027" t="s">
        <v>1088</v>
      </c>
      <c r="F6027" t="s">
        <v>4889</v>
      </c>
      <c r="G6027" s="1">
        <v>40809</v>
      </c>
      <c r="H6027" s="1">
        <v>40312</v>
      </c>
      <c r="I6027" t="s">
        <v>12</v>
      </c>
      <c r="J6027" t="s">
        <v>16797</v>
      </c>
    </row>
    <row r="6028" spans="1:10" x14ac:dyDescent="0.25">
      <c r="A6028">
        <v>533012</v>
      </c>
      <c r="B6028" t="s">
        <v>6321</v>
      </c>
      <c r="C6028" t="str">
        <f>"9780814415078"</f>
        <v>9780814415078</v>
      </c>
      <c r="D6028" t="str">
        <f>"9780814415085"</f>
        <v>9780814415085</v>
      </c>
      <c r="E6028" t="s">
        <v>1080</v>
      </c>
      <c r="F6028" t="s">
        <v>1080</v>
      </c>
      <c r="G6028" s="1">
        <v>40312</v>
      </c>
      <c r="H6028" s="1">
        <v>40330</v>
      </c>
      <c r="I6028" t="s">
        <v>12</v>
      </c>
      <c r="J6028" t="s">
        <v>16798</v>
      </c>
    </row>
    <row r="6029" spans="1:10" x14ac:dyDescent="0.25">
      <c r="A6029">
        <v>533059</v>
      </c>
      <c r="B6029" t="s">
        <v>6322</v>
      </c>
      <c r="C6029" t="str">
        <f>"9781847882981"</f>
        <v>9781847882981</v>
      </c>
      <c r="D6029" t="str">
        <f>"9781847887696"</f>
        <v>9781847887696</v>
      </c>
      <c r="E6029" t="s">
        <v>1400</v>
      </c>
      <c r="F6029" t="s">
        <v>5919</v>
      </c>
      <c r="G6029" s="1">
        <v>40299</v>
      </c>
      <c r="H6029" s="1">
        <v>40326</v>
      </c>
      <c r="I6029" t="s">
        <v>12</v>
      </c>
      <c r="J6029" t="s">
        <v>16799</v>
      </c>
    </row>
    <row r="6030" spans="1:10" x14ac:dyDescent="0.25">
      <c r="A6030">
        <v>533163</v>
      </c>
      <c r="B6030" t="s">
        <v>6323</v>
      </c>
      <c r="C6030" t="str">
        <f>"9781889057712"</f>
        <v>9781889057712</v>
      </c>
      <c r="D6030" t="str">
        <f>"9781889057767"</f>
        <v>9781889057767</v>
      </c>
      <c r="E6030" t="s">
        <v>6324</v>
      </c>
      <c r="F6030" t="s">
        <v>6324</v>
      </c>
      <c r="G6030" s="1">
        <v>40210</v>
      </c>
      <c r="H6030" s="1">
        <v>40377</v>
      </c>
      <c r="I6030" t="s">
        <v>12</v>
      </c>
      <c r="J6030" t="s">
        <v>16800</v>
      </c>
    </row>
    <row r="6031" spans="1:10" x14ac:dyDescent="0.25">
      <c r="A6031">
        <v>533846</v>
      </c>
      <c r="B6031" t="s">
        <v>6325</v>
      </c>
      <c r="C6031" t="str">
        <f>"9781441121097"</f>
        <v>9781441121097</v>
      </c>
      <c r="D6031" t="str">
        <f>"9781441105868"</f>
        <v>9781441105868</v>
      </c>
      <c r="E6031" t="s">
        <v>4180</v>
      </c>
      <c r="F6031" t="s">
        <v>4180</v>
      </c>
      <c r="G6031" s="1">
        <v>40899</v>
      </c>
      <c r="H6031" s="1">
        <v>42326</v>
      </c>
      <c r="I6031" t="s">
        <v>12</v>
      </c>
      <c r="J6031" t="s">
        <v>16801</v>
      </c>
    </row>
    <row r="6032" spans="1:10" x14ac:dyDescent="0.25">
      <c r="A6032">
        <v>535348</v>
      </c>
      <c r="B6032" t="s">
        <v>6326</v>
      </c>
      <c r="C6032" t="str">
        <f>"9780803621664"</f>
        <v>9780803621664</v>
      </c>
      <c r="D6032" t="str">
        <f>"9780803624801"</f>
        <v>9780803624801</v>
      </c>
      <c r="E6032" t="s">
        <v>1445</v>
      </c>
      <c r="F6032" t="s">
        <v>1445</v>
      </c>
      <c r="G6032" s="1">
        <v>40154</v>
      </c>
      <c r="H6032" s="1">
        <v>40325</v>
      </c>
      <c r="I6032" t="s">
        <v>12</v>
      </c>
      <c r="J6032" t="s">
        <v>16802</v>
      </c>
    </row>
    <row r="6033" spans="1:10" x14ac:dyDescent="0.25">
      <c r="A6033">
        <v>535350</v>
      </c>
      <c r="B6033" t="s">
        <v>6327</v>
      </c>
      <c r="C6033" t="str">
        <f>"9780803621329"</f>
        <v>9780803621329</v>
      </c>
      <c r="D6033" t="str">
        <f>"9780803625150"</f>
        <v>9780803625150</v>
      </c>
      <c r="E6033" t="s">
        <v>1445</v>
      </c>
      <c r="F6033" t="s">
        <v>1445</v>
      </c>
      <c r="G6033" s="1">
        <v>40283</v>
      </c>
      <c r="H6033" s="1">
        <v>40325</v>
      </c>
      <c r="I6033" t="s">
        <v>12</v>
      </c>
      <c r="J6033" t="s">
        <v>16803</v>
      </c>
    </row>
    <row r="6034" spans="1:10" x14ac:dyDescent="0.25">
      <c r="A6034">
        <v>537002</v>
      </c>
      <c r="B6034" t="s">
        <v>6328</v>
      </c>
      <c r="C6034" t="str">
        <f>"9780748622214"</f>
        <v>9780748622214</v>
      </c>
      <c r="D6034" t="str">
        <f>"9780748629664"</f>
        <v>9780748629664</v>
      </c>
      <c r="E6034" t="s">
        <v>1942</v>
      </c>
      <c r="F6034" t="s">
        <v>1942</v>
      </c>
      <c r="G6034" s="1">
        <v>40268</v>
      </c>
      <c r="H6034" s="1">
        <v>40332</v>
      </c>
      <c r="I6034" t="s">
        <v>12</v>
      </c>
      <c r="J6034" t="s">
        <v>16804</v>
      </c>
    </row>
    <row r="6035" spans="1:10" x14ac:dyDescent="0.25">
      <c r="A6035">
        <v>537007</v>
      </c>
      <c r="B6035" t="s">
        <v>6329</v>
      </c>
      <c r="C6035" t="str">
        <f>"9780748627677"</f>
        <v>9780748627677</v>
      </c>
      <c r="D6035" t="str">
        <f>"9780748631643"</f>
        <v>9780748631643</v>
      </c>
      <c r="E6035" t="s">
        <v>1942</v>
      </c>
      <c r="F6035" t="s">
        <v>1942</v>
      </c>
      <c r="G6035" s="1">
        <v>40112</v>
      </c>
      <c r="H6035" s="1">
        <v>40332</v>
      </c>
      <c r="I6035" t="s">
        <v>12</v>
      </c>
      <c r="J6035" t="s">
        <v>16805</v>
      </c>
    </row>
    <row r="6036" spans="1:10" x14ac:dyDescent="0.25">
      <c r="A6036">
        <v>537014</v>
      </c>
      <c r="B6036" t="s">
        <v>6330</v>
      </c>
      <c r="C6036" t="str">
        <f>"9780748626144"</f>
        <v>9780748626144</v>
      </c>
      <c r="D6036" t="str">
        <f>"9780748631407"</f>
        <v>9780748631407</v>
      </c>
      <c r="E6036" t="s">
        <v>1942</v>
      </c>
      <c r="F6036" t="s">
        <v>1942</v>
      </c>
      <c r="G6036" s="1">
        <v>40154</v>
      </c>
      <c r="H6036" s="1">
        <v>40332</v>
      </c>
      <c r="I6036" t="s">
        <v>12</v>
      </c>
      <c r="J6036" t="s">
        <v>16806</v>
      </c>
    </row>
    <row r="6037" spans="1:10" x14ac:dyDescent="0.25">
      <c r="A6037">
        <v>537027</v>
      </c>
      <c r="B6037" t="s">
        <v>6331</v>
      </c>
      <c r="C6037" t="str">
        <f>"9780748625406"</f>
        <v>9780748625406</v>
      </c>
      <c r="D6037" t="str">
        <f>"9780748630943"</f>
        <v>9780748630943</v>
      </c>
      <c r="E6037" t="s">
        <v>1942</v>
      </c>
      <c r="F6037" t="s">
        <v>1942</v>
      </c>
      <c r="G6037" s="1">
        <v>40161</v>
      </c>
      <c r="H6037" s="1">
        <v>40332</v>
      </c>
      <c r="I6037" t="s">
        <v>12</v>
      </c>
      <c r="J6037" t="s">
        <v>16807</v>
      </c>
    </row>
    <row r="6038" spans="1:10" x14ac:dyDescent="0.25">
      <c r="A6038">
        <v>537035</v>
      </c>
      <c r="B6038" t="s">
        <v>6332</v>
      </c>
      <c r="C6038" t="str">
        <f>"9780748634231"</f>
        <v>9780748634231</v>
      </c>
      <c r="D6038" t="str">
        <f>"9780748634255"</f>
        <v>9780748634255</v>
      </c>
      <c r="E6038" t="s">
        <v>1942</v>
      </c>
      <c r="F6038" t="s">
        <v>1942</v>
      </c>
      <c r="G6038" s="1">
        <v>40268</v>
      </c>
      <c r="H6038" s="1">
        <v>40332</v>
      </c>
      <c r="I6038" t="s">
        <v>12</v>
      </c>
      <c r="J6038" t="s">
        <v>16808</v>
      </c>
    </row>
    <row r="6039" spans="1:10" x14ac:dyDescent="0.25">
      <c r="A6039">
        <v>537633</v>
      </c>
      <c r="B6039" t="s">
        <v>6333</v>
      </c>
      <c r="C6039" t="str">
        <f>"9780691168197"</f>
        <v>9780691168197</v>
      </c>
      <c r="D6039" t="str">
        <f>"9781400834648"</f>
        <v>9781400834648</v>
      </c>
      <c r="E6039" t="s">
        <v>5831</v>
      </c>
      <c r="F6039" t="s">
        <v>5831</v>
      </c>
      <c r="G6039" s="1">
        <v>40307</v>
      </c>
      <c r="H6039" s="1">
        <v>40331</v>
      </c>
      <c r="I6039" t="s">
        <v>12</v>
      </c>
      <c r="J6039" t="s">
        <v>16809</v>
      </c>
    </row>
    <row r="6040" spans="1:10" x14ac:dyDescent="0.25">
      <c r="A6040">
        <v>537669</v>
      </c>
      <c r="B6040" t="s">
        <v>6334</v>
      </c>
      <c r="C6040" t="str">
        <f>"9780691138572"</f>
        <v>9780691138572</v>
      </c>
      <c r="D6040" t="str">
        <f>"9781400830411"</f>
        <v>9781400830411</v>
      </c>
      <c r="E6040" t="s">
        <v>5831</v>
      </c>
      <c r="F6040" t="s">
        <v>5831</v>
      </c>
      <c r="G6040" s="1">
        <v>39671</v>
      </c>
      <c r="H6040" s="1">
        <v>40331</v>
      </c>
      <c r="I6040" t="s">
        <v>12</v>
      </c>
      <c r="J6040" t="s">
        <v>16810</v>
      </c>
    </row>
    <row r="6041" spans="1:10" x14ac:dyDescent="0.25">
      <c r="A6041">
        <v>537678</v>
      </c>
      <c r="B6041" t="s">
        <v>6335</v>
      </c>
      <c r="C6041" t="str">
        <f>"9780691142425"</f>
        <v>9780691142425</v>
      </c>
      <c r="D6041" t="str">
        <f>"9781400835263"</f>
        <v>9781400835263</v>
      </c>
      <c r="E6041" t="s">
        <v>5831</v>
      </c>
      <c r="F6041" t="s">
        <v>5831</v>
      </c>
      <c r="G6041" s="1">
        <v>40237</v>
      </c>
      <c r="H6041" s="1">
        <v>40331</v>
      </c>
      <c r="I6041" t="s">
        <v>12</v>
      </c>
      <c r="J6041" t="s">
        <v>16811</v>
      </c>
    </row>
    <row r="6042" spans="1:10" x14ac:dyDescent="0.25">
      <c r="A6042">
        <v>537706</v>
      </c>
      <c r="B6042" t="s">
        <v>6336</v>
      </c>
      <c r="C6042" t="str">
        <f>"9780691140223"</f>
        <v>9780691140223</v>
      </c>
      <c r="D6042" t="str">
        <f>"9781400835232"</f>
        <v>9781400835232</v>
      </c>
      <c r="E6042" t="s">
        <v>5831</v>
      </c>
      <c r="F6042" t="s">
        <v>5831</v>
      </c>
      <c r="G6042" s="1">
        <v>40300</v>
      </c>
      <c r="H6042" s="1">
        <v>40331</v>
      </c>
      <c r="I6042" t="s">
        <v>12</v>
      </c>
      <c r="J6042" t="s">
        <v>16812</v>
      </c>
    </row>
    <row r="6043" spans="1:10" x14ac:dyDescent="0.25">
      <c r="A6043">
        <v>537708</v>
      </c>
      <c r="B6043" t="s">
        <v>6337</v>
      </c>
      <c r="C6043" t="str">
        <f>"9780691142180"</f>
        <v>9780691142180</v>
      </c>
      <c r="D6043" t="str">
        <f>"9781400835195"</f>
        <v>9781400835195</v>
      </c>
      <c r="E6043" t="s">
        <v>5831</v>
      </c>
      <c r="F6043" t="s">
        <v>5831</v>
      </c>
      <c r="G6043" s="1">
        <v>40380</v>
      </c>
      <c r="H6043" s="1">
        <v>40331</v>
      </c>
      <c r="I6043" t="s">
        <v>12</v>
      </c>
      <c r="J6043" t="s">
        <v>16813</v>
      </c>
    </row>
    <row r="6044" spans="1:10" x14ac:dyDescent="0.25">
      <c r="A6044">
        <v>537731</v>
      </c>
      <c r="B6044" t="s">
        <v>6338</v>
      </c>
      <c r="C6044" t="str">
        <f>"9781412947497"</f>
        <v>9781412947497</v>
      </c>
      <c r="D6044" t="str">
        <f>"9780857026880"</f>
        <v>9780857026880</v>
      </c>
      <c r="E6044" t="s">
        <v>1569</v>
      </c>
      <c r="F6044" t="s">
        <v>1570</v>
      </c>
      <c r="G6044" s="1">
        <v>39891</v>
      </c>
      <c r="H6044" s="1">
        <v>40328</v>
      </c>
      <c r="I6044" t="s">
        <v>12</v>
      </c>
      <c r="J6044" t="s">
        <v>16814</v>
      </c>
    </row>
    <row r="6045" spans="1:10" x14ac:dyDescent="0.25">
      <c r="A6045">
        <v>537748</v>
      </c>
      <c r="B6045" t="s">
        <v>6339</v>
      </c>
      <c r="C6045" t="str">
        <f>"9781412948623"</f>
        <v>9781412948623</v>
      </c>
      <c r="D6045" t="str">
        <f>"9780857026958"</f>
        <v>9780857026958</v>
      </c>
      <c r="E6045" t="s">
        <v>1569</v>
      </c>
      <c r="F6045" t="s">
        <v>1570</v>
      </c>
      <c r="G6045" s="1">
        <v>39681</v>
      </c>
      <c r="H6045" s="1">
        <v>40331</v>
      </c>
      <c r="I6045" t="s">
        <v>12</v>
      </c>
      <c r="J6045" t="s">
        <v>16815</v>
      </c>
    </row>
    <row r="6046" spans="1:10" x14ac:dyDescent="0.25">
      <c r="A6046">
        <v>537752</v>
      </c>
      <c r="B6046" t="s">
        <v>6340</v>
      </c>
      <c r="C6046" t="str">
        <f>"9781847875327"</f>
        <v>9781847875327</v>
      </c>
      <c r="D6046" t="str">
        <f>"9780857027016"</f>
        <v>9780857027016</v>
      </c>
      <c r="E6046" t="s">
        <v>1569</v>
      </c>
      <c r="F6046" t="s">
        <v>1570</v>
      </c>
      <c r="G6046" s="1">
        <v>40226</v>
      </c>
      <c r="H6046" s="1">
        <v>40331</v>
      </c>
      <c r="I6046" t="s">
        <v>12</v>
      </c>
      <c r="J6046" t="s">
        <v>16816</v>
      </c>
    </row>
    <row r="6047" spans="1:10" x14ac:dyDescent="0.25">
      <c r="A6047">
        <v>537756</v>
      </c>
      <c r="B6047" t="s">
        <v>6341</v>
      </c>
      <c r="C6047" t="str">
        <f>"9781848600171"</f>
        <v>9781848600171</v>
      </c>
      <c r="D6047" t="str">
        <f>"9780857026606"</f>
        <v>9780857026606</v>
      </c>
      <c r="E6047" t="s">
        <v>1569</v>
      </c>
      <c r="F6047" t="s">
        <v>1570</v>
      </c>
      <c r="G6047" s="1">
        <v>39940</v>
      </c>
      <c r="H6047" s="1">
        <v>40331</v>
      </c>
      <c r="I6047" t="s">
        <v>12</v>
      </c>
      <c r="J6047" t="s">
        <v>16817</v>
      </c>
    </row>
    <row r="6048" spans="1:10" x14ac:dyDescent="0.25">
      <c r="A6048">
        <v>537762</v>
      </c>
      <c r="B6048" t="s">
        <v>6342</v>
      </c>
      <c r="C6048" t="str">
        <f>"9781412920858"</f>
        <v>9781412920858</v>
      </c>
      <c r="D6048" t="str">
        <f>"9780857026576"</f>
        <v>9780857026576</v>
      </c>
      <c r="E6048" t="s">
        <v>1569</v>
      </c>
      <c r="F6048" t="s">
        <v>1570</v>
      </c>
      <c r="G6048" s="1">
        <v>40199</v>
      </c>
      <c r="H6048" s="1">
        <v>40337</v>
      </c>
      <c r="I6048" t="s">
        <v>12</v>
      </c>
      <c r="J6048" t="s">
        <v>16818</v>
      </c>
    </row>
    <row r="6049" spans="1:10" x14ac:dyDescent="0.25">
      <c r="A6049">
        <v>537795</v>
      </c>
      <c r="B6049" t="s">
        <v>6343</v>
      </c>
      <c r="C6049" t="str">
        <f>"9781847871695"</f>
        <v>9781847871695</v>
      </c>
      <c r="D6049" t="str">
        <f>"9780857026972"</f>
        <v>9780857026972</v>
      </c>
      <c r="E6049" t="s">
        <v>1569</v>
      </c>
      <c r="F6049" t="s">
        <v>1570</v>
      </c>
      <c r="G6049" s="1">
        <v>39826</v>
      </c>
      <c r="H6049" s="1">
        <v>40331</v>
      </c>
      <c r="I6049" t="s">
        <v>12</v>
      </c>
      <c r="J6049" t="s">
        <v>16819</v>
      </c>
    </row>
    <row r="6050" spans="1:10" x14ac:dyDescent="0.25">
      <c r="A6050">
        <v>537808</v>
      </c>
      <c r="B6050" t="s">
        <v>6344</v>
      </c>
      <c r="C6050" t="str">
        <f>"9781412920551"</f>
        <v>9781412920551</v>
      </c>
      <c r="D6050" t="str">
        <f>"9780857026637"</f>
        <v>9780857026637</v>
      </c>
      <c r="E6050" t="s">
        <v>1569</v>
      </c>
      <c r="F6050" t="s">
        <v>1570</v>
      </c>
      <c r="G6050" s="1">
        <v>39771</v>
      </c>
      <c r="H6050" s="1">
        <v>40328</v>
      </c>
      <c r="I6050" t="s">
        <v>12</v>
      </c>
      <c r="J6050" t="s">
        <v>16820</v>
      </c>
    </row>
    <row r="6051" spans="1:10" x14ac:dyDescent="0.25">
      <c r="A6051">
        <v>537817</v>
      </c>
      <c r="B6051" t="s">
        <v>6345</v>
      </c>
      <c r="C6051" t="str">
        <f>"9781847879271"</f>
        <v>9781847879271</v>
      </c>
      <c r="D6051" t="str">
        <f>"9780857026743"</f>
        <v>9780857026743</v>
      </c>
      <c r="E6051" t="s">
        <v>1569</v>
      </c>
      <c r="F6051" t="s">
        <v>1570</v>
      </c>
      <c r="G6051" s="1">
        <v>40287</v>
      </c>
      <c r="H6051" s="1">
        <v>40331</v>
      </c>
      <c r="I6051" t="s">
        <v>12</v>
      </c>
      <c r="J6051" t="s">
        <v>16821</v>
      </c>
    </row>
    <row r="6052" spans="1:10" x14ac:dyDescent="0.25">
      <c r="A6052">
        <v>537829</v>
      </c>
      <c r="B6052" t="s">
        <v>6346</v>
      </c>
      <c r="C6052" t="str">
        <f>"9781847870490"</f>
        <v>9781847870490</v>
      </c>
      <c r="D6052" t="str">
        <f>"9780857026934"</f>
        <v>9780857026934</v>
      </c>
      <c r="E6052" t="s">
        <v>1569</v>
      </c>
      <c r="F6052" t="s">
        <v>1570</v>
      </c>
      <c r="G6052" s="1">
        <v>40252</v>
      </c>
      <c r="H6052" s="1">
        <v>40331</v>
      </c>
      <c r="I6052" t="s">
        <v>12</v>
      </c>
      <c r="J6052" t="s">
        <v>16822</v>
      </c>
    </row>
    <row r="6053" spans="1:10" x14ac:dyDescent="0.25">
      <c r="A6053">
        <v>537851</v>
      </c>
      <c r="B6053" t="s">
        <v>6347</v>
      </c>
      <c r="C6053" t="str">
        <f>"9780804762144"</f>
        <v>9780804762144</v>
      </c>
      <c r="D6053" t="str">
        <f>"9780804772983"</f>
        <v>9780804772983</v>
      </c>
      <c r="E6053" t="s">
        <v>6225</v>
      </c>
      <c r="F6053" t="s">
        <v>6225</v>
      </c>
      <c r="G6053" s="1">
        <v>40072</v>
      </c>
      <c r="H6053" s="1">
        <v>40332</v>
      </c>
      <c r="I6053" t="s">
        <v>12</v>
      </c>
      <c r="J6053" t="s">
        <v>16823</v>
      </c>
    </row>
    <row r="6054" spans="1:10" x14ac:dyDescent="0.25">
      <c r="A6054">
        <v>539801</v>
      </c>
      <c r="B6054" t="s">
        <v>6348</v>
      </c>
      <c r="C6054" t="str">
        <f>"9780691145983"</f>
        <v>9780691145983</v>
      </c>
      <c r="D6054" t="str">
        <f>"9781400835812"</f>
        <v>9781400835812</v>
      </c>
      <c r="E6054" t="s">
        <v>5831</v>
      </c>
      <c r="F6054" t="s">
        <v>5831</v>
      </c>
      <c r="G6054" s="1">
        <v>40380</v>
      </c>
      <c r="H6054" s="1">
        <v>40535</v>
      </c>
      <c r="I6054" t="s">
        <v>12</v>
      </c>
      <c r="J6054" t="s">
        <v>16824</v>
      </c>
    </row>
    <row r="6055" spans="1:10" x14ac:dyDescent="0.25">
      <c r="A6055">
        <v>539854</v>
      </c>
      <c r="B6055" t="s">
        <v>6349</v>
      </c>
      <c r="C6055" t="str">
        <f>"9781847885302"</f>
        <v>9781847885302</v>
      </c>
      <c r="D6055" t="str">
        <f>"9781847887597"</f>
        <v>9781847887597</v>
      </c>
      <c r="E6055" t="s">
        <v>4180</v>
      </c>
      <c r="F6055" t="s">
        <v>5919</v>
      </c>
      <c r="G6055" s="1">
        <v>40695</v>
      </c>
      <c r="H6055" s="1">
        <v>41845</v>
      </c>
      <c r="I6055" t="s">
        <v>12</v>
      </c>
      <c r="J6055" t="s">
        <v>16825</v>
      </c>
    </row>
    <row r="6056" spans="1:10" x14ac:dyDescent="0.25">
      <c r="A6056">
        <v>540033</v>
      </c>
      <c r="B6056" t="s">
        <v>6350</v>
      </c>
      <c r="C6056" t="str">
        <f>"9780816081493"</f>
        <v>9780816081493</v>
      </c>
      <c r="D6056" t="str">
        <f>"9781438132273"</f>
        <v>9781438132273</v>
      </c>
      <c r="E6056" t="s">
        <v>2998</v>
      </c>
      <c r="F6056" t="s">
        <v>2999</v>
      </c>
      <c r="G6056" s="1">
        <v>40269</v>
      </c>
      <c r="H6056" s="1">
        <v>40339</v>
      </c>
      <c r="I6056" t="s">
        <v>12</v>
      </c>
      <c r="J6056" t="s">
        <v>16826</v>
      </c>
    </row>
    <row r="6057" spans="1:10" x14ac:dyDescent="0.25">
      <c r="A6057">
        <v>540098</v>
      </c>
      <c r="B6057" t="s">
        <v>6351</v>
      </c>
      <c r="C6057" t="str">
        <f>"9781118269268"</f>
        <v>9781118269268</v>
      </c>
      <c r="D6057" t="str">
        <f>"9780470877562"</f>
        <v>9780470877562</v>
      </c>
      <c r="E6057" t="s">
        <v>1088</v>
      </c>
      <c r="F6057" t="s">
        <v>4889</v>
      </c>
      <c r="G6057" s="1">
        <v>40365</v>
      </c>
      <c r="H6057" s="1">
        <v>40339</v>
      </c>
      <c r="I6057" t="s">
        <v>12</v>
      </c>
      <c r="J6057" t="s">
        <v>16827</v>
      </c>
    </row>
    <row r="6058" spans="1:10" x14ac:dyDescent="0.25">
      <c r="A6058">
        <v>540156</v>
      </c>
      <c r="B6058" t="s">
        <v>6352</v>
      </c>
      <c r="C6058" t="str">
        <f>"9789264017733"</f>
        <v>9789264017733</v>
      </c>
      <c r="D6058" t="str">
        <f>"9789264076044"</f>
        <v>9789264076044</v>
      </c>
      <c r="E6058" t="s">
        <v>1185</v>
      </c>
      <c r="F6058" t="s">
        <v>1186</v>
      </c>
      <c r="G6058" s="1">
        <v>40296</v>
      </c>
      <c r="H6058" s="1">
        <v>40339</v>
      </c>
      <c r="I6058" t="s">
        <v>12</v>
      </c>
      <c r="J6058" t="s">
        <v>16828</v>
      </c>
    </row>
    <row r="6059" spans="1:10" x14ac:dyDescent="0.25">
      <c r="A6059">
        <v>540262</v>
      </c>
      <c r="B6059" t="s">
        <v>6353</v>
      </c>
      <c r="C6059" t="str">
        <f>"9780749465391"</f>
        <v>9780749465391</v>
      </c>
      <c r="D6059" t="str">
        <f>"9780749459437"</f>
        <v>9780749459437</v>
      </c>
      <c r="E6059" t="s">
        <v>1059</v>
      </c>
      <c r="F6059" t="s">
        <v>1059</v>
      </c>
      <c r="G6059" s="1">
        <v>41032</v>
      </c>
      <c r="H6059" s="1">
        <v>41418</v>
      </c>
      <c r="I6059" t="s">
        <v>12</v>
      </c>
      <c r="J6059" t="s">
        <v>16829</v>
      </c>
    </row>
    <row r="6060" spans="1:10" x14ac:dyDescent="0.25">
      <c r="A6060">
        <v>542921</v>
      </c>
      <c r="B6060" t="s">
        <v>6354</v>
      </c>
      <c r="C6060" t="str">
        <f>"9781844074259"</f>
        <v>9781844074259</v>
      </c>
      <c r="D6060" t="str">
        <f>"9781849770996"</f>
        <v>9781849770996</v>
      </c>
      <c r="E6060" t="s">
        <v>15</v>
      </c>
      <c r="F6060" t="s">
        <v>16</v>
      </c>
      <c r="G6060" s="1">
        <v>39173</v>
      </c>
      <c r="H6060" s="1">
        <v>40346</v>
      </c>
      <c r="I6060" t="s">
        <v>12</v>
      </c>
      <c r="J6060" t="s">
        <v>16830</v>
      </c>
    </row>
    <row r="6061" spans="1:10" x14ac:dyDescent="0.25">
      <c r="A6061">
        <v>542922</v>
      </c>
      <c r="B6061" t="s">
        <v>6355</v>
      </c>
      <c r="C6061" t="str">
        <f>"9781844074303"</f>
        <v>9781844074303</v>
      </c>
      <c r="D6061" t="str">
        <f>"9781849773027"</f>
        <v>9781849773027</v>
      </c>
      <c r="E6061" t="s">
        <v>15</v>
      </c>
      <c r="F6061" t="s">
        <v>16</v>
      </c>
      <c r="G6061" s="1">
        <v>39483</v>
      </c>
      <c r="H6061" s="1">
        <v>40346</v>
      </c>
      <c r="I6061" t="s">
        <v>12</v>
      </c>
      <c r="J6061" t="s">
        <v>16831</v>
      </c>
    </row>
    <row r="6062" spans="1:10" x14ac:dyDescent="0.25">
      <c r="A6062">
        <v>543879</v>
      </c>
      <c r="B6062" t="s">
        <v>6356</v>
      </c>
      <c r="C6062" t="str">
        <f>"9781847692177"</f>
        <v>9781847692177</v>
      </c>
      <c r="D6062" t="str">
        <f>"9781847692184"</f>
        <v>9781847692184</v>
      </c>
      <c r="E6062" t="s">
        <v>886</v>
      </c>
      <c r="F6062" t="s">
        <v>887</v>
      </c>
      <c r="G6062" s="1">
        <v>40106</v>
      </c>
      <c r="H6062" s="1">
        <v>40352</v>
      </c>
      <c r="I6062" t="s">
        <v>12</v>
      </c>
      <c r="J6062" t="s">
        <v>16832</v>
      </c>
    </row>
    <row r="6063" spans="1:10" x14ac:dyDescent="0.25">
      <c r="A6063">
        <v>543882</v>
      </c>
      <c r="B6063" t="s">
        <v>6357</v>
      </c>
      <c r="C6063" t="str">
        <f>"9781847692290"</f>
        <v>9781847692290</v>
      </c>
      <c r="D6063" t="str">
        <f>"9781847692306"</f>
        <v>9781847692306</v>
      </c>
      <c r="E6063" t="s">
        <v>886</v>
      </c>
      <c r="F6063" t="s">
        <v>887</v>
      </c>
      <c r="G6063" s="1">
        <v>40143</v>
      </c>
      <c r="H6063" s="1">
        <v>40352</v>
      </c>
      <c r="I6063" t="s">
        <v>12</v>
      </c>
      <c r="J6063" t="s">
        <v>16833</v>
      </c>
    </row>
    <row r="6064" spans="1:10" x14ac:dyDescent="0.25">
      <c r="A6064">
        <v>543884</v>
      </c>
      <c r="B6064" t="s">
        <v>6358</v>
      </c>
      <c r="C6064" t="str">
        <f>"9781845411244"</f>
        <v>9781845411244</v>
      </c>
      <c r="D6064" t="str">
        <f>"9781845411268"</f>
        <v>9781845411268</v>
      </c>
      <c r="E6064" t="s">
        <v>886</v>
      </c>
      <c r="F6064" t="s">
        <v>886</v>
      </c>
      <c r="G6064" s="1">
        <v>40170</v>
      </c>
      <c r="H6064" s="1">
        <v>40352</v>
      </c>
      <c r="I6064" t="s">
        <v>12</v>
      </c>
      <c r="J6064" t="s">
        <v>16834</v>
      </c>
    </row>
    <row r="6065" spans="1:10" x14ac:dyDescent="0.25">
      <c r="A6065">
        <v>543885</v>
      </c>
      <c r="B6065" t="s">
        <v>6359</v>
      </c>
      <c r="C6065" t="str">
        <f>"9781845411305"</f>
        <v>9781845411305</v>
      </c>
      <c r="D6065" t="str">
        <f>"9781845411329"</f>
        <v>9781845411329</v>
      </c>
      <c r="E6065" t="s">
        <v>886</v>
      </c>
      <c r="F6065" t="s">
        <v>886</v>
      </c>
      <c r="G6065" s="1">
        <v>40211</v>
      </c>
      <c r="H6065" s="1">
        <v>40352</v>
      </c>
      <c r="I6065" t="s">
        <v>12</v>
      </c>
      <c r="J6065" t="s">
        <v>16835</v>
      </c>
    </row>
    <row r="6066" spans="1:10" x14ac:dyDescent="0.25">
      <c r="A6066">
        <v>543886</v>
      </c>
      <c r="B6066" t="s">
        <v>6360</v>
      </c>
      <c r="C6066" t="str">
        <f>"9781847691873"</f>
        <v>9781847691873</v>
      </c>
      <c r="D6066" t="str">
        <f>"9781847691880"</f>
        <v>9781847691880</v>
      </c>
      <c r="E6066" t="s">
        <v>886</v>
      </c>
      <c r="F6066" t="s">
        <v>887</v>
      </c>
      <c r="G6066" s="1">
        <v>40142</v>
      </c>
      <c r="H6066" s="1">
        <v>40352</v>
      </c>
      <c r="I6066" t="s">
        <v>12</v>
      </c>
      <c r="J6066" t="s">
        <v>16836</v>
      </c>
    </row>
    <row r="6067" spans="1:10" x14ac:dyDescent="0.25">
      <c r="A6067">
        <v>543887</v>
      </c>
      <c r="B6067" t="s">
        <v>6361</v>
      </c>
      <c r="C6067" t="str">
        <f>"9781845411367"</f>
        <v>9781845411367</v>
      </c>
      <c r="D6067" t="str">
        <f>"9781845411381"</f>
        <v>9781845411381</v>
      </c>
      <c r="E6067" t="s">
        <v>886</v>
      </c>
      <c r="F6067" t="s">
        <v>886</v>
      </c>
      <c r="G6067" s="1">
        <v>40261</v>
      </c>
      <c r="H6067" s="1">
        <v>40352</v>
      </c>
      <c r="I6067" t="s">
        <v>12</v>
      </c>
      <c r="J6067" t="s">
        <v>16837</v>
      </c>
    </row>
    <row r="6068" spans="1:10" x14ac:dyDescent="0.25">
      <c r="A6068">
        <v>543891</v>
      </c>
      <c r="B6068" t="s">
        <v>6362</v>
      </c>
      <c r="C6068" t="str">
        <f>"9781847692238"</f>
        <v>9781847692238</v>
      </c>
      <c r="D6068" t="str">
        <f>"9781847692245"</f>
        <v>9781847692245</v>
      </c>
      <c r="E6068" t="s">
        <v>886</v>
      </c>
      <c r="F6068" t="s">
        <v>887</v>
      </c>
      <c r="G6068" s="1">
        <v>40143</v>
      </c>
      <c r="H6068" s="1">
        <v>40352</v>
      </c>
      <c r="I6068" t="s">
        <v>12</v>
      </c>
      <c r="J6068" t="s">
        <v>16838</v>
      </c>
    </row>
    <row r="6069" spans="1:10" x14ac:dyDescent="0.25">
      <c r="A6069">
        <v>543894</v>
      </c>
      <c r="B6069" t="s">
        <v>6363</v>
      </c>
      <c r="C6069" t="str">
        <f>"9781845411275"</f>
        <v>9781845411275</v>
      </c>
      <c r="D6069" t="str">
        <f>"9781845411299"</f>
        <v>9781845411299</v>
      </c>
      <c r="E6069" t="s">
        <v>886</v>
      </c>
      <c r="F6069" t="s">
        <v>886</v>
      </c>
      <c r="G6069" s="1">
        <v>40200</v>
      </c>
      <c r="H6069" s="1">
        <v>40352</v>
      </c>
      <c r="I6069" t="s">
        <v>12</v>
      </c>
      <c r="J6069" t="s">
        <v>16839</v>
      </c>
    </row>
    <row r="6070" spans="1:10" x14ac:dyDescent="0.25">
      <c r="A6070">
        <v>543896</v>
      </c>
      <c r="B6070" t="s">
        <v>6364</v>
      </c>
      <c r="C6070" t="str">
        <f>"9781847692467"</f>
        <v>9781847692467</v>
      </c>
      <c r="D6070" t="str">
        <f>"9781847692474"</f>
        <v>9781847692474</v>
      </c>
      <c r="E6070" t="s">
        <v>886</v>
      </c>
      <c r="F6070" t="s">
        <v>887</v>
      </c>
      <c r="G6070" s="1">
        <v>40298</v>
      </c>
      <c r="H6070" s="1">
        <v>40352</v>
      </c>
      <c r="I6070" t="s">
        <v>12</v>
      </c>
      <c r="J6070" t="s">
        <v>16840</v>
      </c>
    </row>
    <row r="6071" spans="1:10" x14ac:dyDescent="0.25">
      <c r="A6071">
        <v>543898</v>
      </c>
      <c r="B6071" t="s">
        <v>6365</v>
      </c>
      <c r="C6071" t="str">
        <f>"9781845411336"</f>
        <v>9781845411336</v>
      </c>
      <c r="D6071" t="str">
        <f>"9781845411350"</f>
        <v>9781845411350</v>
      </c>
      <c r="E6071" t="s">
        <v>886</v>
      </c>
      <c r="F6071" t="s">
        <v>886</v>
      </c>
      <c r="G6071" s="1">
        <v>40226</v>
      </c>
      <c r="H6071" s="1">
        <v>40352</v>
      </c>
      <c r="I6071" t="s">
        <v>12</v>
      </c>
      <c r="J6071" t="s">
        <v>16841</v>
      </c>
    </row>
    <row r="6072" spans="1:10" x14ac:dyDescent="0.25">
      <c r="A6072">
        <v>543900</v>
      </c>
      <c r="B6072" t="s">
        <v>6366</v>
      </c>
      <c r="C6072" t="str">
        <f>"9781847692269"</f>
        <v>9781847692269</v>
      </c>
      <c r="D6072" t="str">
        <f>"9781847692276"</f>
        <v>9781847692276</v>
      </c>
      <c r="E6072" t="s">
        <v>886</v>
      </c>
      <c r="F6072" t="s">
        <v>887</v>
      </c>
      <c r="G6072" s="1">
        <v>40133</v>
      </c>
      <c r="H6072" s="1">
        <v>40352</v>
      </c>
      <c r="I6072" t="s">
        <v>12</v>
      </c>
      <c r="J6072" t="s">
        <v>16842</v>
      </c>
    </row>
    <row r="6073" spans="1:10" x14ac:dyDescent="0.25">
      <c r="A6073">
        <v>543902</v>
      </c>
      <c r="B6073" t="s">
        <v>6367</v>
      </c>
      <c r="C6073" t="str">
        <f>"9781845411183"</f>
        <v>9781845411183</v>
      </c>
      <c r="D6073" t="str">
        <f>"9781845411190"</f>
        <v>9781845411190</v>
      </c>
      <c r="E6073" t="s">
        <v>886</v>
      </c>
      <c r="F6073" t="s">
        <v>886</v>
      </c>
      <c r="G6073" s="1">
        <v>40226</v>
      </c>
      <c r="H6073" s="1">
        <v>40352</v>
      </c>
      <c r="I6073" t="s">
        <v>12</v>
      </c>
      <c r="J6073" t="s">
        <v>16843</v>
      </c>
    </row>
    <row r="6074" spans="1:10" x14ac:dyDescent="0.25">
      <c r="A6074">
        <v>543905</v>
      </c>
      <c r="B6074" t="s">
        <v>6368</v>
      </c>
      <c r="C6074" t="str">
        <f>"9781845411428"</f>
        <v>9781845411428</v>
      </c>
      <c r="D6074" t="str">
        <f>"9781845411442"</f>
        <v>9781845411442</v>
      </c>
      <c r="E6074" t="s">
        <v>886</v>
      </c>
      <c r="F6074" t="s">
        <v>886</v>
      </c>
      <c r="G6074" s="1">
        <v>40288</v>
      </c>
      <c r="H6074" s="1">
        <v>40352</v>
      </c>
      <c r="I6074" t="s">
        <v>12</v>
      </c>
      <c r="J6074" t="s">
        <v>16844</v>
      </c>
    </row>
    <row r="6075" spans="1:10" x14ac:dyDescent="0.25">
      <c r="A6075">
        <v>543908</v>
      </c>
      <c r="B6075" t="s">
        <v>6369</v>
      </c>
      <c r="C6075" t="str">
        <f>"9781847692085"</f>
        <v>9781847692085</v>
      </c>
      <c r="D6075" t="str">
        <f>"9781847692092"</f>
        <v>9781847692092</v>
      </c>
      <c r="E6075" t="s">
        <v>886</v>
      </c>
      <c r="F6075" t="s">
        <v>887</v>
      </c>
      <c r="G6075" s="1">
        <v>40092</v>
      </c>
      <c r="H6075" s="1">
        <v>40352</v>
      </c>
      <c r="I6075" t="s">
        <v>12</v>
      </c>
      <c r="J6075" t="s">
        <v>16845</v>
      </c>
    </row>
    <row r="6076" spans="1:10" x14ac:dyDescent="0.25">
      <c r="A6076">
        <v>543909</v>
      </c>
      <c r="B6076" t="s">
        <v>6370</v>
      </c>
      <c r="C6076" t="str">
        <f>"9781847692801"</f>
        <v>9781847692801</v>
      </c>
      <c r="D6076" t="str">
        <f>"9781847692818"</f>
        <v>9781847692818</v>
      </c>
      <c r="E6076" t="s">
        <v>886</v>
      </c>
      <c r="F6076" t="s">
        <v>887</v>
      </c>
      <c r="G6076" s="1">
        <v>40352</v>
      </c>
      <c r="H6076" s="1">
        <v>40352</v>
      </c>
      <c r="I6076" t="s">
        <v>12</v>
      </c>
      <c r="J6076" t="s">
        <v>16846</v>
      </c>
    </row>
    <row r="6077" spans="1:10" x14ac:dyDescent="0.25">
      <c r="A6077">
        <v>543911</v>
      </c>
      <c r="B6077" t="s">
        <v>6371</v>
      </c>
      <c r="C6077" t="str">
        <f>"9781845411206"</f>
        <v>9781845411206</v>
      </c>
      <c r="D6077" t="str">
        <f>"9781845411220"</f>
        <v>9781845411220</v>
      </c>
      <c r="E6077" t="s">
        <v>886</v>
      </c>
      <c r="F6077" t="s">
        <v>886</v>
      </c>
      <c r="G6077" s="1">
        <v>40163</v>
      </c>
      <c r="H6077" s="1">
        <v>40352</v>
      </c>
      <c r="I6077" t="s">
        <v>12</v>
      </c>
      <c r="J6077" t="s">
        <v>16847</v>
      </c>
    </row>
    <row r="6078" spans="1:10" x14ac:dyDescent="0.25">
      <c r="A6078">
        <v>543912</v>
      </c>
      <c r="B6078" t="s">
        <v>6372</v>
      </c>
      <c r="C6078" t="str">
        <f>"9781847692597"</f>
        <v>9781847692597</v>
      </c>
      <c r="D6078" t="str">
        <f>"9781847692610"</f>
        <v>9781847692610</v>
      </c>
      <c r="E6078" t="s">
        <v>886</v>
      </c>
      <c r="F6078" t="s">
        <v>887</v>
      </c>
      <c r="G6078" s="1">
        <v>40261</v>
      </c>
      <c r="H6078" s="1">
        <v>40352</v>
      </c>
      <c r="I6078" t="s">
        <v>12</v>
      </c>
      <c r="J6078" t="s">
        <v>16848</v>
      </c>
    </row>
    <row r="6079" spans="1:10" x14ac:dyDescent="0.25">
      <c r="A6079">
        <v>543913</v>
      </c>
      <c r="B6079" t="s">
        <v>6373</v>
      </c>
      <c r="C6079" t="str">
        <f>"9781847692511"</f>
        <v>9781847692511</v>
      </c>
      <c r="D6079" t="str">
        <f>"9781847692528"</f>
        <v>9781847692528</v>
      </c>
      <c r="E6079" t="s">
        <v>886</v>
      </c>
      <c r="F6079" t="s">
        <v>887</v>
      </c>
      <c r="G6079" s="1">
        <v>40261</v>
      </c>
      <c r="H6079" s="1">
        <v>40352</v>
      </c>
      <c r="I6079" t="s">
        <v>12</v>
      </c>
      <c r="J6079" t="s">
        <v>16849</v>
      </c>
    </row>
    <row r="6080" spans="1:10" x14ac:dyDescent="0.25">
      <c r="A6080">
        <v>543959</v>
      </c>
      <c r="B6080" t="s">
        <v>6374</v>
      </c>
      <c r="C6080" t="str">
        <f>"9788132104414"</f>
        <v>9788132104414</v>
      </c>
      <c r="D6080" t="str">
        <f>"9788132105473"</f>
        <v>9788132105473</v>
      </c>
      <c r="E6080" t="s">
        <v>1569</v>
      </c>
      <c r="F6080" t="s">
        <v>5273</v>
      </c>
      <c r="G6080" s="1">
        <v>39661</v>
      </c>
      <c r="H6080" s="1">
        <v>40358</v>
      </c>
      <c r="I6080" t="s">
        <v>12</v>
      </c>
      <c r="J6080" t="s">
        <v>16850</v>
      </c>
    </row>
    <row r="6081" spans="1:10" x14ac:dyDescent="0.25">
      <c r="A6081">
        <v>543971</v>
      </c>
      <c r="B6081" t="s">
        <v>6375</v>
      </c>
      <c r="C6081" t="str">
        <f>"9788132104407"</f>
        <v>9788132104407</v>
      </c>
      <c r="D6081" t="str">
        <f>"9788132105497"</f>
        <v>9788132105497</v>
      </c>
      <c r="E6081" t="s">
        <v>1569</v>
      </c>
      <c r="F6081" t="s">
        <v>5273</v>
      </c>
      <c r="G6081" s="1">
        <v>40275</v>
      </c>
      <c r="H6081" s="1">
        <v>40358</v>
      </c>
      <c r="I6081" t="s">
        <v>12</v>
      </c>
      <c r="J6081" t="s">
        <v>16851</v>
      </c>
    </row>
    <row r="6082" spans="1:10" x14ac:dyDescent="0.25">
      <c r="A6082">
        <v>543972</v>
      </c>
      <c r="B6082" t="s">
        <v>6376</v>
      </c>
      <c r="C6082" t="str">
        <f>"9788178298382"</f>
        <v>9788178298382</v>
      </c>
      <c r="D6082" t="str">
        <f>"9788132105350"</f>
        <v>9788132105350</v>
      </c>
      <c r="E6082" t="s">
        <v>1569</v>
      </c>
      <c r="F6082" t="s">
        <v>5273</v>
      </c>
      <c r="G6082" s="1">
        <v>39975</v>
      </c>
      <c r="H6082" s="1">
        <v>40358</v>
      </c>
      <c r="I6082" t="s">
        <v>12</v>
      </c>
      <c r="J6082" t="s">
        <v>16852</v>
      </c>
    </row>
    <row r="6083" spans="1:10" x14ac:dyDescent="0.25">
      <c r="A6083">
        <v>543989</v>
      </c>
      <c r="B6083" t="s">
        <v>6377</v>
      </c>
      <c r="C6083" t="str">
        <f>"9780804769396"</f>
        <v>9780804769396</v>
      </c>
      <c r="D6083" t="str">
        <f>"9780804774260"</f>
        <v>9780804774260</v>
      </c>
      <c r="E6083" t="s">
        <v>6225</v>
      </c>
      <c r="F6083" t="s">
        <v>6225</v>
      </c>
      <c r="G6083" s="1">
        <v>40245</v>
      </c>
      <c r="H6083" s="1">
        <v>40356</v>
      </c>
      <c r="I6083" t="s">
        <v>12</v>
      </c>
      <c r="J6083" t="s">
        <v>16853</v>
      </c>
    </row>
    <row r="6084" spans="1:10" x14ac:dyDescent="0.25">
      <c r="A6084">
        <v>544004</v>
      </c>
      <c r="B6084" t="s">
        <v>6378</v>
      </c>
      <c r="C6084" t="str">
        <f>"9780804769419"</f>
        <v>9780804769419</v>
      </c>
      <c r="D6084" t="str">
        <f>"9780804774185"</f>
        <v>9780804774185</v>
      </c>
      <c r="E6084" t="s">
        <v>6225</v>
      </c>
      <c r="F6084" t="s">
        <v>6225</v>
      </c>
      <c r="G6084" s="1">
        <v>40233</v>
      </c>
      <c r="H6084" s="1">
        <v>40356</v>
      </c>
      <c r="I6084" t="s">
        <v>12</v>
      </c>
      <c r="J6084" t="s">
        <v>16854</v>
      </c>
    </row>
    <row r="6085" spans="1:10" x14ac:dyDescent="0.25">
      <c r="A6085">
        <v>544301</v>
      </c>
      <c r="B6085" t="s">
        <v>6379</v>
      </c>
      <c r="C6085" t="str">
        <f>"9780857458094"</f>
        <v>9780857458094</v>
      </c>
      <c r="D6085" t="str">
        <f>"9781845459659"</f>
        <v>9781845459659</v>
      </c>
      <c r="E6085" t="s">
        <v>6380</v>
      </c>
      <c r="F6085" t="s">
        <v>6380</v>
      </c>
      <c r="G6085" s="1">
        <v>40118</v>
      </c>
      <c r="H6085" s="1">
        <v>40353</v>
      </c>
      <c r="I6085" t="s">
        <v>12</v>
      </c>
      <c r="J6085" t="s">
        <v>16855</v>
      </c>
    </row>
    <row r="6086" spans="1:10" x14ac:dyDescent="0.25">
      <c r="A6086">
        <v>544303</v>
      </c>
      <c r="B6086" t="s">
        <v>6381</v>
      </c>
      <c r="C6086" t="str">
        <f>"9781845457785"</f>
        <v>9781845457785</v>
      </c>
      <c r="D6086" t="str">
        <f>"9780857450395"</f>
        <v>9780857450395</v>
      </c>
      <c r="E6086" t="s">
        <v>6380</v>
      </c>
      <c r="F6086" t="s">
        <v>6380</v>
      </c>
      <c r="G6086" s="1">
        <v>40299</v>
      </c>
      <c r="H6086" s="1">
        <v>40353</v>
      </c>
      <c r="I6086" t="s">
        <v>12</v>
      </c>
      <c r="J6086" t="s">
        <v>16856</v>
      </c>
    </row>
    <row r="6087" spans="1:10" x14ac:dyDescent="0.25">
      <c r="A6087">
        <v>544334</v>
      </c>
      <c r="B6087" t="s">
        <v>6382</v>
      </c>
      <c r="C6087" t="str">
        <f>"9780857451569"</f>
        <v>9780857451569</v>
      </c>
      <c r="D6087" t="str">
        <f>"9781845459154"</f>
        <v>9781845459154</v>
      </c>
      <c r="E6087" t="s">
        <v>6380</v>
      </c>
      <c r="F6087" t="s">
        <v>6380</v>
      </c>
      <c r="G6087" s="1">
        <v>39934</v>
      </c>
      <c r="H6087" s="1">
        <v>40353</v>
      </c>
      <c r="I6087" t="s">
        <v>12</v>
      </c>
      <c r="J6087" t="s">
        <v>16857</v>
      </c>
    </row>
    <row r="6088" spans="1:10" x14ac:dyDescent="0.25">
      <c r="A6088">
        <v>544583</v>
      </c>
      <c r="B6088" t="s">
        <v>6383</v>
      </c>
      <c r="C6088" t="str">
        <f>"9781586487898"</f>
        <v>9781586487898</v>
      </c>
      <c r="D6088" t="str">
        <f>"9781586488536"</f>
        <v>9781586488536</v>
      </c>
      <c r="E6088" t="s">
        <v>6247</v>
      </c>
      <c r="F6088" t="s">
        <v>6247</v>
      </c>
      <c r="G6088" s="1">
        <v>40295</v>
      </c>
      <c r="H6088" s="1">
        <v>40359</v>
      </c>
      <c r="I6088" t="s">
        <v>12</v>
      </c>
      <c r="J6088" t="s">
        <v>16858</v>
      </c>
    </row>
    <row r="6089" spans="1:10" x14ac:dyDescent="0.25">
      <c r="A6089">
        <v>546500</v>
      </c>
      <c r="B6089" t="s">
        <v>6384</v>
      </c>
      <c r="C6089" t="str">
        <f>"9781585623785"</f>
        <v>9781585623785</v>
      </c>
      <c r="D6089" t="str">
        <f>"9781585629442"</f>
        <v>9781585629442</v>
      </c>
      <c r="E6089" t="s">
        <v>5838</v>
      </c>
      <c r="F6089" t="s">
        <v>5838</v>
      </c>
      <c r="G6089" s="1">
        <v>40513</v>
      </c>
      <c r="H6089" s="1">
        <v>40354</v>
      </c>
      <c r="I6089" t="s">
        <v>12</v>
      </c>
      <c r="J6089" t="s">
        <v>16859</v>
      </c>
    </row>
    <row r="6090" spans="1:10" x14ac:dyDescent="0.25">
      <c r="A6090">
        <v>547517</v>
      </c>
      <c r="B6090" t="s">
        <v>6385</v>
      </c>
      <c r="C6090" t="str">
        <f>"9781555913847"</f>
        <v>9781555913847</v>
      </c>
      <c r="D6090" t="str">
        <f>"9781555917883"</f>
        <v>9781555917883</v>
      </c>
      <c r="E6090" t="s">
        <v>6386</v>
      </c>
      <c r="F6090" t="s">
        <v>6386</v>
      </c>
      <c r="G6090" s="1">
        <v>41091</v>
      </c>
      <c r="H6090" s="1">
        <v>40366</v>
      </c>
      <c r="I6090" t="s">
        <v>12</v>
      </c>
      <c r="J6090" t="s">
        <v>16860</v>
      </c>
    </row>
    <row r="6091" spans="1:10" x14ac:dyDescent="0.25">
      <c r="A6091">
        <v>547564</v>
      </c>
      <c r="B6091" t="s">
        <v>6387</v>
      </c>
      <c r="C6091" t="str">
        <f>"9780812696707"</f>
        <v>9780812696707</v>
      </c>
      <c r="D6091" t="str">
        <f>"9780812697131"</f>
        <v>9780812697131</v>
      </c>
      <c r="E6091" t="s">
        <v>6388</v>
      </c>
      <c r="F6091" t="s">
        <v>6388</v>
      </c>
      <c r="G6091" s="1">
        <v>40278</v>
      </c>
      <c r="H6091" s="1">
        <v>40366</v>
      </c>
      <c r="I6091" t="s">
        <v>12</v>
      </c>
      <c r="J6091" t="s">
        <v>16861</v>
      </c>
    </row>
    <row r="6092" spans="1:10" x14ac:dyDescent="0.25">
      <c r="A6092">
        <v>547581</v>
      </c>
      <c r="B6092" t="s">
        <v>6389</v>
      </c>
      <c r="C6092" t="str">
        <f>"9780520271432"</f>
        <v>9780520271432</v>
      </c>
      <c r="D6092" t="str">
        <f>"9780520945647"</f>
        <v>9780520945647</v>
      </c>
      <c r="E6092" t="s">
        <v>2000</v>
      </c>
      <c r="F6092" t="s">
        <v>2000</v>
      </c>
      <c r="G6092" s="1">
        <v>40330</v>
      </c>
      <c r="H6092" s="1">
        <v>42337</v>
      </c>
      <c r="I6092" t="s">
        <v>12</v>
      </c>
      <c r="J6092" t="s">
        <v>16862</v>
      </c>
    </row>
    <row r="6093" spans="1:10" x14ac:dyDescent="0.25">
      <c r="A6093">
        <v>547584</v>
      </c>
      <c r="B6093" t="s">
        <v>6390</v>
      </c>
      <c r="C6093" t="str">
        <f>"9780520258570"</f>
        <v>9780520258570</v>
      </c>
      <c r="D6093" t="str">
        <f>"9780520945678"</f>
        <v>9780520945678</v>
      </c>
      <c r="E6093" t="s">
        <v>2000</v>
      </c>
      <c r="F6093" t="s">
        <v>2000</v>
      </c>
      <c r="G6093" s="1">
        <v>40422</v>
      </c>
      <c r="H6093" s="1">
        <v>40367</v>
      </c>
      <c r="I6093" t="s">
        <v>12</v>
      </c>
      <c r="J6093" t="s">
        <v>16863</v>
      </c>
    </row>
    <row r="6094" spans="1:10" x14ac:dyDescent="0.25">
      <c r="A6094">
        <v>547731</v>
      </c>
      <c r="B6094" t="s">
        <v>6391</v>
      </c>
      <c r="C6094" t="str">
        <f>"9781615301409"</f>
        <v>9781615301409</v>
      </c>
      <c r="D6094" t="str">
        <f>"9781615301836"</f>
        <v>9781615301836</v>
      </c>
      <c r="E6094" t="s">
        <v>6117</v>
      </c>
      <c r="F6094" t="s">
        <v>6118</v>
      </c>
      <c r="G6094" s="1">
        <v>40269</v>
      </c>
      <c r="H6094" s="1">
        <v>40373</v>
      </c>
      <c r="I6094" t="s">
        <v>12</v>
      </c>
      <c r="J6094" t="s">
        <v>16864</v>
      </c>
    </row>
    <row r="6095" spans="1:10" x14ac:dyDescent="0.25">
      <c r="A6095">
        <v>547772</v>
      </c>
      <c r="B6095" t="s">
        <v>6392</v>
      </c>
      <c r="C6095" t="str">
        <f>"9781589010932"</f>
        <v>9781589010932</v>
      </c>
      <c r="D6095" t="str">
        <f>"9781589014077"</f>
        <v>9781589014077</v>
      </c>
      <c r="E6095" t="s">
        <v>5877</v>
      </c>
      <c r="F6095" t="s">
        <v>5877</v>
      </c>
      <c r="G6095" s="1">
        <v>38859</v>
      </c>
      <c r="H6095" s="1">
        <v>40373</v>
      </c>
      <c r="I6095" t="s">
        <v>12</v>
      </c>
      <c r="J6095" t="s">
        <v>16865</v>
      </c>
    </row>
    <row r="6096" spans="1:10" x14ac:dyDescent="0.25">
      <c r="A6096">
        <v>547815</v>
      </c>
      <c r="B6096" t="s">
        <v>6393</v>
      </c>
      <c r="C6096" t="str">
        <f>"9781589016453"</f>
        <v>9781589016453</v>
      </c>
      <c r="D6096" t="str">
        <f>"9781589016644"</f>
        <v>9781589016644</v>
      </c>
      <c r="E6096" t="s">
        <v>5877</v>
      </c>
      <c r="F6096" t="s">
        <v>5877</v>
      </c>
      <c r="G6096" s="1">
        <v>40288</v>
      </c>
      <c r="H6096" s="1">
        <v>40373</v>
      </c>
      <c r="I6096" t="s">
        <v>12</v>
      </c>
      <c r="J6096" t="s">
        <v>16866</v>
      </c>
    </row>
    <row r="6097" spans="1:10" x14ac:dyDescent="0.25">
      <c r="A6097">
        <v>547823</v>
      </c>
      <c r="B6097" t="s">
        <v>6394</v>
      </c>
      <c r="C6097" t="str">
        <f>"9781589017047"</f>
        <v>9781589017047</v>
      </c>
      <c r="D6097" t="str">
        <f>"9781589016170"</f>
        <v>9781589016170</v>
      </c>
      <c r="E6097" t="s">
        <v>5877</v>
      </c>
      <c r="F6097" t="s">
        <v>5877</v>
      </c>
      <c r="G6097" s="1">
        <v>40345</v>
      </c>
      <c r="H6097" s="1">
        <v>40421</v>
      </c>
      <c r="I6097" t="s">
        <v>12</v>
      </c>
      <c r="J6097" t="s">
        <v>16867</v>
      </c>
    </row>
    <row r="6098" spans="1:10" x14ac:dyDescent="0.25">
      <c r="A6098">
        <v>547853</v>
      </c>
      <c r="B6098" t="s">
        <v>6395</v>
      </c>
      <c r="C6098" t="str">
        <f>"9781604137811"</f>
        <v>9781604137811</v>
      </c>
      <c r="D6098" t="str">
        <f>"9781438132235"</f>
        <v>9781438132235</v>
      </c>
      <c r="E6098" t="s">
        <v>2998</v>
      </c>
      <c r="F6098" t="s">
        <v>6396</v>
      </c>
      <c r="G6098" s="1">
        <v>40299</v>
      </c>
      <c r="H6098" s="1">
        <v>40375</v>
      </c>
      <c r="I6098" t="s">
        <v>12</v>
      </c>
      <c r="J6098" t="s">
        <v>16868</v>
      </c>
    </row>
    <row r="6099" spans="1:10" x14ac:dyDescent="0.25">
      <c r="A6099">
        <v>547862</v>
      </c>
      <c r="B6099" t="s">
        <v>6397</v>
      </c>
      <c r="C6099" t="str">
        <f>"9781604137835"</f>
        <v>9781604137835</v>
      </c>
      <c r="D6099" t="str">
        <f>"9781438132211"</f>
        <v>9781438132211</v>
      </c>
      <c r="E6099" t="s">
        <v>2998</v>
      </c>
      <c r="F6099" t="s">
        <v>6396</v>
      </c>
      <c r="G6099" s="1">
        <v>40299</v>
      </c>
      <c r="H6099" s="1">
        <v>40375</v>
      </c>
      <c r="I6099" t="s">
        <v>12</v>
      </c>
      <c r="J6099" t="s">
        <v>16869</v>
      </c>
    </row>
    <row r="6100" spans="1:10" x14ac:dyDescent="0.25">
      <c r="A6100">
        <v>547873</v>
      </c>
      <c r="B6100" t="s">
        <v>6398</v>
      </c>
      <c r="C6100" t="str">
        <f>"9780816080007"</f>
        <v>9780816080007</v>
      </c>
      <c r="D6100" t="str">
        <f>"9781438130569"</f>
        <v>9781438130569</v>
      </c>
      <c r="E6100" t="s">
        <v>2998</v>
      </c>
      <c r="F6100" t="s">
        <v>2999</v>
      </c>
      <c r="G6100" s="1">
        <v>40269</v>
      </c>
      <c r="H6100" s="1">
        <v>40366</v>
      </c>
      <c r="I6100" t="s">
        <v>12</v>
      </c>
      <c r="J6100" t="s">
        <v>16870</v>
      </c>
    </row>
    <row r="6101" spans="1:10" x14ac:dyDescent="0.25">
      <c r="A6101">
        <v>547881</v>
      </c>
      <c r="B6101" t="s">
        <v>6399</v>
      </c>
      <c r="C6101" t="str">
        <f>"9781604137842"</f>
        <v>9781604137842</v>
      </c>
      <c r="D6101" t="str">
        <f>"9781438132228"</f>
        <v>9781438132228</v>
      </c>
      <c r="E6101" t="s">
        <v>2998</v>
      </c>
      <c r="F6101" t="s">
        <v>6396</v>
      </c>
      <c r="G6101" s="1">
        <v>40299</v>
      </c>
      <c r="H6101" s="1">
        <v>40375</v>
      </c>
      <c r="I6101" t="s">
        <v>12</v>
      </c>
      <c r="J6101" t="s">
        <v>16871</v>
      </c>
    </row>
    <row r="6102" spans="1:10" x14ac:dyDescent="0.25">
      <c r="A6102">
        <v>547882</v>
      </c>
      <c r="B6102" t="s">
        <v>6400</v>
      </c>
      <c r="C6102" t="str">
        <f>"9781604137798"</f>
        <v>9781604137798</v>
      </c>
      <c r="D6102" t="str">
        <f>"9781438131641"</f>
        <v>9781438131641</v>
      </c>
      <c r="E6102" t="s">
        <v>2998</v>
      </c>
      <c r="F6102" t="s">
        <v>6396</v>
      </c>
      <c r="G6102" s="1">
        <v>40299</v>
      </c>
      <c r="H6102" s="1">
        <v>40375</v>
      </c>
      <c r="I6102" t="s">
        <v>12</v>
      </c>
      <c r="J6102" t="s">
        <v>16872</v>
      </c>
    </row>
    <row r="6103" spans="1:10" x14ac:dyDescent="0.25">
      <c r="A6103">
        <v>547885</v>
      </c>
      <c r="B6103" t="s">
        <v>6401</v>
      </c>
      <c r="C6103" t="str">
        <f>"9781604137859"</f>
        <v>9781604137859</v>
      </c>
      <c r="D6103" t="str">
        <f>"9781438132204"</f>
        <v>9781438132204</v>
      </c>
      <c r="E6103" t="s">
        <v>2998</v>
      </c>
      <c r="F6103" t="s">
        <v>6396</v>
      </c>
      <c r="G6103" s="1">
        <v>40299</v>
      </c>
      <c r="H6103" s="1">
        <v>40375</v>
      </c>
      <c r="I6103" t="s">
        <v>12</v>
      </c>
      <c r="J6103" t="s">
        <v>16873</v>
      </c>
    </row>
    <row r="6104" spans="1:10" x14ac:dyDescent="0.25">
      <c r="A6104">
        <v>547891</v>
      </c>
      <c r="B6104" t="s">
        <v>6402</v>
      </c>
      <c r="C6104" t="str">
        <f>"9780791097403"</f>
        <v>9780791097403</v>
      </c>
      <c r="D6104" t="str">
        <f>"9781438118062"</f>
        <v>9781438118062</v>
      </c>
      <c r="E6104" t="s">
        <v>2998</v>
      </c>
      <c r="F6104" t="s">
        <v>3008</v>
      </c>
      <c r="G6104" s="1">
        <v>39814</v>
      </c>
      <c r="H6104" s="1">
        <v>40375</v>
      </c>
      <c r="I6104" t="s">
        <v>12</v>
      </c>
      <c r="J6104" t="s">
        <v>16874</v>
      </c>
    </row>
    <row r="6105" spans="1:10" x14ac:dyDescent="0.25">
      <c r="A6105">
        <v>548070</v>
      </c>
      <c r="B6105" t="s">
        <v>6403</v>
      </c>
      <c r="C6105" t="str">
        <f>"9780816665181"</f>
        <v>9780816665181</v>
      </c>
      <c r="D6105" t="str">
        <f>"9780816673476"</f>
        <v>9780816673476</v>
      </c>
      <c r="E6105" t="s">
        <v>3970</v>
      </c>
      <c r="F6105" t="s">
        <v>3970</v>
      </c>
      <c r="G6105" s="1">
        <v>40179</v>
      </c>
      <c r="H6105" s="1">
        <v>40368</v>
      </c>
      <c r="I6105" t="s">
        <v>12</v>
      </c>
      <c r="J6105" t="s">
        <v>16875</v>
      </c>
    </row>
    <row r="6106" spans="1:10" x14ac:dyDescent="0.25">
      <c r="A6106">
        <v>548139</v>
      </c>
      <c r="B6106" t="s">
        <v>6404</v>
      </c>
      <c r="C6106" t="str">
        <f>"9780815790778"</f>
        <v>9780815790778</v>
      </c>
      <c r="D6106" t="str">
        <f>"9780815790785"</f>
        <v>9780815790785</v>
      </c>
      <c r="E6106" t="s">
        <v>2013</v>
      </c>
      <c r="F6106" t="s">
        <v>2013</v>
      </c>
      <c r="G6106" s="1">
        <v>38926</v>
      </c>
      <c r="H6106" s="1">
        <v>41375</v>
      </c>
      <c r="I6106" t="s">
        <v>12</v>
      </c>
      <c r="J6106" t="s">
        <v>16876</v>
      </c>
    </row>
    <row r="6107" spans="1:10" x14ac:dyDescent="0.25">
      <c r="A6107">
        <v>554822</v>
      </c>
      <c r="B6107" t="s">
        <v>6405</v>
      </c>
      <c r="C6107" t="str">
        <f>"9781849509220"</f>
        <v>9781849509220</v>
      </c>
      <c r="D6107" t="str">
        <f>"9781849509237"</f>
        <v>9781849509237</v>
      </c>
      <c r="E6107" t="s">
        <v>1116</v>
      </c>
      <c r="F6107" t="s">
        <v>1117</v>
      </c>
      <c r="G6107" s="1">
        <v>40352</v>
      </c>
      <c r="H6107" s="1">
        <v>40382</v>
      </c>
      <c r="I6107" t="s">
        <v>12</v>
      </c>
      <c r="J6107" t="s">
        <v>16877</v>
      </c>
    </row>
    <row r="6108" spans="1:10" x14ac:dyDescent="0.25">
      <c r="A6108">
        <v>554887</v>
      </c>
      <c r="B6108" t="s">
        <v>6406</v>
      </c>
      <c r="C6108" t="str">
        <f>"9780816074419"</f>
        <v>9780816074419</v>
      </c>
      <c r="D6108" t="str">
        <f>"9781438130583"</f>
        <v>9781438130583</v>
      </c>
      <c r="E6108" t="s">
        <v>2998</v>
      </c>
      <c r="F6108" t="s">
        <v>2999</v>
      </c>
      <c r="G6108" s="1">
        <v>40330</v>
      </c>
      <c r="H6108" s="1">
        <v>40382</v>
      </c>
      <c r="I6108" t="s">
        <v>12</v>
      </c>
      <c r="J6108" t="s">
        <v>16878</v>
      </c>
    </row>
    <row r="6109" spans="1:10" x14ac:dyDescent="0.25">
      <c r="A6109">
        <v>554975</v>
      </c>
      <c r="B6109" t="s">
        <v>6407</v>
      </c>
      <c r="C6109" t="str">
        <f>"9780470424704"</f>
        <v>9780470424704</v>
      </c>
      <c r="D6109" t="str">
        <f>"9780470889947"</f>
        <v>9780470889947</v>
      </c>
      <c r="E6109" t="s">
        <v>1088</v>
      </c>
      <c r="F6109" t="s">
        <v>1088</v>
      </c>
      <c r="G6109" s="1">
        <v>40361</v>
      </c>
      <c r="H6109" s="1">
        <v>40383</v>
      </c>
      <c r="I6109" t="s">
        <v>12</v>
      </c>
      <c r="J6109" t="s">
        <v>16879</v>
      </c>
    </row>
    <row r="6110" spans="1:10" x14ac:dyDescent="0.25">
      <c r="A6110">
        <v>556579</v>
      </c>
      <c r="B6110" t="s">
        <v>6408</v>
      </c>
      <c r="C6110" t="str">
        <f>"9789042022508"</f>
        <v>9789042022508</v>
      </c>
      <c r="D6110" t="str">
        <f>"9789401204781"</f>
        <v>9789401204781</v>
      </c>
      <c r="E6110" t="s">
        <v>1447</v>
      </c>
      <c r="F6110" t="s">
        <v>6409</v>
      </c>
      <c r="G6110" s="1">
        <v>39083</v>
      </c>
      <c r="H6110" s="1">
        <v>40652</v>
      </c>
      <c r="I6110" t="s">
        <v>12</v>
      </c>
      <c r="J6110" t="s">
        <v>16880</v>
      </c>
    </row>
    <row r="6111" spans="1:10" x14ac:dyDescent="0.25">
      <c r="A6111">
        <v>556738</v>
      </c>
      <c r="B6111" t="s">
        <v>6410</v>
      </c>
      <c r="C6111" t="str">
        <f>"9789042022911"</f>
        <v>9789042022911</v>
      </c>
      <c r="D6111" t="str">
        <f>"9789401205061"</f>
        <v>9789401205061</v>
      </c>
      <c r="E6111" t="s">
        <v>1447</v>
      </c>
      <c r="F6111" t="s">
        <v>6409</v>
      </c>
      <c r="G6111" s="1">
        <v>39083</v>
      </c>
      <c r="H6111" s="1">
        <v>40652</v>
      </c>
      <c r="I6111" t="s">
        <v>12</v>
      </c>
      <c r="J6111" t="s">
        <v>16881</v>
      </c>
    </row>
    <row r="6112" spans="1:10" x14ac:dyDescent="0.25">
      <c r="A6112">
        <v>556936</v>
      </c>
      <c r="B6112" t="s">
        <v>6411</v>
      </c>
      <c r="C6112" t="str">
        <f>"9789042030701"</f>
        <v>9789042030701</v>
      </c>
      <c r="D6112" t="str">
        <f>"9789042030718"</f>
        <v>9789042030718</v>
      </c>
      <c r="E6112" t="s">
        <v>1447</v>
      </c>
      <c r="F6112" t="s">
        <v>6409</v>
      </c>
      <c r="G6112" s="1">
        <v>40179</v>
      </c>
      <c r="H6112" s="1">
        <v>40401</v>
      </c>
      <c r="I6112" t="s">
        <v>12</v>
      </c>
      <c r="J6112" t="s">
        <v>16882</v>
      </c>
    </row>
    <row r="6113" spans="1:10" x14ac:dyDescent="0.25">
      <c r="A6113">
        <v>557010</v>
      </c>
      <c r="B6113" t="s">
        <v>6412</v>
      </c>
      <c r="C6113" t="str">
        <f>"9781615301492"</f>
        <v>9781615301492</v>
      </c>
      <c r="D6113" t="str">
        <f>"9781615302031"</f>
        <v>9781615302031</v>
      </c>
      <c r="E6113" t="s">
        <v>6117</v>
      </c>
      <c r="F6113" t="s">
        <v>6118</v>
      </c>
      <c r="G6113" s="1">
        <v>40269</v>
      </c>
      <c r="H6113" s="1">
        <v>40399</v>
      </c>
      <c r="I6113" t="s">
        <v>12</v>
      </c>
      <c r="J6113" t="s">
        <v>16883</v>
      </c>
    </row>
    <row r="6114" spans="1:10" x14ac:dyDescent="0.25">
      <c r="A6114">
        <v>557062</v>
      </c>
      <c r="B6114" t="s">
        <v>6413</v>
      </c>
      <c r="C6114" t="str">
        <f>"9780749457143"</f>
        <v>9780749457143</v>
      </c>
      <c r="D6114" t="str">
        <f>"9780749459352"</f>
        <v>9780749459352</v>
      </c>
      <c r="E6114" t="s">
        <v>1059</v>
      </c>
      <c r="F6114" t="s">
        <v>1059</v>
      </c>
      <c r="G6114" s="1">
        <v>40332</v>
      </c>
      <c r="H6114" s="1">
        <v>40388</v>
      </c>
      <c r="I6114" t="s">
        <v>12</v>
      </c>
      <c r="J6114" t="s">
        <v>16884</v>
      </c>
    </row>
    <row r="6115" spans="1:10" x14ac:dyDescent="0.25">
      <c r="A6115">
        <v>557069</v>
      </c>
      <c r="B6115" t="s">
        <v>6414</v>
      </c>
      <c r="C6115" t="str">
        <f>"9780749457037"</f>
        <v>9780749457037</v>
      </c>
      <c r="D6115" t="str">
        <f>"9780749459369"</f>
        <v>9780749459369</v>
      </c>
      <c r="E6115" t="s">
        <v>1059</v>
      </c>
      <c r="F6115" t="s">
        <v>1059</v>
      </c>
      <c r="G6115" s="1">
        <v>40332</v>
      </c>
      <c r="H6115" s="1">
        <v>40388</v>
      </c>
      <c r="I6115" t="s">
        <v>12</v>
      </c>
      <c r="J6115" t="s">
        <v>16885</v>
      </c>
    </row>
    <row r="6116" spans="1:10" x14ac:dyDescent="0.25">
      <c r="A6116">
        <v>557127</v>
      </c>
      <c r="B6116" t="s">
        <v>6415</v>
      </c>
      <c r="C6116" t="str">
        <f>"9780691138640"</f>
        <v>9780691138640</v>
      </c>
      <c r="D6116" t="str">
        <f>"9781400834631"</f>
        <v>9781400834631</v>
      </c>
      <c r="E6116" t="s">
        <v>5831</v>
      </c>
      <c r="F6116" t="s">
        <v>5831</v>
      </c>
      <c r="G6116" s="1">
        <v>40300</v>
      </c>
      <c r="H6116" s="1">
        <v>40395</v>
      </c>
      <c r="I6116" t="s">
        <v>12</v>
      </c>
      <c r="J6116" t="s">
        <v>16886</v>
      </c>
    </row>
    <row r="6117" spans="1:10" x14ac:dyDescent="0.25">
      <c r="A6117">
        <v>557159</v>
      </c>
      <c r="B6117" t="s">
        <v>6416</v>
      </c>
      <c r="C6117" t="str">
        <f>"9780691146461"</f>
        <v>9780691146461</v>
      </c>
      <c r="D6117" t="str">
        <f>"9781400834785"</f>
        <v>9781400834785</v>
      </c>
      <c r="E6117" t="s">
        <v>5831</v>
      </c>
      <c r="F6117" t="s">
        <v>5831</v>
      </c>
      <c r="G6117" s="1">
        <v>40300</v>
      </c>
      <c r="H6117" s="1">
        <v>40395</v>
      </c>
      <c r="I6117" t="s">
        <v>12</v>
      </c>
      <c r="J6117" t="s">
        <v>16887</v>
      </c>
    </row>
    <row r="6118" spans="1:10" x14ac:dyDescent="0.25">
      <c r="A6118">
        <v>564073</v>
      </c>
      <c r="B6118" t="s">
        <v>6417</v>
      </c>
      <c r="C6118" t="str">
        <f>"9789089642257"</f>
        <v>9789089642257</v>
      </c>
      <c r="D6118" t="str">
        <f>"9789048512287"</f>
        <v>9789048512287</v>
      </c>
      <c r="E6118" t="s">
        <v>5284</v>
      </c>
      <c r="F6118" t="s">
        <v>5284</v>
      </c>
      <c r="G6118" s="1">
        <v>40179</v>
      </c>
      <c r="H6118" s="1">
        <v>40421</v>
      </c>
      <c r="I6118" t="s">
        <v>12</v>
      </c>
      <c r="J6118" t="s">
        <v>16888</v>
      </c>
    </row>
    <row r="6119" spans="1:10" x14ac:dyDescent="0.25">
      <c r="A6119">
        <v>564145</v>
      </c>
      <c r="B6119" t="s">
        <v>6418</v>
      </c>
      <c r="C6119" t="str">
        <f>"9781845201128"</f>
        <v>9781845201128</v>
      </c>
      <c r="D6119" t="str">
        <f>"9781847887634"</f>
        <v>9781847887634</v>
      </c>
      <c r="E6119" t="s">
        <v>1400</v>
      </c>
      <c r="F6119" t="s">
        <v>5919</v>
      </c>
      <c r="G6119" s="1">
        <v>40391</v>
      </c>
      <c r="H6119" s="1">
        <v>42094</v>
      </c>
      <c r="I6119" t="s">
        <v>12</v>
      </c>
      <c r="J6119" t="s">
        <v>16889</v>
      </c>
    </row>
    <row r="6120" spans="1:10" x14ac:dyDescent="0.25">
      <c r="A6120">
        <v>564190</v>
      </c>
      <c r="B6120" t="s">
        <v>6419</v>
      </c>
      <c r="C6120" t="str">
        <f>"9781841900513"</f>
        <v>9781841900513</v>
      </c>
      <c r="D6120" t="str">
        <f>"9781441116406"</f>
        <v>9781441116406</v>
      </c>
      <c r="E6120" t="s">
        <v>4180</v>
      </c>
      <c r="F6120" t="s">
        <v>4180</v>
      </c>
      <c r="G6120" s="1">
        <v>37438</v>
      </c>
      <c r="H6120" s="1">
        <v>42326</v>
      </c>
      <c r="I6120" t="s">
        <v>12</v>
      </c>
      <c r="J6120" t="s">
        <v>16890</v>
      </c>
    </row>
    <row r="6121" spans="1:10" x14ac:dyDescent="0.25">
      <c r="A6121">
        <v>564218</v>
      </c>
      <c r="B6121" t="s">
        <v>6420</v>
      </c>
      <c r="C6121" t="str">
        <f>"9780826498465"</f>
        <v>9780826498465</v>
      </c>
      <c r="D6121" t="str">
        <f>"9781441142801"</f>
        <v>9781441142801</v>
      </c>
      <c r="E6121" t="s">
        <v>4180</v>
      </c>
      <c r="F6121" t="s">
        <v>4180</v>
      </c>
      <c r="G6121" s="1">
        <v>39614</v>
      </c>
      <c r="H6121" s="1">
        <v>41845</v>
      </c>
      <c r="I6121" t="s">
        <v>12</v>
      </c>
      <c r="J6121" t="s">
        <v>16891</v>
      </c>
    </row>
    <row r="6122" spans="1:10" x14ac:dyDescent="0.25">
      <c r="A6122">
        <v>564220</v>
      </c>
      <c r="B6122" t="s">
        <v>6421</v>
      </c>
      <c r="C6122" t="str">
        <f>"9780826447937"</f>
        <v>9780826447937</v>
      </c>
      <c r="D6122" t="str">
        <f>"9781441148759"</f>
        <v>9781441148759</v>
      </c>
      <c r="E6122" t="s">
        <v>4180</v>
      </c>
      <c r="F6122" t="s">
        <v>4180</v>
      </c>
      <c r="G6122" s="1">
        <v>36886</v>
      </c>
      <c r="H6122" s="1">
        <v>42326</v>
      </c>
      <c r="I6122" t="s">
        <v>12</v>
      </c>
      <c r="J6122" t="s">
        <v>16892</v>
      </c>
    </row>
    <row r="6123" spans="1:10" x14ac:dyDescent="0.25">
      <c r="A6123">
        <v>564237</v>
      </c>
      <c r="B6123" t="s">
        <v>6422</v>
      </c>
      <c r="C6123" t="str">
        <f>"9780826488701"</f>
        <v>9780826488701</v>
      </c>
      <c r="D6123" t="str">
        <f>"9781441112811"</f>
        <v>9781441112811</v>
      </c>
      <c r="E6123" t="s">
        <v>4180</v>
      </c>
      <c r="F6123" t="s">
        <v>4180</v>
      </c>
      <c r="G6123" s="1">
        <v>38831</v>
      </c>
      <c r="H6123" s="1">
        <v>42326</v>
      </c>
      <c r="I6123" t="s">
        <v>12</v>
      </c>
      <c r="J6123" t="s">
        <v>16893</v>
      </c>
    </row>
    <row r="6124" spans="1:10" x14ac:dyDescent="0.25">
      <c r="A6124">
        <v>564244</v>
      </c>
      <c r="B6124" t="s">
        <v>6423</v>
      </c>
      <c r="C6124" t="str">
        <f>"9781441122100"</f>
        <v>9781441122100</v>
      </c>
      <c r="D6124" t="str">
        <f>"9781441133908"</f>
        <v>9781441133908</v>
      </c>
      <c r="E6124" t="s">
        <v>1400</v>
      </c>
      <c r="F6124" t="s">
        <v>6424</v>
      </c>
      <c r="G6124" s="1">
        <v>40086</v>
      </c>
      <c r="H6124" s="1">
        <v>40493</v>
      </c>
      <c r="I6124" t="s">
        <v>12</v>
      </c>
      <c r="J6124" t="s">
        <v>16894</v>
      </c>
    </row>
    <row r="6125" spans="1:10" x14ac:dyDescent="0.25">
      <c r="A6125">
        <v>564264</v>
      </c>
      <c r="B6125" t="s">
        <v>6425</v>
      </c>
      <c r="C6125" t="str">
        <f>"9780826484659"</f>
        <v>9780826484659</v>
      </c>
      <c r="D6125" t="str">
        <f>"9781441160034"</f>
        <v>9781441160034</v>
      </c>
      <c r="E6125" t="s">
        <v>4180</v>
      </c>
      <c r="F6125" t="s">
        <v>4180</v>
      </c>
      <c r="G6125" s="1">
        <v>38657</v>
      </c>
      <c r="H6125" s="1">
        <v>42326</v>
      </c>
      <c r="I6125" t="s">
        <v>12</v>
      </c>
      <c r="J6125" t="s">
        <v>16895</v>
      </c>
    </row>
    <row r="6126" spans="1:10" x14ac:dyDescent="0.25">
      <c r="A6126">
        <v>564269</v>
      </c>
      <c r="B6126" t="s">
        <v>6426</v>
      </c>
      <c r="C6126" t="str">
        <f>"9780826476906"</f>
        <v>9780826476906</v>
      </c>
      <c r="D6126" t="str">
        <f>"9781441102638"</f>
        <v>9781441102638</v>
      </c>
      <c r="E6126" t="s">
        <v>1400</v>
      </c>
      <c r="F6126" t="s">
        <v>6424</v>
      </c>
      <c r="G6126" s="1">
        <v>40374</v>
      </c>
      <c r="H6126" s="1">
        <v>40381</v>
      </c>
      <c r="I6126" t="s">
        <v>12</v>
      </c>
      <c r="J6126" t="s">
        <v>16896</v>
      </c>
    </row>
    <row r="6127" spans="1:10" x14ac:dyDescent="0.25">
      <c r="A6127">
        <v>564275</v>
      </c>
      <c r="B6127" t="s">
        <v>6427</v>
      </c>
      <c r="C6127" t="str">
        <f>"9780826471673"</f>
        <v>9780826471673</v>
      </c>
      <c r="D6127" t="str">
        <f>"9781441153524"</f>
        <v>9781441153524</v>
      </c>
      <c r="E6127" t="s">
        <v>4180</v>
      </c>
      <c r="F6127" t="s">
        <v>4180</v>
      </c>
      <c r="G6127" s="1">
        <v>38645</v>
      </c>
      <c r="H6127" s="1">
        <v>42326</v>
      </c>
      <c r="I6127" t="s">
        <v>12</v>
      </c>
      <c r="J6127" t="s">
        <v>16897</v>
      </c>
    </row>
    <row r="6128" spans="1:10" x14ac:dyDescent="0.25">
      <c r="A6128">
        <v>564278</v>
      </c>
      <c r="B6128" t="s">
        <v>6428</v>
      </c>
      <c r="C6128" t="str">
        <f>"9780826486332"</f>
        <v>9780826486332</v>
      </c>
      <c r="D6128" t="str">
        <f>"9781441115102"</f>
        <v>9781441115102</v>
      </c>
      <c r="E6128" t="s">
        <v>4180</v>
      </c>
      <c r="F6128" t="s">
        <v>4180</v>
      </c>
      <c r="G6128" s="1">
        <v>38807</v>
      </c>
      <c r="H6128" s="1">
        <v>42326</v>
      </c>
      <c r="I6128" t="s">
        <v>12</v>
      </c>
      <c r="J6128" t="s">
        <v>16898</v>
      </c>
    </row>
    <row r="6129" spans="1:10" x14ac:dyDescent="0.25">
      <c r="A6129">
        <v>564280</v>
      </c>
      <c r="B6129" t="s">
        <v>6429</v>
      </c>
      <c r="C6129" t="str">
        <f>"9781563383625"</f>
        <v>9781563383625</v>
      </c>
      <c r="D6129" t="str">
        <f>"9780567141309"</f>
        <v>9780567141309</v>
      </c>
      <c r="E6129" t="s">
        <v>6430</v>
      </c>
      <c r="F6129" t="s">
        <v>6430</v>
      </c>
      <c r="G6129" s="1">
        <v>37043</v>
      </c>
      <c r="H6129" s="1">
        <v>41845</v>
      </c>
      <c r="I6129" t="s">
        <v>12</v>
      </c>
      <c r="J6129" t="s">
        <v>16899</v>
      </c>
    </row>
    <row r="6130" spans="1:10" x14ac:dyDescent="0.25">
      <c r="A6130">
        <v>564286</v>
      </c>
      <c r="B6130" t="s">
        <v>6431</v>
      </c>
      <c r="C6130" t="str">
        <f>"9781441114501"</f>
        <v>9781441114501</v>
      </c>
      <c r="D6130" t="str">
        <f>"9781441191144"</f>
        <v>9781441191144</v>
      </c>
      <c r="E6130" t="s">
        <v>4180</v>
      </c>
      <c r="F6130" t="s">
        <v>4180</v>
      </c>
      <c r="G6130" s="1">
        <v>41025</v>
      </c>
      <c r="H6130" s="1">
        <v>42326</v>
      </c>
      <c r="I6130" t="s">
        <v>12</v>
      </c>
      <c r="J6130" t="s">
        <v>16900</v>
      </c>
    </row>
    <row r="6131" spans="1:10" x14ac:dyDescent="0.25">
      <c r="A6131">
        <v>564291</v>
      </c>
      <c r="B6131" t="s">
        <v>6432</v>
      </c>
      <c r="C6131" t="str">
        <f>"9780826450890"</f>
        <v>9780826450890</v>
      </c>
      <c r="D6131" t="str">
        <f>"9781441144164"</f>
        <v>9781441144164</v>
      </c>
      <c r="E6131" t="s">
        <v>4180</v>
      </c>
      <c r="F6131" t="s">
        <v>4180</v>
      </c>
      <c r="G6131" s="1">
        <v>38124</v>
      </c>
      <c r="H6131" s="1">
        <v>41845</v>
      </c>
      <c r="I6131" t="s">
        <v>12</v>
      </c>
      <c r="J6131" t="s">
        <v>16901</v>
      </c>
    </row>
    <row r="6132" spans="1:10" x14ac:dyDescent="0.25">
      <c r="A6132">
        <v>564294</v>
      </c>
      <c r="B6132" t="s">
        <v>6433</v>
      </c>
      <c r="C6132" t="str">
        <f>"9780826485014"</f>
        <v>9780826485014</v>
      </c>
      <c r="D6132" t="str">
        <f>"9781441109781"</f>
        <v>9781441109781</v>
      </c>
      <c r="E6132" t="s">
        <v>4180</v>
      </c>
      <c r="F6132" t="s">
        <v>4180</v>
      </c>
      <c r="G6132" s="1">
        <v>38771</v>
      </c>
      <c r="H6132" s="1">
        <v>42326</v>
      </c>
      <c r="I6132" t="s">
        <v>12</v>
      </c>
      <c r="J6132" t="s">
        <v>16902</v>
      </c>
    </row>
    <row r="6133" spans="1:10" x14ac:dyDescent="0.25">
      <c r="A6133">
        <v>564295</v>
      </c>
      <c r="B6133" t="s">
        <v>6434</v>
      </c>
      <c r="C6133" t="str">
        <f>"9780826492364"</f>
        <v>9780826492364</v>
      </c>
      <c r="D6133" t="str">
        <f>"9781441136541"</f>
        <v>9781441136541</v>
      </c>
      <c r="E6133" t="s">
        <v>4180</v>
      </c>
      <c r="F6133" t="s">
        <v>4180</v>
      </c>
      <c r="G6133" s="1">
        <v>39194</v>
      </c>
      <c r="H6133" s="1">
        <v>42326</v>
      </c>
      <c r="I6133" t="s">
        <v>12</v>
      </c>
      <c r="J6133" t="s">
        <v>16903</v>
      </c>
    </row>
    <row r="6134" spans="1:10" x14ac:dyDescent="0.25">
      <c r="A6134">
        <v>564302</v>
      </c>
      <c r="B6134" t="s">
        <v>6435</v>
      </c>
      <c r="C6134" t="str">
        <f>"9780826485243"</f>
        <v>9780826485243</v>
      </c>
      <c r="D6134" t="str">
        <f>"9781441122988"</f>
        <v>9781441122988</v>
      </c>
      <c r="E6134" t="s">
        <v>4180</v>
      </c>
      <c r="F6134" t="s">
        <v>4180</v>
      </c>
      <c r="G6134" s="1">
        <v>39462</v>
      </c>
      <c r="H6134" s="1">
        <v>41844</v>
      </c>
      <c r="I6134" t="s">
        <v>12</v>
      </c>
      <c r="J6134" t="s">
        <v>16904</v>
      </c>
    </row>
    <row r="6135" spans="1:10" x14ac:dyDescent="0.25">
      <c r="A6135">
        <v>564310</v>
      </c>
      <c r="B6135" t="s">
        <v>6436</v>
      </c>
      <c r="C6135" t="str">
        <f>"9781441180568"</f>
        <v>9781441180568</v>
      </c>
      <c r="D6135" t="str">
        <f>"9781441131560"</f>
        <v>9781441131560</v>
      </c>
      <c r="E6135" t="s">
        <v>4180</v>
      </c>
      <c r="F6135" t="s">
        <v>4180</v>
      </c>
      <c r="G6135" s="1">
        <v>41025</v>
      </c>
      <c r="H6135" s="1">
        <v>42326</v>
      </c>
      <c r="I6135" t="s">
        <v>12</v>
      </c>
      <c r="J6135" t="s">
        <v>16905</v>
      </c>
    </row>
    <row r="6136" spans="1:10" x14ac:dyDescent="0.25">
      <c r="A6136">
        <v>564889</v>
      </c>
      <c r="B6136" t="s">
        <v>6437</v>
      </c>
      <c r="C6136" t="str">
        <f>"9781931644907"</f>
        <v>9781931644907</v>
      </c>
      <c r="D6136" t="str">
        <f>"9781931644914"</f>
        <v>9781931644914</v>
      </c>
      <c r="E6136" t="s">
        <v>3668</v>
      </c>
      <c r="F6136" t="s">
        <v>3668</v>
      </c>
      <c r="G6136" s="1">
        <v>40391</v>
      </c>
      <c r="H6136" s="1">
        <v>40401</v>
      </c>
      <c r="I6136" t="s">
        <v>12</v>
      </c>
      <c r="J6136" t="s">
        <v>16906</v>
      </c>
    </row>
    <row r="6137" spans="1:10" x14ac:dyDescent="0.25">
      <c r="A6137">
        <v>564920</v>
      </c>
      <c r="B6137" t="s">
        <v>6438</v>
      </c>
      <c r="C6137" t="str">
        <f>"9780470524527"</f>
        <v>9780470524527</v>
      </c>
      <c r="D6137" t="str">
        <f>"9780470584040"</f>
        <v>9780470584040</v>
      </c>
      <c r="E6137" t="s">
        <v>1088</v>
      </c>
      <c r="F6137" t="s">
        <v>4889</v>
      </c>
      <c r="G6137" s="1">
        <v>40105</v>
      </c>
      <c r="H6137" s="1">
        <v>40743</v>
      </c>
      <c r="I6137" t="s">
        <v>12</v>
      </c>
      <c r="J6137" t="s">
        <v>16907</v>
      </c>
    </row>
    <row r="6138" spans="1:10" x14ac:dyDescent="0.25">
      <c r="A6138">
        <v>565107</v>
      </c>
      <c r="B6138" t="s">
        <v>6439</v>
      </c>
      <c r="C6138" t="str">
        <f>"9780470289341"</f>
        <v>9780470289341</v>
      </c>
      <c r="D6138" t="str">
        <f>"9780470585306"</f>
        <v>9780470585306</v>
      </c>
      <c r="E6138" t="s">
        <v>1088</v>
      </c>
      <c r="F6138" t="s">
        <v>4889</v>
      </c>
      <c r="G6138" s="1">
        <v>40085</v>
      </c>
      <c r="H6138" s="1">
        <v>41838</v>
      </c>
      <c r="I6138" t="s">
        <v>12</v>
      </c>
      <c r="J6138" t="s">
        <v>16908</v>
      </c>
    </row>
    <row r="6139" spans="1:10" x14ac:dyDescent="0.25">
      <c r="A6139">
        <v>565295</v>
      </c>
      <c r="B6139" t="s">
        <v>6440</v>
      </c>
      <c r="C6139" t="str">
        <f>"9789264085978"</f>
        <v>9789264085978</v>
      </c>
      <c r="D6139" t="str">
        <f>"9789264085985"</f>
        <v>9789264085985</v>
      </c>
      <c r="E6139" t="s">
        <v>1185</v>
      </c>
      <c r="F6139" t="s">
        <v>1186</v>
      </c>
      <c r="G6139" s="1">
        <v>40375</v>
      </c>
      <c r="H6139" s="1">
        <v>40401</v>
      </c>
      <c r="I6139" t="s">
        <v>12</v>
      </c>
      <c r="J6139" t="s">
        <v>16909</v>
      </c>
    </row>
    <row r="6140" spans="1:10" x14ac:dyDescent="0.25">
      <c r="A6140">
        <v>565571</v>
      </c>
      <c r="B6140" t="s">
        <v>6441</v>
      </c>
      <c r="C6140" t="str">
        <f>"9781569757147"</f>
        <v>9781569757147</v>
      </c>
      <c r="D6140" t="str">
        <f>"9781569757956"</f>
        <v>9781569757956</v>
      </c>
      <c r="E6140" t="s">
        <v>6442</v>
      </c>
      <c r="F6140" t="s">
        <v>6442</v>
      </c>
      <c r="G6140" s="1">
        <v>40064</v>
      </c>
      <c r="H6140" s="1">
        <v>40398</v>
      </c>
      <c r="I6140" t="s">
        <v>12</v>
      </c>
      <c r="J6140" t="s">
        <v>16910</v>
      </c>
    </row>
    <row r="6141" spans="1:10" x14ac:dyDescent="0.25">
      <c r="A6141">
        <v>565635</v>
      </c>
      <c r="B6141" t="s">
        <v>6443</v>
      </c>
      <c r="C6141" t="str">
        <f>"9781569755846"</f>
        <v>9781569755846</v>
      </c>
      <c r="D6141" t="str">
        <f>"9781569757499"</f>
        <v>9781569757499</v>
      </c>
      <c r="E6141" t="s">
        <v>6442</v>
      </c>
      <c r="F6141" t="s">
        <v>6442</v>
      </c>
      <c r="G6141" s="1">
        <v>39098</v>
      </c>
      <c r="H6141" s="1">
        <v>40398</v>
      </c>
      <c r="I6141" t="s">
        <v>12</v>
      </c>
      <c r="J6141" t="s">
        <v>16911</v>
      </c>
    </row>
    <row r="6142" spans="1:10" x14ac:dyDescent="0.25">
      <c r="A6142">
        <v>565685</v>
      </c>
      <c r="B6142" t="s">
        <v>6444</v>
      </c>
      <c r="C6142" t="str">
        <f>"9781847424167"</f>
        <v>9781847424167</v>
      </c>
      <c r="D6142" t="str">
        <f>"9781847424174"</f>
        <v>9781847424174</v>
      </c>
      <c r="E6142" t="s">
        <v>5375</v>
      </c>
      <c r="F6142" t="s">
        <v>5375</v>
      </c>
      <c r="G6142" s="1">
        <v>40345</v>
      </c>
      <c r="H6142" s="1">
        <v>40401</v>
      </c>
      <c r="I6142" t="s">
        <v>12</v>
      </c>
      <c r="J6142" t="s">
        <v>16912</v>
      </c>
    </row>
    <row r="6143" spans="1:10" x14ac:dyDescent="0.25">
      <c r="A6143">
        <v>565686</v>
      </c>
      <c r="B6143" t="s">
        <v>6445</v>
      </c>
      <c r="C6143" t="str">
        <f>"9781861349705"</f>
        <v>9781861349705</v>
      </c>
      <c r="D6143" t="str">
        <f>"9781847428592"</f>
        <v>9781847428592</v>
      </c>
      <c r="E6143" t="s">
        <v>5375</v>
      </c>
      <c r="F6143" t="s">
        <v>5375</v>
      </c>
      <c r="G6143" s="1">
        <v>40359</v>
      </c>
      <c r="H6143" s="1">
        <v>40401</v>
      </c>
      <c r="I6143" t="s">
        <v>12</v>
      </c>
      <c r="J6143" t="s">
        <v>16913</v>
      </c>
    </row>
    <row r="6144" spans="1:10" x14ac:dyDescent="0.25">
      <c r="A6144">
        <v>566749</v>
      </c>
      <c r="B6144" t="s">
        <v>6446</v>
      </c>
      <c r="C6144" t="str">
        <f>"9780520260719"</f>
        <v>9780520260719</v>
      </c>
      <c r="D6144" t="str">
        <f>"9780520947160"</f>
        <v>9780520947160</v>
      </c>
      <c r="E6144" t="s">
        <v>2000</v>
      </c>
      <c r="F6144" t="s">
        <v>2000</v>
      </c>
      <c r="G6144" s="1">
        <v>40400</v>
      </c>
      <c r="H6144" s="1">
        <v>42337</v>
      </c>
      <c r="I6144" t="s">
        <v>12</v>
      </c>
      <c r="J6144" t="s">
        <v>16914</v>
      </c>
    </row>
    <row r="6145" spans="1:10" x14ac:dyDescent="0.25">
      <c r="A6145">
        <v>566761</v>
      </c>
      <c r="B6145" t="s">
        <v>6447</v>
      </c>
      <c r="C6145" t="str">
        <f>"9780520259188"</f>
        <v>9780520259188</v>
      </c>
      <c r="D6145" t="str">
        <f>"9780520945807"</f>
        <v>9780520945807</v>
      </c>
      <c r="E6145" t="s">
        <v>2000</v>
      </c>
      <c r="F6145" t="s">
        <v>2000</v>
      </c>
      <c r="G6145" s="1">
        <v>40325</v>
      </c>
      <c r="H6145" s="1">
        <v>42337</v>
      </c>
      <c r="I6145" t="s">
        <v>12</v>
      </c>
      <c r="J6145" t="s">
        <v>16915</v>
      </c>
    </row>
    <row r="6146" spans="1:10" x14ac:dyDescent="0.25">
      <c r="A6146">
        <v>573783</v>
      </c>
      <c r="B6146" t="s">
        <v>6448</v>
      </c>
      <c r="C6146" t="str">
        <f>"9780470289648"</f>
        <v>9780470289648</v>
      </c>
      <c r="D6146" t="str">
        <f>"9780470936818"</f>
        <v>9780470936818</v>
      </c>
      <c r="E6146" t="s">
        <v>1088</v>
      </c>
      <c r="F6146" t="s">
        <v>5059</v>
      </c>
      <c r="G6146" s="1">
        <v>39895</v>
      </c>
      <c r="H6146" s="1">
        <v>40460</v>
      </c>
      <c r="I6146" t="s">
        <v>12</v>
      </c>
      <c r="J6146" t="s">
        <v>16916</v>
      </c>
    </row>
    <row r="6147" spans="1:10" x14ac:dyDescent="0.25">
      <c r="A6147">
        <v>574188</v>
      </c>
      <c r="B6147" t="s">
        <v>6449</v>
      </c>
      <c r="C6147" t="str">
        <f>"9780749456566"</f>
        <v>9780749456566</v>
      </c>
      <c r="D6147" t="str">
        <f>"9780749459383"</f>
        <v>9780749459383</v>
      </c>
      <c r="E6147" t="s">
        <v>1059</v>
      </c>
      <c r="F6147" t="s">
        <v>1059</v>
      </c>
      <c r="G6147" s="1">
        <v>40362</v>
      </c>
      <c r="H6147" s="1">
        <v>40418</v>
      </c>
      <c r="I6147" t="s">
        <v>12</v>
      </c>
      <c r="J6147" t="s">
        <v>16917</v>
      </c>
    </row>
    <row r="6148" spans="1:10" x14ac:dyDescent="0.25">
      <c r="A6148">
        <v>574195</v>
      </c>
      <c r="B6148" t="s">
        <v>6450</v>
      </c>
      <c r="C6148" t="str">
        <f>"9780749450786"</f>
        <v>9780749450786</v>
      </c>
      <c r="D6148" t="str">
        <f>"9780749459345"</f>
        <v>9780749459345</v>
      </c>
      <c r="E6148" t="s">
        <v>1770</v>
      </c>
      <c r="F6148" t="s">
        <v>1770</v>
      </c>
      <c r="G6148" s="1">
        <v>40391</v>
      </c>
      <c r="H6148" s="1">
        <v>40414</v>
      </c>
      <c r="I6148" t="s">
        <v>12</v>
      </c>
      <c r="J6148" t="s">
        <v>16918</v>
      </c>
    </row>
    <row r="6149" spans="1:10" x14ac:dyDescent="0.25">
      <c r="A6149">
        <v>581676</v>
      </c>
      <c r="B6149" t="s">
        <v>6451</v>
      </c>
      <c r="C6149" t="str">
        <f>"9781849200196"</f>
        <v>9781849200196</v>
      </c>
      <c r="D6149" t="str">
        <f>"9780857029362"</f>
        <v>9780857029362</v>
      </c>
      <c r="E6149" t="s">
        <v>1569</v>
      </c>
      <c r="F6149" t="s">
        <v>1570</v>
      </c>
      <c r="G6149" s="1">
        <v>40296</v>
      </c>
      <c r="H6149" s="1">
        <v>40439</v>
      </c>
      <c r="I6149" t="s">
        <v>12</v>
      </c>
      <c r="J6149" t="s">
        <v>16919</v>
      </c>
    </row>
    <row r="6150" spans="1:10" x14ac:dyDescent="0.25">
      <c r="A6150">
        <v>581736</v>
      </c>
      <c r="B6150" t="s">
        <v>6452</v>
      </c>
      <c r="C6150" t="str">
        <f>"9780226110448"</f>
        <v>9780226110448</v>
      </c>
      <c r="D6150" t="str">
        <f>"9780226110455"</f>
        <v>9780226110455</v>
      </c>
      <c r="E6150" t="s">
        <v>5187</v>
      </c>
      <c r="F6150" t="s">
        <v>5187</v>
      </c>
      <c r="G6150" s="1">
        <v>40296</v>
      </c>
      <c r="H6150" s="1">
        <v>40443</v>
      </c>
      <c r="I6150" t="s">
        <v>12</v>
      </c>
      <c r="J6150" t="s">
        <v>16920</v>
      </c>
    </row>
    <row r="6151" spans="1:10" x14ac:dyDescent="0.25">
      <c r="A6151">
        <v>583550</v>
      </c>
      <c r="B6151" t="s">
        <v>6453</v>
      </c>
      <c r="C6151" t="str">
        <f>"9780814415665"</f>
        <v>9780814415665</v>
      </c>
      <c r="D6151" t="str">
        <f>"9780814415672"</f>
        <v>9780814415672</v>
      </c>
      <c r="E6151" t="s">
        <v>1080</v>
      </c>
      <c r="F6151" t="s">
        <v>1080</v>
      </c>
      <c r="G6151" s="1">
        <v>40422</v>
      </c>
      <c r="H6151" s="1">
        <v>40452</v>
      </c>
      <c r="I6151" t="s">
        <v>12</v>
      </c>
      <c r="J6151" t="s">
        <v>16921</v>
      </c>
    </row>
    <row r="6152" spans="1:10" x14ac:dyDescent="0.25">
      <c r="A6152">
        <v>583552</v>
      </c>
      <c r="B6152" t="s">
        <v>6454</v>
      </c>
      <c r="C6152" t="str">
        <f>"9780814473573"</f>
        <v>9780814473573</v>
      </c>
      <c r="D6152" t="str">
        <f>"9780814429716"</f>
        <v>9780814429716</v>
      </c>
      <c r="E6152" t="s">
        <v>1080</v>
      </c>
      <c r="F6152" t="s">
        <v>1080</v>
      </c>
      <c r="G6152" s="1">
        <v>38796</v>
      </c>
      <c r="H6152" s="1">
        <v>40452</v>
      </c>
      <c r="I6152" t="s">
        <v>12</v>
      </c>
      <c r="J6152" t="s">
        <v>16922</v>
      </c>
    </row>
    <row r="6153" spans="1:10" x14ac:dyDescent="0.25">
      <c r="A6153">
        <v>583649</v>
      </c>
      <c r="B6153" t="s">
        <v>6455</v>
      </c>
      <c r="C6153" t="str">
        <f>"9781608070558"</f>
        <v>9781608070558</v>
      </c>
      <c r="D6153" t="str">
        <f>"9781608070565"</f>
        <v>9781608070565</v>
      </c>
      <c r="E6153" t="s">
        <v>1441</v>
      </c>
      <c r="F6153" t="s">
        <v>1442</v>
      </c>
      <c r="G6153" s="1">
        <v>40269</v>
      </c>
      <c r="H6153" s="1">
        <v>40452</v>
      </c>
      <c r="I6153" t="s">
        <v>12</v>
      </c>
      <c r="J6153" t="s">
        <v>16923</v>
      </c>
    </row>
    <row r="6154" spans="1:10" x14ac:dyDescent="0.25">
      <c r="A6154">
        <v>583677</v>
      </c>
      <c r="B6154" t="s">
        <v>6456</v>
      </c>
      <c r="C6154" t="str">
        <f>"9789004180291"</f>
        <v>9789004180291</v>
      </c>
      <c r="D6154" t="str">
        <f>"9789004181786"</f>
        <v>9789004181786</v>
      </c>
      <c r="E6154" t="s">
        <v>1447</v>
      </c>
      <c r="F6154" t="s">
        <v>1447</v>
      </c>
      <c r="G6154" s="1">
        <v>40225</v>
      </c>
      <c r="H6154" s="1">
        <v>40452</v>
      </c>
      <c r="I6154" t="s">
        <v>12</v>
      </c>
      <c r="J6154" t="s">
        <v>16924</v>
      </c>
    </row>
    <row r="6155" spans="1:10" x14ac:dyDescent="0.25">
      <c r="A6155">
        <v>583721</v>
      </c>
      <c r="B6155" t="s">
        <v>6457</v>
      </c>
      <c r="C6155" t="str">
        <f>"9789004184138"</f>
        <v>9789004184138</v>
      </c>
      <c r="D6155" t="str">
        <f>"9789004184152"</f>
        <v>9789004184152</v>
      </c>
      <c r="E6155" t="s">
        <v>1447</v>
      </c>
      <c r="F6155" t="s">
        <v>1447</v>
      </c>
      <c r="G6155" s="1">
        <v>40274</v>
      </c>
      <c r="H6155" s="1">
        <v>40452</v>
      </c>
      <c r="I6155" t="s">
        <v>12</v>
      </c>
      <c r="J6155" t="s">
        <v>16925</v>
      </c>
    </row>
    <row r="6156" spans="1:10" x14ac:dyDescent="0.25">
      <c r="A6156">
        <v>583728</v>
      </c>
      <c r="B6156" t="s">
        <v>6458</v>
      </c>
      <c r="C6156" t="str">
        <f>"9789004175167"</f>
        <v>9789004175167</v>
      </c>
      <c r="D6156" t="str">
        <f>"9789047428619"</f>
        <v>9789047428619</v>
      </c>
      <c r="E6156" t="s">
        <v>1447</v>
      </c>
      <c r="F6156" t="s">
        <v>1447</v>
      </c>
      <c r="G6156" s="1">
        <v>40329</v>
      </c>
      <c r="H6156" s="1">
        <v>42152</v>
      </c>
      <c r="I6156" t="s">
        <v>12</v>
      </c>
      <c r="J6156" t="s">
        <v>16926</v>
      </c>
    </row>
    <row r="6157" spans="1:10" x14ac:dyDescent="0.25">
      <c r="A6157">
        <v>583770</v>
      </c>
      <c r="B6157" t="s">
        <v>6459</v>
      </c>
      <c r="C6157" t="str">
        <f>"9789004181489"</f>
        <v>9789004181489</v>
      </c>
      <c r="D6157" t="str">
        <f>"9789004181496"</f>
        <v>9789004181496</v>
      </c>
      <c r="E6157" t="s">
        <v>1447</v>
      </c>
      <c r="F6157" t="s">
        <v>1447</v>
      </c>
      <c r="G6157" s="1">
        <v>40315</v>
      </c>
      <c r="H6157" s="1">
        <v>40452</v>
      </c>
      <c r="I6157" t="s">
        <v>12</v>
      </c>
      <c r="J6157" t="s">
        <v>16927</v>
      </c>
    </row>
    <row r="6158" spans="1:10" x14ac:dyDescent="0.25">
      <c r="A6158">
        <v>583788</v>
      </c>
      <c r="B6158" t="s">
        <v>6460</v>
      </c>
      <c r="C6158" t="str">
        <f>"9781441177094"</f>
        <v>9781441177094</v>
      </c>
      <c r="D6158" t="str">
        <f>"9781441166739"</f>
        <v>9781441166739</v>
      </c>
      <c r="E6158" t="s">
        <v>4180</v>
      </c>
      <c r="F6158" t="s">
        <v>6461</v>
      </c>
      <c r="G6158" s="1">
        <v>41365</v>
      </c>
      <c r="H6158" s="1">
        <v>42326</v>
      </c>
      <c r="I6158" t="s">
        <v>12</v>
      </c>
      <c r="J6158" t="s">
        <v>16928</v>
      </c>
    </row>
    <row r="6159" spans="1:10" x14ac:dyDescent="0.25">
      <c r="A6159">
        <v>583790</v>
      </c>
      <c r="B6159" t="s">
        <v>6462</v>
      </c>
      <c r="C6159" t="str">
        <f>"9781441124012"</f>
        <v>9781441124012</v>
      </c>
      <c r="D6159" t="str">
        <f>"9781441148926"</f>
        <v>9781441148926</v>
      </c>
      <c r="E6159" t="s">
        <v>4180</v>
      </c>
      <c r="F6159" t="s">
        <v>4180</v>
      </c>
      <c r="G6159" s="1">
        <v>41036</v>
      </c>
      <c r="H6159" s="1">
        <v>41844</v>
      </c>
      <c r="I6159" t="s">
        <v>12</v>
      </c>
      <c r="J6159" t="s">
        <v>16929</v>
      </c>
    </row>
    <row r="6160" spans="1:10" x14ac:dyDescent="0.25">
      <c r="A6160">
        <v>583793</v>
      </c>
      <c r="B6160" t="s">
        <v>6463</v>
      </c>
      <c r="C6160" t="str">
        <f>"9781441198778"</f>
        <v>9781441198778</v>
      </c>
      <c r="D6160" t="str">
        <f>"9781441110084"</f>
        <v>9781441110084</v>
      </c>
      <c r="E6160" t="s">
        <v>4180</v>
      </c>
      <c r="F6160" t="s">
        <v>4180</v>
      </c>
      <c r="G6160" s="1">
        <v>41036</v>
      </c>
      <c r="H6160" s="1">
        <v>41844</v>
      </c>
      <c r="I6160" t="s">
        <v>12</v>
      </c>
      <c r="J6160" t="s">
        <v>16930</v>
      </c>
    </row>
    <row r="6161" spans="1:10" x14ac:dyDescent="0.25">
      <c r="A6161">
        <v>583872</v>
      </c>
      <c r="B6161" t="s">
        <v>6464</v>
      </c>
      <c r="C6161" t="str">
        <f>"9788189473457"</f>
        <v>9788189473457</v>
      </c>
      <c r="D6161" t="str">
        <f>"9789350430415"</f>
        <v>9789350430415</v>
      </c>
      <c r="E6161" t="s">
        <v>6465</v>
      </c>
      <c r="F6161" t="s">
        <v>6465</v>
      </c>
      <c r="G6161" s="1">
        <v>39814</v>
      </c>
      <c r="H6161" s="1">
        <v>40577</v>
      </c>
      <c r="I6161" t="s">
        <v>12</v>
      </c>
      <c r="J6161" t="s">
        <v>16931</v>
      </c>
    </row>
    <row r="6162" spans="1:10" x14ac:dyDescent="0.25">
      <c r="A6162">
        <v>583917</v>
      </c>
      <c r="B6162" t="s">
        <v>6466</v>
      </c>
      <c r="C6162" t="str">
        <f>"9788189473556"</f>
        <v>9788189473556</v>
      </c>
      <c r="D6162" t="str">
        <f>"9789350430866"</f>
        <v>9789350430866</v>
      </c>
      <c r="E6162" t="s">
        <v>6465</v>
      </c>
      <c r="F6162" t="s">
        <v>6465</v>
      </c>
      <c r="G6162" s="1">
        <v>39814</v>
      </c>
      <c r="H6162" s="1">
        <v>40577</v>
      </c>
      <c r="I6162" t="s">
        <v>12</v>
      </c>
      <c r="J6162" t="s">
        <v>16932</v>
      </c>
    </row>
    <row r="6163" spans="1:10" x14ac:dyDescent="0.25">
      <c r="A6163">
        <v>584439</v>
      </c>
      <c r="B6163" t="s">
        <v>6467</v>
      </c>
      <c r="C6163" t="str">
        <f>"9781847354167"</f>
        <v>9781847354167</v>
      </c>
      <c r="D6163" t="str">
        <f>"9781847354181"</f>
        <v>9781847354181</v>
      </c>
      <c r="E6163" t="s">
        <v>6203</v>
      </c>
      <c r="F6163" t="s">
        <v>6203</v>
      </c>
      <c r="G6163" s="1">
        <v>40352</v>
      </c>
      <c r="H6163" s="1">
        <v>40452</v>
      </c>
      <c r="I6163" t="s">
        <v>12</v>
      </c>
      <c r="J6163" t="s">
        <v>16933</v>
      </c>
    </row>
    <row r="6164" spans="1:10" x14ac:dyDescent="0.25">
      <c r="A6164">
        <v>584715</v>
      </c>
      <c r="B6164" t="s">
        <v>6468</v>
      </c>
      <c r="C6164" t="str">
        <f>"9781847874986"</f>
        <v>9781847874986</v>
      </c>
      <c r="D6164" t="str">
        <f>"9780857029546"</f>
        <v>9780857029546</v>
      </c>
      <c r="E6164" t="s">
        <v>1569</v>
      </c>
      <c r="F6164" t="s">
        <v>1570</v>
      </c>
      <c r="G6164" s="1">
        <v>39860</v>
      </c>
      <c r="H6164" s="1">
        <v>40460</v>
      </c>
      <c r="I6164" t="s">
        <v>12</v>
      </c>
      <c r="J6164" t="s">
        <v>16934</v>
      </c>
    </row>
    <row r="6165" spans="1:10" x14ac:dyDescent="0.25">
      <c r="A6165">
        <v>584716</v>
      </c>
      <c r="B6165" t="s">
        <v>6469</v>
      </c>
      <c r="C6165" t="str">
        <f>"9781847873583"</f>
        <v>9781847873583</v>
      </c>
      <c r="D6165" t="str">
        <f>"9780857029454"</f>
        <v>9780857029454</v>
      </c>
      <c r="E6165" t="s">
        <v>1569</v>
      </c>
      <c r="F6165" t="s">
        <v>1570</v>
      </c>
      <c r="G6165" s="1">
        <v>39953</v>
      </c>
      <c r="H6165" s="1">
        <v>40460</v>
      </c>
      <c r="I6165" t="s">
        <v>12</v>
      </c>
      <c r="J6165" t="s">
        <v>16935</v>
      </c>
    </row>
    <row r="6166" spans="1:10" x14ac:dyDescent="0.25">
      <c r="A6166">
        <v>584721</v>
      </c>
      <c r="B6166" t="s">
        <v>6470</v>
      </c>
      <c r="C6166" t="str">
        <f>"9781847870322"</f>
        <v>9781847870322</v>
      </c>
      <c r="D6166" t="str">
        <f>"9780857029553"</f>
        <v>9780857029553</v>
      </c>
      <c r="E6166" t="s">
        <v>1569</v>
      </c>
      <c r="F6166" t="s">
        <v>1570</v>
      </c>
      <c r="G6166" s="1">
        <v>39623</v>
      </c>
      <c r="H6166" s="1">
        <v>40460</v>
      </c>
      <c r="I6166" t="s">
        <v>12</v>
      </c>
      <c r="J6166" t="s">
        <v>16936</v>
      </c>
    </row>
    <row r="6167" spans="1:10" x14ac:dyDescent="0.25">
      <c r="A6167">
        <v>584768</v>
      </c>
      <c r="B6167" t="s">
        <v>6471</v>
      </c>
      <c r="C6167" t="str">
        <f>"9780804759458"</f>
        <v>9780804759458</v>
      </c>
      <c r="D6167" t="str">
        <f>"9780804775878"</f>
        <v>9780804775878</v>
      </c>
      <c r="E6167" t="s">
        <v>6225</v>
      </c>
      <c r="F6167" t="s">
        <v>6225</v>
      </c>
      <c r="G6167" s="1">
        <v>40288</v>
      </c>
      <c r="H6167" s="1">
        <v>40460</v>
      </c>
      <c r="I6167" t="s">
        <v>12</v>
      </c>
      <c r="J6167" t="s">
        <v>16937</v>
      </c>
    </row>
    <row r="6168" spans="1:10" x14ac:dyDescent="0.25">
      <c r="A6168">
        <v>584864</v>
      </c>
      <c r="B6168" t="s">
        <v>6472</v>
      </c>
      <c r="C6168" t="str">
        <f>"9780465020423"</f>
        <v>9780465020423</v>
      </c>
      <c r="D6168" t="str">
        <f>"9780786727506"</f>
        <v>9780786727506</v>
      </c>
      <c r="E6168" t="s">
        <v>6227</v>
      </c>
      <c r="F6168" t="s">
        <v>6227</v>
      </c>
      <c r="G6168" s="1">
        <v>39840</v>
      </c>
      <c r="H6168" s="1">
        <v>40452</v>
      </c>
      <c r="I6168" t="s">
        <v>12</v>
      </c>
      <c r="J6168" t="s">
        <v>16938</v>
      </c>
    </row>
    <row r="6169" spans="1:10" x14ac:dyDescent="0.25">
      <c r="A6169">
        <v>585028</v>
      </c>
      <c r="B6169" t="s">
        <v>6473</v>
      </c>
      <c r="C6169" t="str">
        <f>"9781845642051"</f>
        <v>9781845642051</v>
      </c>
      <c r="D6169" t="str">
        <f>"9781845643881"</f>
        <v>9781845643881</v>
      </c>
      <c r="E6169" t="s">
        <v>6474</v>
      </c>
      <c r="F6169" t="s">
        <v>6474</v>
      </c>
      <c r="G6169" s="1">
        <v>40269</v>
      </c>
      <c r="H6169" s="1">
        <v>40460</v>
      </c>
      <c r="I6169" t="s">
        <v>12</v>
      </c>
      <c r="J6169" t="s">
        <v>16939</v>
      </c>
    </row>
    <row r="6170" spans="1:10" x14ac:dyDescent="0.25">
      <c r="A6170">
        <v>587924</v>
      </c>
      <c r="B6170" t="s">
        <v>6475</v>
      </c>
      <c r="C6170" t="str">
        <f>"9789042031135"</f>
        <v>9789042031135</v>
      </c>
      <c r="D6170" t="str">
        <f>"9789042031142"</f>
        <v>9789042031142</v>
      </c>
      <c r="E6170" t="s">
        <v>1447</v>
      </c>
      <c r="F6170" t="s">
        <v>6409</v>
      </c>
      <c r="G6170" s="1">
        <v>40179</v>
      </c>
      <c r="H6170" s="1">
        <v>40460</v>
      </c>
      <c r="I6170" t="s">
        <v>12</v>
      </c>
      <c r="J6170" t="s">
        <v>16940</v>
      </c>
    </row>
    <row r="6171" spans="1:10" x14ac:dyDescent="0.25">
      <c r="A6171">
        <v>587933</v>
      </c>
      <c r="B6171" t="s">
        <v>6476</v>
      </c>
      <c r="C6171" t="str">
        <f>"9789042030725"</f>
        <v>9789042030725</v>
      </c>
      <c r="D6171" t="str">
        <f>"9789042030732"</f>
        <v>9789042030732</v>
      </c>
      <c r="E6171" t="s">
        <v>1447</v>
      </c>
      <c r="F6171" t="s">
        <v>6409</v>
      </c>
      <c r="G6171" s="1">
        <v>40179</v>
      </c>
      <c r="H6171" s="1">
        <v>40460</v>
      </c>
      <c r="I6171" t="s">
        <v>12</v>
      </c>
      <c r="J6171" t="s">
        <v>16941</v>
      </c>
    </row>
    <row r="6172" spans="1:10" x14ac:dyDescent="0.25">
      <c r="A6172">
        <v>587944</v>
      </c>
      <c r="B6172" t="s">
        <v>6477</v>
      </c>
      <c r="C6172" t="str">
        <f>"9781849509008"</f>
        <v>9781849509008</v>
      </c>
      <c r="D6172" t="str">
        <f>"9781849509015"</f>
        <v>9781849509015</v>
      </c>
      <c r="E6172" t="s">
        <v>1116</v>
      </c>
      <c r="F6172" t="s">
        <v>1116</v>
      </c>
      <c r="G6172" s="1">
        <v>40445</v>
      </c>
      <c r="H6172" s="1">
        <v>40507</v>
      </c>
      <c r="I6172" t="s">
        <v>12</v>
      </c>
      <c r="J6172" t="s">
        <v>16942</v>
      </c>
    </row>
    <row r="6173" spans="1:10" x14ac:dyDescent="0.25">
      <c r="A6173">
        <v>587952</v>
      </c>
      <c r="B6173" t="s">
        <v>6478</v>
      </c>
      <c r="C6173" t="str">
        <f>"9788184885279"</f>
        <v>9788184885279</v>
      </c>
      <c r="D6173" t="str">
        <f>"9789350431375"</f>
        <v>9789350431375</v>
      </c>
      <c r="E6173" t="s">
        <v>6479</v>
      </c>
      <c r="F6173" t="s">
        <v>6479</v>
      </c>
      <c r="G6173" s="1">
        <v>40513</v>
      </c>
      <c r="H6173" s="1">
        <v>40577</v>
      </c>
      <c r="I6173" t="s">
        <v>12</v>
      </c>
      <c r="J6173" t="s">
        <v>16943</v>
      </c>
    </row>
    <row r="6174" spans="1:10" x14ac:dyDescent="0.25">
      <c r="A6174">
        <v>587968</v>
      </c>
      <c r="B6174" t="s">
        <v>6480</v>
      </c>
      <c r="C6174" t="str">
        <f>"9789350245736"</f>
        <v>9789350245736</v>
      </c>
      <c r="D6174" t="str">
        <f>"9789350431535"</f>
        <v>9789350431535</v>
      </c>
      <c r="E6174" t="s">
        <v>6479</v>
      </c>
      <c r="F6174" t="s">
        <v>6479</v>
      </c>
      <c r="G6174" s="1">
        <v>40179</v>
      </c>
      <c r="H6174" s="1">
        <v>40577</v>
      </c>
      <c r="I6174" t="s">
        <v>12</v>
      </c>
      <c r="J6174" t="s">
        <v>16944</v>
      </c>
    </row>
    <row r="6175" spans="1:10" x14ac:dyDescent="0.25">
      <c r="A6175">
        <v>588003</v>
      </c>
      <c r="B6175" t="s">
        <v>6481</v>
      </c>
      <c r="C6175" t="str">
        <f>"9788184883510"</f>
        <v>9788184883510</v>
      </c>
      <c r="D6175" t="str">
        <f>"9789350431870"</f>
        <v>9789350431870</v>
      </c>
      <c r="E6175" t="s">
        <v>6479</v>
      </c>
      <c r="F6175" t="s">
        <v>6479</v>
      </c>
      <c r="G6175" s="1">
        <v>39814</v>
      </c>
      <c r="H6175" s="1">
        <v>40577</v>
      </c>
      <c r="I6175" t="s">
        <v>12</v>
      </c>
      <c r="J6175" t="s">
        <v>16945</v>
      </c>
    </row>
    <row r="6176" spans="1:10" x14ac:dyDescent="0.25">
      <c r="A6176">
        <v>588038</v>
      </c>
      <c r="B6176" t="s">
        <v>6482</v>
      </c>
      <c r="C6176" t="str">
        <f>"9788184888188"</f>
        <v>9788184888188</v>
      </c>
      <c r="D6176" t="str">
        <f>"9789350432204"</f>
        <v>9789350432204</v>
      </c>
      <c r="E6176" t="s">
        <v>6479</v>
      </c>
      <c r="F6176" t="s">
        <v>6479</v>
      </c>
      <c r="G6176" s="1">
        <v>40179</v>
      </c>
      <c r="H6176" s="1">
        <v>40577</v>
      </c>
      <c r="I6176" t="s">
        <v>12</v>
      </c>
      <c r="J6176" t="s">
        <v>16946</v>
      </c>
    </row>
    <row r="6177" spans="1:10" x14ac:dyDescent="0.25">
      <c r="A6177">
        <v>588039</v>
      </c>
      <c r="B6177" t="s">
        <v>6483</v>
      </c>
      <c r="C6177" t="str">
        <f>"9788184885910"</f>
        <v>9788184885910</v>
      </c>
      <c r="D6177" t="str">
        <f>"9789350432211"</f>
        <v>9789350432211</v>
      </c>
      <c r="E6177" t="s">
        <v>6479</v>
      </c>
      <c r="F6177" t="s">
        <v>6479</v>
      </c>
      <c r="G6177" s="1">
        <v>39814</v>
      </c>
      <c r="H6177" s="1">
        <v>40577</v>
      </c>
      <c r="I6177" t="s">
        <v>12</v>
      </c>
      <c r="J6177" t="s">
        <v>16947</v>
      </c>
    </row>
    <row r="6178" spans="1:10" x14ac:dyDescent="0.25">
      <c r="A6178">
        <v>588044</v>
      </c>
      <c r="B6178" t="s">
        <v>6484</v>
      </c>
      <c r="C6178" t="str">
        <f>"9788184888195"</f>
        <v>9788184888195</v>
      </c>
      <c r="D6178" t="str">
        <f>"9789350432266"</f>
        <v>9789350432266</v>
      </c>
      <c r="E6178" t="s">
        <v>6479</v>
      </c>
      <c r="F6178" t="s">
        <v>6479</v>
      </c>
      <c r="G6178" s="1">
        <v>40179</v>
      </c>
      <c r="H6178" s="1">
        <v>40577</v>
      </c>
      <c r="I6178" t="s">
        <v>12</v>
      </c>
      <c r="J6178" t="s">
        <v>16948</v>
      </c>
    </row>
    <row r="6179" spans="1:10" x14ac:dyDescent="0.25">
      <c r="A6179">
        <v>588056</v>
      </c>
      <c r="B6179" t="s">
        <v>6485</v>
      </c>
      <c r="C6179" t="str">
        <f>"9788184883060"</f>
        <v>9788184883060</v>
      </c>
      <c r="D6179" t="str">
        <f>"9789350432389"</f>
        <v>9789350432389</v>
      </c>
      <c r="E6179" t="s">
        <v>6479</v>
      </c>
      <c r="F6179" t="s">
        <v>6479</v>
      </c>
      <c r="G6179" s="1">
        <v>40148</v>
      </c>
      <c r="H6179" s="1">
        <v>40577</v>
      </c>
      <c r="I6179" t="s">
        <v>12</v>
      </c>
      <c r="J6179" t="s">
        <v>16949</v>
      </c>
    </row>
    <row r="6180" spans="1:10" x14ac:dyDescent="0.25">
      <c r="A6180">
        <v>588059</v>
      </c>
      <c r="B6180" t="s">
        <v>6486</v>
      </c>
      <c r="C6180" t="str">
        <f>"9788183188715"</f>
        <v>9788183188715</v>
      </c>
      <c r="D6180" t="str">
        <f>"9789350432419"</f>
        <v>9789350432419</v>
      </c>
      <c r="E6180" t="s">
        <v>6479</v>
      </c>
      <c r="F6180" t="s">
        <v>6479</v>
      </c>
      <c r="G6180" s="1">
        <v>39783</v>
      </c>
      <c r="H6180" s="1">
        <v>40577</v>
      </c>
      <c r="I6180" t="s">
        <v>12</v>
      </c>
      <c r="J6180" t="s">
        <v>16950</v>
      </c>
    </row>
    <row r="6181" spans="1:10" x14ac:dyDescent="0.25">
      <c r="A6181">
        <v>588078</v>
      </c>
      <c r="B6181" t="s">
        <v>6487</v>
      </c>
      <c r="C6181" t="str">
        <f>"9788184885064"</f>
        <v>9788184885064</v>
      </c>
      <c r="D6181" t="str">
        <f>"9789350432587"</f>
        <v>9789350432587</v>
      </c>
      <c r="E6181" t="s">
        <v>6479</v>
      </c>
      <c r="F6181" t="s">
        <v>6479</v>
      </c>
      <c r="G6181" s="1">
        <v>40513</v>
      </c>
      <c r="H6181" s="1">
        <v>40577</v>
      </c>
      <c r="I6181" t="s">
        <v>12</v>
      </c>
      <c r="J6181" t="s">
        <v>16951</v>
      </c>
    </row>
    <row r="6182" spans="1:10" x14ac:dyDescent="0.25">
      <c r="A6182">
        <v>588114</v>
      </c>
      <c r="B6182" t="s">
        <v>6488</v>
      </c>
      <c r="C6182" t="str">
        <f>"9788184886122"</f>
        <v>9788184886122</v>
      </c>
      <c r="D6182" t="str">
        <f>"9789350432907"</f>
        <v>9789350432907</v>
      </c>
      <c r="E6182" t="s">
        <v>6479</v>
      </c>
      <c r="F6182" t="s">
        <v>6479</v>
      </c>
      <c r="G6182" s="1">
        <v>40179</v>
      </c>
      <c r="H6182" s="1">
        <v>40577</v>
      </c>
      <c r="I6182" t="s">
        <v>12</v>
      </c>
      <c r="J6182" t="s">
        <v>16952</v>
      </c>
    </row>
    <row r="6183" spans="1:10" x14ac:dyDescent="0.25">
      <c r="A6183">
        <v>588120</v>
      </c>
      <c r="B6183" t="s">
        <v>6489</v>
      </c>
      <c r="C6183" t="str">
        <f>"9788184888157"</f>
        <v>9788184888157</v>
      </c>
      <c r="D6183" t="str">
        <f>"9789350432969"</f>
        <v>9789350432969</v>
      </c>
      <c r="E6183" t="s">
        <v>6479</v>
      </c>
      <c r="F6183" t="s">
        <v>6479</v>
      </c>
      <c r="G6183" s="1">
        <v>40179</v>
      </c>
      <c r="H6183" s="1">
        <v>40577</v>
      </c>
      <c r="I6183" t="s">
        <v>12</v>
      </c>
      <c r="J6183" t="s">
        <v>16953</v>
      </c>
    </row>
    <row r="6184" spans="1:10" x14ac:dyDescent="0.25">
      <c r="A6184">
        <v>588205</v>
      </c>
      <c r="B6184" t="s">
        <v>6490</v>
      </c>
      <c r="C6184" t="str">
        <f>"9788190678537"</f>
        <v>9788190678537</v>
      </c>
      <c r="D6184" t="str">
        <f>"9789350433751"</f>
        <v>9789350433751</v>
      </c>
      <c r="E6184" t="s">
        <v>6491</v>
      </c>
      <c r="F6184" t="s">
        <v>6491</v>
      </c>
      <c r="G6184" s="1">
        <v>39814</v>
      </c>
      <c r="H6184" s="1">
        <v>40577</v>
      </c>
      <c r="I6184" t="s">
        <v>12</v>
      </c>
      <c r="J6184" t="s">
        <v>16954</v>
      </c>
    </row>
    <row r="6185" spans="1:10" x14ac:dyDescent="0.25">
      <c r="A6185">
        <v>588235</v>
      </c>
      <c r="B6185" t="s">
        <v>6492</v>
      </c>
      <c r="C6185" t="str">
        <f>"9788183762168"</f>
        <v>9788183762168</v>
      </c>
      <c r="D6185" t="str">
        <f>"9789350434031"</f>
        <v>9789350434031</v>
      </c>
      <c r="E6185" t="s">
        <v>6493</v>
      </c>
      <c r="F6185" t="s">
        <v>6493</v>
      </c>
      <c r="G6185" s="1">
        <v>39814</v>
      </c>
      <c r="H6185" s="1">
        <v>40577</v>
      </c>
      <c r="I6185" t="s">
        <v>12</v>
      </c>
      <c r="J6185" t="s">
        <v>16955</v>
      </c>
    </row>
    <row r="6186" spans="1:10" x14ac:dyDescent="0.25">
      <c r="A6186">
        <v>588257</v>
      </c>
      <c r="B6186" t="s">
        <v>6494</v>
      </c>
      <c r="C6186" t="str">
        <f>"9788178803234"</f>
        <v>9788178803234</v>
      </c>
      <c r="D6186" t="str">
        <f>"9789350434253"</f>
        <v>9789350434253</v>
      </c>
      <c r="E6186" t="s">
        <v>6495</v>
      </c>
      <c r="F6186" t="s">
        <v>6495</v>
      </c>
      <c r="G6186" s="1">
        <v>39448</v>
      </c>
      <c r="H6186" s="1">
        <v>40577</v>
      </c>
      <c r="I6186" t="s">
        <v>12</v>
      </c>
      <c r="J6186" t="s">
        <v>16956</v>
      </c>
    </row>
    <row r="6187" spans="1:10" x14ac:dyDescent="0.25">
      <c r="A6187">
        <v>588282</v>
      </c>
      <c r="B6187" t="s">
        <v>6496</v>
      </c>
      <c r="C6187" t="str">
        <f>"9788183761567"</f>
        <v>9788183761567</v>
      </c>
      <c r="D6187" t="str">
        <f>"9789350434499"</f>
        <v>9789350434499</v>
      </c>
      <c r="E6187" t="s">
        <v>6493</v>
      </c>
      <c r="F6187" t="s">
        <v>6493</v>
      </c>
      <c r="G6187" s="1">
        <v>39448</v>
      </c>
      <c r="H6187" s="1">
        <v>40577</v>
      </c>
      <c r="I6187" t="s">
        <v>12</v>
      </c>
      <c r="J6187" t="s">
        <v>16957</v>
      </c>
    </row>
    <row r="6188" spans="1:10" x14ac:dyDescent="0.25">
      <c r="A6188">
        <v>588359</v>
      </c>
      <c r="B6188" t="s">
        <v>6497</v>
      </c>
      <c r="C6188" t="str">
        <f>"9788184881370"</f>
        <v>9788184881370</v>
      </c>
      <c r="D6188" t="str">
        <f>"9789350435236"</f>
        <v>9789350435236</v>
      </c>
      <c r="E6188" t="s">
        <v>6479</v>
      </c>
      <c r="F6188" t="s">
        <v>6479</v>
      </c>
      <c r="G6188" s="1">
        <v>39448</v>
      </c>
      <c r="H6188" s="1">
        <v>40577</v>
      </c>
      <c r="I6188" t="s">
        <v>12</v>
      </c>
      <c r="J6188" t="s">
        <v>16958</v>
      </c>
    </row>
    <row r="6189" spans="1:10" x14ac:dyDescent="0.25">
      <c r="A6189">
        <v>588363</v>
      </c>
      <c r="B6189" t="s">
        <v>6498</v>
      </c>
      <c r="C6189" t="str">
        <f>"9788190615136"</f>
        <v>9788190615136</v>
      </c>
      <c r="D6189" t="str">
        <f>"9789350435274"</f>
        <v>9789350435274</v>
      </c>
      <c r="E6189" t="s">
        <v>6499</v>
      </c>
      <c r="F6189" t="s">
        <v>6499</v>
      </c>
      <c r="G6189" s="1">
        <v>39814</v>
      </c>
      <c r="H6189" s="1">
        <v>40577</v>
      </c>
      <c r="I6189" t="s">
        <v>12</v>
      </c>
      <c r="J6189" t="s">
        <v>16959</v>
      </c>
    </row>
    <row r="6190" spans="1:10" x14ac:dyDescent="0.25">
      <c r="A6190">
        <v>588387</v>
      </c>
      <c r="B6190" t="s">
        <v>6500</v>
      </c>
      <c r="C6190" t="str">
        <f>"9788178001678"</f>
        <v>9788178001678</v>
      </c>
      <c r="D6190" t="str">
        <f>"9789350435519"</f>
        <v>9789350435519</v>
      </c>
      <c r="E6190" t="s">
        <v>6501</v>
      </c>
      <c r="F6190" t="s">
        <v>6501</v>
      </c>
      <c r="G6190" s="1">
        <v>39448</v>
      </c>
      <c r="H6190" s="1">
        <v>40577</v>
      </c>
      <c r="I6190" t="s">
        <v>12</v>
      </c>
      <c r="J6190" t="s">
        <v>16960</v>
      </c>
    </row>
    <row r="6191" spans="1:10" x14ac:dyDescent="0.25">
      <c r="A6191">
        <v>588395</v>
      </c>
      <c r="B6191" t="s">
        <v>6502</v>
      </c>
      <c r="C6191" t="str">
        <f>"9788181521873"</f>
        <v>9788181521873</v>
      </c>
      <c r="D6191" t="str">
        <f>"9789350435595"</f>
        <v>9789350435595</v>
      </c>
      <c r="E6191" t="s">
        <v>6503</v>
      </c>
      <c r="F6191" t="s">
        <v>6503</v>
      </c>
      <c r="G6191" s="1">
        <v>39083</v>
      </c>
      <c r="H6191" s="1">
        <v>40577</v>
      </c>
      <c r="I6191" t="s">
        <v>12</v>
      </c>
      <c r="J6191" t="s">
        <v>16961</v>
      </c>
    </row>
    <row r="6192" spans="1:10" x14ac:dyDescent="0.25">
      <c r="A6192">
        <v>588428</v>
      </c>
      <c r="B6192" t="s">
        <v>6504</v>
      </c>
      <c r="C6192" t="str">
        <f>"9788181522771"</f>
        <v>9788181522771</v>
      </c>
      <c r="D6192" t="str">
        <f>"9789350439791"</f>
        <v>9789350439791</v>
      </c>
      <c r="E6192" t="s">
        <v>6503</v>
      </c>
      <c r="F6192" t="s">
        <v>6503</v>
      </c>
      <c r="G6192" s="1">
        <v>39814</v>
      </c>
      <c r="H6192" s="1">
        <v>40990</v>
      </c>
      <c r="I6192" t="s">
        <v>12</v>
      </c>
      <c r="J6192" t="s">
        <v>16962</v>
      </c>
    </row>
    <row r="6193" spans="1:10" x14ac:dyDescent="0.25">
      <c r="A6193">
        <v>588466</v>
      </c>
      <c r="B6193" t="s">
        <v>6505</v>
      </c>
      <c r="C6193" t="str">
        <f>"9788183761390"</f>
        <v>9788183761390</v>
      </c>
      <c r="D6193" t="str">
        <f>"9789350436271"</f>
        <v>9789350436271</v>
      </c>
      <c r="E6193" t="s">
        <v>6493</v>
      </c>
      <c r="F6193" t="s">
        <v>6493</v>
      </c>
      <c r="G6193" s="1">
        <v>39448</v>
      </c>
      <c r="H6193" s="1">
        <v>40577</v>
      </c>
      <c r="I6193" t="s">
        <v>12</v>
      </c>
      <c r="J6193" t="s">
        <v>16963</v>
      </c>
    </row>
    <row r="6194" spans="1:10" x14ac:dyDescent="0.25">
      <c r="A6194">
        <v>588470</v>
      </c>
      <c r="B6194" t="s">
        <v>6506</v>
      </c>
      <c r="C6194" t="str">
        <f>"9788178001814"</f>
        <v>9788178001814</v>
      </c>
      <c r="D6194" t="str">
        <f>"9789350436318"</f>
        <v>9789350436318</v>
      </c>
      <c r="E6194" t="s">
        <v>6501</v>
      </c>
      <c r="F6194" t="s">
        <v>6501</v>
      </c>
      <c r="G6194" s="1">
        <v>39448</v>
      </c>
      <c r="H6194" s="1">
        <v>40577</v>
      </c>
      <c r="I6194" t="s">
        <v>12</v>
      </c>
      <c r="J6194" t="s">
        <v>16964</v>
      </c>
    </row>
    <row r="6195" spans="1:10" x14ac:dyDescent="0.25">
      <c r="A6195">
        <v>588540</v>
      </c>
      <c r="B6195" t="s">
        <v>6507</v>
      </c>
      <c r="C6195" t="str">
        <f>"9789380033006"</f>
        <v>9789380033006</v>
      </c>
      <c r="D6195" t="str">
        <f>"9789350437001"</f>
        <v>9789350437001</v>
      </c>
      <c r="E6195" t="s">
        <v>6499</v>
      </c>
      <c r="F6195" t="s">
        <v>6499</v>
      </c>
      <c r="G6195" s="1">
        <v>40179</v>
      </c>
      <c r="H6195" s="1">
        <v>40577</v>
      </c>
      <c r="I6195" t="s">
        <v>12</v>
      </c>
      <c r="J6195" t="s">
        <v>16965</v>
      </c>
    </row>
    <row r="6196" spans="1:10" x14ac:dyDescent="0.25">
      <c r="A6196">
        <v>588551</v>
      </c>
      <c r="B6196" t="s">
        <v>6508</v>
      </c>
      <c r="C6196" t="str">
        <f>"9788178001364"</f>
        <v>9788178001364</v>
      </c>
      <c r="D6196" t="str">
        <f>"9789350437117"</f>
        <v>9789350437117</v>
      </c>
      <c r="E6196" t="s">
        <v>6501</v>
      </c>
      <c r="F6196" t="s">
        <v>6501</v>
      </c>
      <c r="G6196" s="1">
        <v>39083</v>
      </c>
      <c r="H6196" s="1">
        <v>40577</v>
      </c>
      <c r="I6196" t="s">
        <v>12</v>
      </c>
      <c r="J6196" t="s">
        <v>16966</v>
      </c>
    </row>
    <row r="6197" spans="1:10" x14ac:dyDescent="0.25">
      <c r="A6197">
        <v>588553</v>
      </c>
      <c r="B6197" t="s">
        <v>6509</v>
      </c>
      <c r="C6197" t="str">
        <f>"9788183189026"</f>
        <v>9788183189026</v>
      </c>
      <c r="D6197" t="str">
        <f>"9789350437131"</f>
        <v>9789350437131</v>
      </c>
      <c r="E6197" t="s">
        <v>6479</v>
      </c>
      <c r="F6197" t="s">
        <v>6479</v>
      </c>
      <c r="G6197" s="1">
        <v>39448</v>
      </c>
      <c r="H6197" s="1">
        <v>40577</v>
      </c>
      <c r="I6197" t="s">
        <v>12</v>
      </c>
      <c r="J6197" t="s">
        <v>16967</v>
      </c>
    </row>
    <row r="6198" spans="1:10" x14ac:dyDescent="0.25">
      <c r="A6198">
        <v>588569</v>
      </c>
      <c r="B6198" t="s">
        <v>6510</v>
      </c>
      <c r="C6198" t="str">
        <f>"9788178804460"</f>
        <v>9788178804460</v>
      </c>
      <c r="D6198" t="str">
        <f>"9789350437285"</f>
        <v>9789350437285</v>
      </c>
      <c r="E6198" t="s">
        <v>6495</v>
      </c>
      <c r="F6198" t="s">
        <v>6495</v>
      </c>
      <c r="G6198" s="1">
        <v>39814</v>
      </c>
      <c r="H6198" s="1">
        <v>40577</v>
      </c>
      <c r="I6198" t="s">
        <v>12</v>
      </c>
      <c r="J6198" t="s">
        <v>16968</v>
      </c>
    </row>
    <row r="6199" spans="1:10" x14ac:dyDescent="0.25">
      <c r="A6199">
        <v>588573</v>
      </c>
      <c r="B6199" t="s">
        <v>6511</v>
      </c>
      <c r="C6199" t="str">
        <f>"9788190712767"</f>
        <v>9788190712767</v>
      </c>
      <c r="D6199" t="str">
        <f>"9789350437322"</f>
        <v>9789350437322</v>
      </c>
      <c r="E6199" t="s">
        <v>6491</v>
      </c>
      <c r="F6199" t="s">
        <v>6491</v>
      </c>
      <c r="G6199" s="1">
        <v>39814</v>
      </c>
      <c r="H6199" s="1">
        <v>40577</v>
      </c>
      <c r="I6199" t="s">
        <v>12</v>
      </c>
      <c r="J6199" t="s">
        <v>16969</v>
      </c>
    </row>
    <row r="6200" spans="1:10" x14ac:dyDescent="0.25">
      <c r="A6200">
        <v>588583</v>
      </c>
      <c r="B6200" t="s">
        <v>6512</v>
      </c>
      <c r="C6200" t="str">
        <f>"9788178001357"</f>
        <v>9788178001357</v>
      </c>
      <c r="D6200" t="str">
        <f>"9789350437421"</f>
        <v>9789350437421</v>
      </c>
      <c r="E6200" t="s">
        <v>6501</v>
      </c>
      <c r="F6200" t="s">
        <v>6501</v>
      </c>
      <c r="G6200" s="1">
        <v>39448</v>
      </c>
      <c r="H6200" s="1">
        <v>40577</v>
      </c>
      <c r="I6200" t="s">
        <v>12</v>
      </c>
      <c r="J6200" t="s">
        <v>16970</v>
      </c>
    </row>
    <row r="6201" spans="1:10" x14ac:dyDescent="0.25">
      <c r="A6201">
        <v>588592</v>
      </c>
      <c r="B6201" t="s">
        <v>6513</v>
      </c>
      <c r="C6201" t="str">
        <f>"9789380012216"</f>
        <v>9789380012216</v>
      </c>
      <c r="D6201" t="str">
        <f>"9789350437513"</f>
        <v>9789350437513</v>
      </c>
      <c r="E6201" t="s">
        <v>6514</v>
      </c>
      <c r="F6201" t="s">
        <v>6514</v>
      </c>
      <c r="G6201" s="1">
        <v>40179</v>
      </c>
      <c r="H6201" s="1">
        <v>40577</v>
      </c>
      <c r="I6201" t="s">
        <v>12</v>
      </c>
      <c r="J6201" t="s">
        <v>16971</v>
      </c>
    </row>
    <row r="6202" spans="1:10" x14ac:dyDescent="0.25">
      <c r="A6202">
        <v>588601</v>
      </c>
      <c r="B6202" t="s">
        <v>6515</v>
      </c>
      <c r="C6202" t="str">
        <f>"9788182472280"</f>
        <v>9788182472280</v>
      </c>
      <c r="D6202" t="str">
        <f>"9789350437605"</f>
        <v>9789350437605</v>
      </c>
      <c r="E6202" t="s">
        <v>6516</v>
      </c>
      <c r="F6202" t="s">
        <v>6516</v>
      </c>
      <c r="G6202" s="1">
        <v>39814</v>
      </c>
      <c r="H6202" s="1">
        <v>40577</v>
      </c>
      <c r="I6202" t="s">
        <v>12</v>
      </c>
      <c r="J6202" t="s">
        <v>16972</v>
      </c>
    </row>
    <row r="6203" spans="1:10" x14ac:dyDescent="0.25">
      <c r="A6203">
        <v>588610</v>
      </c>
      <c r="B6203" t="s">
        <v>6517</v>
      </c>
      <c r="C6203" t="str">
        <f>"9788190674850"</f>
        <v>9788190674850</v>
      </c>
      <c r="D6203" t="str">
        <f>"9789350437698"</f>
        <v>9789350437698</v>
      </c>
      <c r="E6203" t="s">
        <v>6518</v>
      </c>
      <c r="F6203" t="s">
        <v>6518</v>
      </c>
      <c r="G6203" s="1">
        <v>39448</v>
      </c>
      <c r="H6203" s="1">
        <v>40577</v>
      </c>
      <c r="I6203" t="s">
        <v>12</v>
      </c>
      <c r="J6203" t="s">
        <v>16973</v>
      </c>
    </row>
    <row r="6204" spans="1:10" x14ac:dyDescent="0.25">
      <c r="A6204">
        <v>588637</v>
      </c>
      <c r="B6204" t="s">
        <v>6519</v>
      </c>
      <c r="C6204" t="str">
        <f>"9788190462815"</f>
        <v>9788190462815</v>
      </c>
      <c r="D6204" t="str">
        <f>"9789350437964"</f>
        <v>9789350437964</v>
      </c>
      <c r="E6204" t="s">
        <v>6499</v>
      </c>
      <c r="F6204" t="s">
        <v>6499</v>
      </c>
      <c r="G6204" s="1">
        <v>39448</v>
      </c>
      <c r="H6204" s="1">
        <v>40577</v>
      </c>
      <c r="I6204" t="s">
        <v>12</v>
      </c>
      <c r="J6204" t="s">
        <v>16974</v>
      </c>
    </row>
    <row r="6205" spans="1:10" x14ac:dyDescent="0.25">
      <c r="A6205">
        <v>588639</v>
      </c>
      <c r="B6205" t="s">
        <v>6520</v>
      </c>
      <c r="C6205" t="str">
        <f>"9788181520388"</f>
        <v>9788181520388</v>
      </c>
      <c r="D6205" t="str">
        <f>"9789350437988"</f>
        <v>9789350437988</v>
      </c>
      <c r="E6205" t="s">
        <v>6503</v>
      </c>
      <c r="F6205" t="s">
        <v>6503</v>
      </c>
      <c r="G6205" s="1">
        <v>39083</v>
      </c>
      <c r="H6205" s="1">
        <v>40577</v>
      </c>
      <c r="I6205" t="s">
        <v>12</v>
      </c>
      <c r="J6205" t="s">
        <v>16975</v>
      </c>
    </row>
    <row r="6206" spans="1:10" x14ac:dyDescent="0.25">
      <c r="A6206">
        <v>588675</v>
      </c>
      <c r="B6206" t="s">
        <v>6521</v>
      </c>
      <c r="C6206" t="str">
        <f>"9788181521972"</f>
        <v>9788181521972</v>
      </c>
      <c r="D6206" t="str">
        <f>"9789350438343"</f>
        <v>9789350438343</v>
      </c>
      <c r="E6206" t="s">
        <v>6503</v>
      </c>
      <c r="F6206" t="s">
        <v>6503</v>
      </c>
      <c r="G6206" s="1">
        <v>39083</v>
      </c>
      <c r="H6206" s="1">
        <v>40577</v>
      </c>
      <c r="I6206" t="s">
        <v>12</v>
      </c>
      <c r="J6206" t="s">
        <v>16976</v>
      </c>
    </row>
    <row r="6207" spans="1:10" x14ac:dyDescent="0.25">
      <c r="A6207">
        <v>588699</v>
      </c>
      <c r="B6207" t="s">
        <v>6522</v>
      </c>
      <c r="C6207" t="str">
        <f>"9788181520500"</f>
        <v>9788181520500</v>
      </c>
      <c r="D6207" t="str">
        <f>"9789350438572"</f>
        <v>9789350438572</v>
      </c>
      <c r="E6207" t="s">
        <v>6503</v>
      </c>
      <c r="F6207" t="s">
        <v>6503</v>
      </c>
      <c r="G6207" s="1">
        <v>39083</v>
      </c>
      <c r="H6207" s="1">
        <v>40577</v>
      </c>
      <c r="I6207" t="s">
        <v>12</v>
      </c>
      <c r="J6207" t="s">
        <v>16977</v>
      </c>
    </row>
    <row r="6208" spans="1:10" x14ac:dyDescent="0.25">
      <c r="A6208">
        <v>588719</v>
      </c>
      <c r="B6208" t="s">
        <v>6523</v>
      </c>
      <c r="C6208" t="str">
        <f>"9788182470774"</f>
        <v>9788182470774</v>
      </c>
      <c r="D6208" t="str">
        <f>"9789350438770"</f>
        <v>9789350438770</v>
      </c>
      <c r="E6208" t="s">
        <v>6516</v>
      </c>
      <c r="F6208" t="s">
        <v>6516</v>
      </c>
      <c r="G6208" s="1">
        <v>39814</v>
      </c>
      <c r="H6208" s="1">
        <v>40577</v>
      </c>
      <c r="I6208" t="s">
        <v>12</v>
      </c>
      <c r="J6208" t="s">
        <v>16978</v>
      </c>
    </row>
    <row r="6209" spans="1:10" x14ac:dyDescent="0.25">
      <c r="A6209">
        <v>588722</v>
      </c>
      <c r="B6209" t="s">
        <v>6524</v>
      </c>
      <c r="C6209" t="str">
        <f>"9788183761987"</f>
        <v>9788183761987</v>
      </c>
      <c r="D6209" t="str">
        <f>"9789350438800"</f>
        <v>9789350438800</v>
      </c>
      <c r="E6209" t="s">
        <v>6493</v>
      </c>
      <c r="F6209" t="s">
        <v>6493</v>
      </c>
      <c r="G6209" s="1">
        <v>39814</v>
      </c>
      <c r="H6209" s="1">
        <v>40577</v>
      </c>
      <c r="I6209" t="s">
        <v>12</v>
      </c>
      <c r="J6209" t="s">
        <v>16979</v>
      </c>
    </row>
    <row r="6210" spans="1:10" x14ac:dyDescent="0.25">
      <c r="A6210">
        <v>588768</v>
      </c>
      <c r="B6210" t="s">
        <v>6525</v>
      </c>
      <c r="C6210" t="str">
        <f>"9788190712736"</f>
        <v>9788190712736</v>
      </c>
      <c r="D6210" t="str">
        <f>"9789350439265"</f>
        <v>9789350439265</v>
      </c>
      <c r="E6210" t="s">
        <v>6491</v>
      </c>
      <c r="F6210" t="s">
        <v>6491</v>
      </c>
      <c r="G6210" s="1">
        <v>39814</v>
      </c>
      <c r="H6210" s="1">
        <v>40577</v>
      </c>
      <c r="I6210" t="s">
        <v>12</v>
      </c>
      <c r="J6210" t="s">
        <v>16980</v>
      </c>
    </row>
    <row r="6211" spans="1:10" x14ac:dyDescent="0.25">
      <c r="A6211">
        <v>588769</v>
      </c>
      <c r="B6211" t="s">
        <v>6526</v>
      </c>
      <c r="C6211" t="str">
        <f>"9789380013039"</f>
        <v>9789380013039</v>
      </c>
      <c r="D6211" t="str">
        <f>"9789350439272"</f>
        <v>9789350439272</v>
      </c>
      <c r="E6211" t="s">
        <v>6491</v>
      </c>
      <c r="F6211" t="s">
        <v>6491</v>
      </c>
      <c r="G6211" s="1">
        <v>39814</v>
      </c>
      <c r="H6211" s="1">
        <v>40577</v>
      </c>
      <c r="I6211" t="s">
        <v>12</v>
      </c>
      <c r="J6211" t="s">
        <v>16981</v>
      </c>
    </row>
    <row r="6212" spans="1:10" x14ac:dyDescent="0.25">
      <c r="A6212">
        <v>588798</v>
      </c>
      <c r="B6212" t="s">
        <v>6527</v>
      </c>
      <c r="C6212" t="str">
        <f>"9781904902973"</f>
        <v>9781904902973</v>
      </c>
      <c r="D6212" t="str">
        <f>"9781908864840"</f>
        <v>9781908864840</v>
      </c>
      <c r="E6212" t="s">
        <v>6528</v>
      </c>
      <c r="F6212" t="s">
        <v>6529</v>
      </c>
      <c r="G6212" s="1">
        <v>39085</v>
      </c>
      <c r="H6212" s="1">
        <v>40686</v>
      </c>
      <c r="I6212" t="s">
        <v>12</v>
      </c>
      <c r="J6212" t="s">
        <v>16982</v>
      </c>
    </row>
    <row r="6213" spans="1:10" x14ac:dyDescent="0.25">
      <c r="A6213">
        <v>588999</v>
      </c>
      <c r="B6213" t="s">
        <v>6530</v>
      </c>
      <c r="C6213" t="str">
        <f>"9780470584682"</f>
        <v>9780470584682</v>
      </c>
      <c r="D6213" t="str">
        <f>"9780470932988"</f>
        <v>9780470932988</v>
      </c>
      <c r="E6213" t="s">
        <v>1088</v>
      </c>
      <c r="F6213" t="s">
        <v>4889</v>
      </c>
      <c r="G6213" s="1">
        <v>40416</v>
      </c>
      <c r="H6213" s="1">
        <v>40568</v>
      </c>
      <c r="I6213" t="s">
        <v>12</v>
      </c>
      <c r="J6213" t="s">
        <v>16983</v>
      </c>
    </row>
    <row r="6214" spans="1:10" x14ac:dyDescent="0.25">
      <c r="A6214">
        <v>589056</v>
      </c>
      <c r="B6214" t="s">
        <v>6531</v>
      </c>
      <c r="C6214" t="str">
        <f>"9780470614501"</f>
        <v>9780470614501</v>
      </c>
      <c r="D6214" t="str">
        <f>"9780470892176"</f>
        <v>9780470892176</v>
      </c>
      <c r="E6214" t="s">
        <v>1088</v>
      </c>
      <c r="F6214" t="s">
        <v>5059</v>
      </c>
      <c r="G6214" s="1">
        <v>40470</v>
      </c>
      <c r="H6214" s="1">
        <v>40568</v>
      </c>
      <c r="I6214" t="s">
        <v>12</v>
      </c>
      <c r="J6214" t="s">
        <v>16984</v>
      </c>
    </row>
    <row r="6215" spans="1:10" x14ac:dyDescent="0.25">
      <c r="A6215">
        <v>589113</v>
      </c>
      <c r="B6215" t="s">
        <v>6532</v>
      </c>
      <c r="C6215" t="str">
        <f>"9781118396544"</f>
        <v>9781118396544</v>
      </c>
      <c r="D6215" t="str">
        <f>"9780470651421"</f>
        <v>9780470651421</v>
      </c>
      <c r="E6215" t="s">
        <v>1088</v>
      </c>
      <c r="F6215" t="s">
        <v>5059</v>
      </c>
      <c r="G6215" s="1">
        <v>40456</v>
      </c>
      <c r="H6215" s="1">
        <v>40568</v>
      </c>
      <c r="I6215" t="s">
        <v>12</v>
      </c>
      <c r="J6215" t="s">
        <v>16985</v>
      </c>
    </row>
    <row r="6216" spans="1:10" x14ac:dyDescent="0.25">
      <c r="A6216">
        <v>589119</v>
      </c>
      <c r="B6216" t="s">
        <v>6533</v>
      </c>
      <c r="C6216" t="str">
        <f>"9780470643648"</f>
        <v>9780470643648</v>
      </c>
      <c r="D6216" t="str">
        <f>"9780470920749"</f>
        <v>9780470920749</v>
      </c>
      <c r="E6216" t="s">
        <v>1088</v>
      </c>
      <c r="F6216" t="s">
        <v>4889</v>
      </c>
      <c r="G6216" s="1">
        <v>40416</v>
      </c>
      <c r="H6216" s="1">
        <v>40577</v>
      </c>
      <c r="I6216" t="s">
        <v>12</v>
      </c>
      <c r="J6216" t="s">
        <v>16986</v>
      </c>
    </row>
    <row r="6217" spans="1:10" x14ac:dyDescent="0.25">
      <c r="A6217">
        <v>589133</v>
      </c>
      <c r="B6217" t="s">
        <v>6534</v>
      </c>
      <c r="C6217" t="str">
        <f>"9780470616680"</f>
        <v>9780470616680</v>
      </c>
      <c r="D6217" t="str">
        <f>"9780470929490"</f>
        <v>9780470929490</v>
      </c>
      <c r="E6217" t="s">
        <v>1088</v>
      </c>
      <c r="F6217" t="s">
        <v>4889</v>
      </c>
      <c r="G6217" s="1">
        <v>40463</v>
      </c>
      <c r="H6217" s="1">
        <v>40568</v>
      </c>
      <c r="I6217" t="s">
        <v>12</v>
      </c>
      <c r="J6217" t="s">
        <v>16987</v>
      </c>
    </row>
    <row r="6218" spans="1:10" x14ac:dyDescent="0.25">
      <c r="A6218">
        <v>589380</v>
      </c>
      <c r="B6218" t="s">
        <v>6535</v>
      </c>
      <c r="C6218" t="str">
        <f>"9789264088443"</f>
        <v>9789264088443</v>
      </c>
      <c r="D6218" t="str">
        <f>"9789264088436"</f>
        <v>9789264088436</v>
      </c>
      <c r="E6218" t="s">
        <v>1185</v>
      </c>
      <c r="F6218" t="s">
        <v>1186</v>
      </c>
      <c r="G6218" s="1">
        <v>40435</v>
      </c>
      <c r="H6218" s="1">
        <v>40460</v>
      </c>
      <c r="I6218" t="s">
        <v>12</v>
      </c>
      <c r="J6218" t="s">
        <v>16988</v>
      </c>
    </row>
    <row r="6219" spans="1:10" x14ac:dyDescent="0.25">
      <c r="A6219">
        <v>589737</v>
      </c>
      <c r="B6219" t="s">
        <v>6536</v>
      </c>
      <c r="C6219" t="str">
        <f>"9781592650798"</f>
        <v>9781592650798</v>
      </c>
      <c r="D6219" t="str">
        <f>"9781592651177"</f>
        <v>9781592651177</v>
      </c>
      <c r="E6219" t="s">
        <v>6537</v>
      </c>
      <c r="F6219" t="s">
        <v>6537</v>
      </c>
      <c r="G6219" s="1">
        <v>41786</v>
      </c>
      <c r="H6219" s="1">
        <v>40458</v>
      </c>
      <c r="I6219" t="s">
        <v>12</v>
      </c>
      <c r="J6219" t="s">
        <v>16989</v>
      </c>
    </row>
    <row r="6220" spans="1:10" x14ac:dyDescent="0.25">
      <c r="A6220">
        <v>589750</v>
      </c>
      <c r="B6220" t="s">
        <v>6538</v>
      </c>
      <c r="C6220" t="str">
        <f>"9781586482558"</f>
        <v>9781586482558</v>
      </c>
      <c r="D6220" t="str">
        <f>"9781586489939"</f>
        <v>9781586489939</v>
      </c>
      <c r="E6220" t="s">
        <v>6247</v>
      </c>
      <c r="F6220" t="s">
        <v>6247</v>
      </c>
      <c r="G6220" s="1">
        <v>40463</v>
      </c>
      <c r="H6220" s="1">
        <v>40463</v>
      </c>
      <c r="I6220" t="s">
        <v>12</v>
      </c>
      <c r="J6220" t="s">
        <v>16990</v>
      </c>
    </row>
    <row r="6221" spans="1:10" x14ac:dyDescent="0.25">
      <c r="A6221">
        <v>590816</v>
      </c>
      <c r="B6221" t="s">
        <v>6539</v>
      </c>
      <c r="C6221" t="str">
        <f>"9780691147178"</f>
        <v>9780691147178</v>
      </c>
      <c r="D6221" t="str">
        <f>"9781400836956"</f>
        <v>9781400836956</v>
      </c>
      <c r="E6221" t="s">
        <v>5831</v>
      </c>
      <c r="F6221" t="s">
        <v>5831</v>
      </c>
      <c r="G6221" s="1">
        <v>40503</v>
      </c>
      <c r="H6221" s="1">
        <v>40668</v>
      </c>
      <c r="I6221" t="s">
        <v>12</v>
      </c>
      <c r="J6221" t="s">
        <v>16991</v>
      </c>
    </row>
    <row r="6222" spans="1:10" x14ac:dyDescent="0.25">
      <c r="A6222">
        <v>590823</v>
      </c>
      <c r="B6222" t="s">
        <v>6540</v>
      </c>
      <c r="C6222" t="str">
        <f>"9780691137162"</f>
        <v>9780691137162</v>
      </c>
      <c r="D6222" t="str">
        <f>"9781400836277"</f>
        <v>9781400836277</v>
      </c>
      <c r="E6222" t="s">
        <v>5831</v>
      </c>
      <c r="F6222" t="s">
        <v>5831</v>
      </c>
      <c r="G6222" s="1">
        <v>40496</v>
      </c>
      <c r="H6222" s="1">
        <v>40668</v>
      </c>
      <c r="I6222" t="s">
        <v>12</v>
      </c>
      <c r="J6222" t="s">
        <v>16992</v>
      </c>
    </row>
    <row r="6223" spans="1:10" x14ac:dyDescent="0.25">
      <c r="A6223">
        <v>590826</v>
      </c>
      <c r="B6223" t="s">
        <v>6541</v>
      </c>
      <c r="C6223" t="str">
        <f>"9780691147369"</f>
        <v>9780691147369</v>
      </c>
      <c r="D6223" t="str">
        <f>"9781400836796"</f>
        <v>9781400836796</v>
      </c>
      <c r="E6223" t="s">
        <v>5831</v>
      </c>
      <c r="F6223" t="s">
        <v>5831</v>
      </c>
      <c r="G6223" s="1">
        <v>40489</v>
      </c>
      <c r="H6223" s="1">
        <v>40668</v>
      </c>
      <c r="I6223" t="s">
        <v>12</v>
      </c>
      <c r="J6223" t="s">
        <v>16993</v>
      </c>
    </row>
    <row r="6224" spans="1:10" x14ac:dyDescent="0.25">
      <c r="A6224">
        <v>591093</v>
      </c>
      <c r="B6224" t="s">
        <v>6542</v>
      </c>
      <c r="C6224" t="str">
        <f>"9780713688726"</f>
        <v>9780713688726</v>
      </c>
      <c r="D6224" t="str">
        <f>"9781408135983"</f>
        <v>9781408135983</v>
      </c>
      <c r="E6224" t="s">
        <v>1400</v>
      </c>
      <c r="F6224" t="s">
        <v>1401</v>
      </c>
      <c r="G6224" s="1">
        <v>39716</v>
      </c>
      <c r="H6224" s="1">
        <v>40402</v>
      </c>
      <c r="I6224" t="s">
        <v>12</v>
      </c>
      <c r="J6224" t="s">
        <v>16994</v>
      </c>
    </row>
    <row r="6225" spans="1:10" x14ac:dyDescent="0.25">
      <c r="A6225">
        <v>592408</v>
      </c>
      <c r="B6225" t="s">
        <v>6543</v>
      </c>
      <c r="C6225" t="str">
        <f>"9781441174383"</f>
        <v>9781441174383</v>
      </c>
      <c r="D6225" t="str">
        <f>"9781441188137"</f>
        <v>9781441188137</v>
      </c>
      <c r="E6225" t="s">
        <v>1400</v>
      </c>
      <c r="F6225" t="s">
        <v>6424</v>
      </c>
      <c r="G6225" s="1">
        <v>40360</v>
      </c>
      <c r="H6225" s="1">
        <v>40470</v>
      </c>
      <c r="I6225" t="s">
        <v>12</v>
      </c>
      <c r="J6225" t="s">
        <v>16995</v>
      </c>
    </row>
    <row r="6226" spans="1:10" x14ac:dyDescent="0.25">
      <c r="A6226">
        <v>592419</v>
      </c>
      <c r="B6226" t="s">
        <v>6544</v>
      </c>
      <c r="C6226" t="str">
        <f>"9781855395367"</f>
        <v>9781855395367</v>
      </c>
      <c r="D6226" t="str">
        <f>"9781441140975"</f>
        <v>9781441140975</v>
      </c>
      <c r="E6226" t="s">
        <v>1400</v>
      </c>
      <c r="F6226" t="s">
        <v>6424</v>
      </c>
      <c r="G6226" s="1">
        <v>40360</v>
      </c>
      <c r="H6226" s="1">
        <v>40470</v>
      </c>
      <c r="I6226" t="s">
        <v>12</v>
      </c>
      <c r="J6226" t="s">
        <v>16996</v>
      </c>
    </row>
    <row r="6227" spans="1:10" x14ac:dyDescent="0.25">
      <c r="A6227">
        <v>592424</v>
      </c>
      <c r="B6227" t="s">
        <v>6545</v>
      </c>
      <c r="C6227" t="str">
        <f>"9781441127044"</f>
        <v>9781441127044</v>
      </c>
      <c r="D6227" t="str">
        <f>"9781441192882"</f>
        <v>9781441192882</v>
      </c>
      <c r="E6227" t="s">
        <v>4180</v>
      </c>
      <c r="F6227" t="s">
        <v>4180</v>
      </c>
      <c r="G6227" s="1">
        <v>41116</v>
      </c>
      <c r="H6227" s="1">
        <v>42326</v>
      </c>
      <c r="I6227" t="s">
        <v>12</v>
      </c>
      <c r="J6227" t="s">
        <v>16997</v>
      </c>
    </row>
    <row r="6228" spans="1:10" x14ac:dyDescent="0.25">
      <c r="A6228">
        <v>592426</v>
      </c>
      <c r="B6228" t="s">
        <v>6546</v>
      </c>
      <c r="C6228" t="str">
        <f>"9781441128607"</f>
        <v>9781441128607</v>
      </c>
      <c r="D6228" t="str">
        <f>"9781441147509"</f>
        <v>9781441147509</v>
      </c>
      <c r="E6228" t="s">
        <v>4180</v>
      </c>
      <c r="F6228" t="s">
        <v>4180</v>
      </c>
      <c r="G6228" s="1">
        <v>40486</v>
      </c>
      <c r="H6228" s="1">
        <v>42326</v>
      </c>
      <c r="I6228" t="s">
        <v>12</v>
      </c>
      <c r="J6228" t="s">
        <v>16998</v>
      </c>
    </row>
    <row r="6229" spans="1:10" x14ac:dyDescent="0.25">
      <c r="A6229">
        <v>592435</v>
      </c>
      <c r="B6229" t="s">
        <v>6547</v>
      </c>
      <c r="C6229" t="str">
        <f>"9780567034335"</f>
        <v>9780567034335</v>
      </c>
      <c r="D6229" t="str">
        <f>"9780567576934"</f>
        <v>9780567576934</v>
      </c>
      <c r="E6229" t="s">
        <v>4180</v>
      </c>
      <c r="F6229" t="s">
        <v>6548</v>
      </c>
      <c r="G6229" s="1">
        <v>40444</v>
      </c>
      <c r="H6229" s="1">
        <v>41844</v>
      </c>
      <c r="I6229" t="s">
        <v>12</v>
      </c>
      <c r="J6229" t="s">
        <v>16999</v>
      </c>
    </row>
    <row r="6230" spans="1:10" x14ac:dyDescent="0.25">
      <c r="A6230">
        <v>592439</v>
      </c>
      <c r="B6230" t="s">
        <v>6549</v>
      </c>
      <c r="C6230" t="str">
        <f>"9781847064370"</f>
        <v>9781847064370</v>
      </c>
      <c r="D6230" t="str">
        <f>"9781441158833"</f>
        <v>9781441158833</v>
      </c>
      <c r="E6230" t="s">
        <v>4180</v>
      </c>
      <c r="F6230" t="s">
        <v>4180</v>
      </c>
      <c r="G6230" s="1">
        <v>40479</v>
      </c>
      <c r="H6230" s="1">
        <v>42326</v>
      </c>
      <c r="I6230" t="s">
        <v>12</v>
      </c>
      <c r="J6230" t="s">
        <v>17000</v>
      </c>
    </row>
    <row r="6231" spans="1:10" x14ac:dyDescent="0.25">
      <c r="A6231">
        <v>592469</v>
      </c>
      <c r="B6231" t="s">
        <v>6550</v>
      </c>
      <c r="C6231" t="str">
        <f>"9781441119438"</f>
        <v>9781441119438</v>
      </c>
      <c r="D6231" t="str">
        <f>"9781441179265"</f>
        <v>9781441179265</v>
      </c>
      <c r="E6231" t="s">
        <v>4180</v>
      </c>
      <c r="F6231" t="s">
        <v>4180</v>
      </c>
      <c r="G6231" s="1">
        <v>41123</v>
      </c>
      <c r="H6231" s="1">
        <v>42326</v>
      </c>
      <c r="I6231" t="s">
        <v>12</v>
      </c>
      <c r="J6231" t="s">
        <v>17001</v>
      </c>
    </row>
    <row r="6232" spans="1:10" x14ac:dyDescent="0.25">
      <c r="A6232">
        <v>592474</v>
      </c>
      <c r="B6232" t="s">
        <v>6551</v>
      </c>
      <c r="C6232" t="str">
        <f>"9781855397743"</f>
        <v>9781855397743</v>
      </c>
      <c r="D6232" t="str">
        <f>"9781441127143"</f>
        <v>9781441127143</v>
      </c>
      <c r="E6232" t="s">
        <v>1400</v>
      </c>
      <c r="F6232" t="s">
        <v>6424</v>
      </c>
      <c r="G6232" s="1">
        <v>40360</v>
      </c>
      <c r="H6232" s="1">
        <v>40470</v>
      </c>
      <c r="I6232" t="s">
        <v>12</v>
      </c>
      <c r="J6232" t="s">
        <v>17002</v>
      </c>
    </row>
    <row r="6233" spans="1:10" x14ac:dyDescent="0.25">
      <c r="A6233">
        <v>592567</v>
      </c>
      <c r="B6233" t="s">
        <v>6552</v>
      </c>
      <c r="C6233" t="str">
        <f>"9781615302994"</f>
        <v>9781615302994</v>
      </c>
      <c r="D6233" t="str">
        <f>"9781615303731"</f>
        <v>9781615303731</v>
      </c>
      <c r="E6233" t="s">
        <v>6117</v>
      </c>
      <c r="F6233" t="s">
        <v>6118</v>
      </c>
      <c r="G6233" s="1">
        <v>40452</v>
      </c>
      <c r="H6233" s="1">
        <v>40465</v>
      </c>
      <c r="I6233" t="s">
        <v>12</v>
      </c>
      <c r="J6233" t="s">
        <v>17003</v>
      </c>
    </row>
    <row r="6234" spans="1:10" x14ac:dyDescent="0.25">
      <c r="A6234">
        <v>592584</v>
      </c>
      <c r="B6234" t="s">
        <v>6553</v>
      </c>
      <c r="C6234" t="str">
        <f>"9781604138818"</f>
        <v>9781604138818</v>
      </c>
      <c r="D6234" t="str">
        <f>"9781438135519"</f>
        <v>9781438135519</v>
      </c>
      <c r="E6234" t="s">
        <v>2998</v>
      </c>
      <c r="F6234" t="s">
        <v>3008</v>
      </c>
      <c r="G6234" s="1">
        <v>40452</v>
      </c>
      <c r="H6234" s="1">
        <v>40465</v>
      </c>
      <c r="I6234" t="s">
        <v>12</v>
      </c>
      <c r="J6234" t="s">
        <v>17004</v>
      </c>
    </row>
    <row r="6235" spans="1:10" x14ac:dyDescent="0.25">
      <c r="A6235">
        <v>592619</v>
      </c>
      <c r="B6235" t="s">
        <v>6554</v>
      </c>
      <c r="C6235" t="str">
        <f>"9780816068500"</f>
        <v>9780816068500</v>
      </c>
      <c r="D6235" t="str">
        <f>"9781438133157"</f>
        <v>9781438133157</v>
      </c>
      <c r="E6235" t="s">
        <v>2998</v>
      </c>
      <c r="F6235" t="s">
        <v>2999</v>
      </c>
      <c r="G6235" s="1">
        <v>40422</v>
      </c>
      <c r="H6235" s="1">
        <v>40465</v>
      </c>
      <c r="I6235" t="s">
        <v>12</v>
      </c>
      <c r="J6235" t="s">
        <v>17005</v>
      </c>
    </row>
    <row r="6236" spans="1:10" x14ac:dyDescent="0.25">
      <c r="A6236">
        <v>592799</v>
      </c>
      <c r="B6236" t="s">
        <v>6555</v>
      </c>
      <c r="C6236" t="str">
        <f>"9780816665884"</f>
        <v>9780816665884</v>
      </c>
      <c r="D6236" t="str">
        <f>"9780816673582"</f>
        <v>9780816673582</v>
      </c>
      <c r="E6236" t="s">
        <v>3970</v>
      </c>
      <c r="F6236" t="s">
        <v>4676</v>
      </c>
      <c r="G6236" s="1">
        <v>40423</v>
      </c>
      <c r="H6236" s="1">
        <v>40467</v>
      </c>
      <c r="I6236" t="s">
        <v>12</v>
      </c>
      <c r="J6236" t="s">
        <v>17006</v>
      </c>
    </row>
    <row r="6237" spans="1:10" x14ac:dyDescent="0.25">
      <c r="A6237">
        <v>592804</v>
      </c>
      <c r="B6237" t="s">
        <v>6556</v>
      </c>
      <c r="C6237" t="str">
        <f>"9780816665211"</f>
        <v>9780816665211</v>
      </c>
      <c r="D6237" t="str">
        <f>"9780816673612"</f>
        <v>9780816673612</v>
      </c>
      <c r="E6237" t="s">
        <v>3970</v>
      </c>
      <c r="F6237" t="s">
        <v>4676</v>
      </c>
      <c r="G6237" s="1">
        <v>40221</v>
      </c>
      <c r="H6237" s="1">
        <v>40467</v>
      </c>
      <c r="I6237" t="s">
        <v>12</v>
      </c>
      <c r="J6237" t="s">
        <v>17007</v>
      </c>
    </row>
    <row r="6238" spans="1:10" x14ac:dyDescent="0.25">
      <c r="A6238">
        <v>592807</v>
      </c>
      <c r="B6238" t="s">
        <v>6557</v>
      </c>
      <c r="C6238" t="str">
        <f>"9780816653652"</f>
        <v>9780816653652</v>
      </c>
      <c r="D6238" t="str">
        <f>"9780816668076"</f>
        <v>9780816668076</v>
      </c>
      <c r="E6238" t="s">
        <v>3970</v>
      </c>
      <c r="F6238" t="s">
        <v>3970</v>
      </c>
      <c r="G6238" s="1">
        <v>39874</v>
      </c>
      <c r="H6238" s="1">
        <v>40467</v>
      </c>
      <c r="I6238" t="s">
        <v>12</v>
      </c>
      <c r="J6238" t="s">
        <v>17008</v>
      </c>
    </row>
    <row r="6239" spans="1:10" x14ac:dyDescent="0.25">
      <c r="A6239">
        <v>592856</v>
      </c>
      <c r="B6239" t="s">
        <v>6558</v>
      </c>
      <c r="C6239" t="str">
        <f>"9788132104643"</f>
        <v>9788132104643</v>
      </c>
      <c r="D6239" t="str">
        <f>"9788132106098"</f>
        <v>9788132106098</v>
      </c>
      <c r="E6239" t="s">
        <v>1569</v>
      </c>
      <c r="F6239" t="s">
        <v>5273</v>
      </c>
      <c r="G6239" s="1">
        <v>40407</v>
      </c>
      <c r="H6239" s="1">
        <v>40465</v>
      </c>
      <c r="I6239" t="s">
        <v>12</v>
      </c>
      <c r="J6239" t="s">
        <v>17009</v>
      </c>
    </row>
    <row r="6240" spans="1:10" x14ac:dyDescent="0.25">
      <c r="A6240">
        <v>592864</v>
      </c>
      <c r="B6240" t="s">
        <v>6559</v>
      </c>
      <c r="C6240" t="str">
        <f>"9788132105046"</f>
        <v>9788132105046</v>
      </c>
      <c r="D6240" t="str">
        <f>"9788132106111"</f>
        <v>9788132106111</v>
      </c>
      <c r="E6240" t="s">
        <v>1569</v>
      </c>
      <c r="F6240" t="s">
        <v>5273</v>
      </c>
      <c r="G6240" s="1">
        <v>40430</v>
      </c>
      <c r="H6240" s="1">
        <v>40465</v>
      </c>
      <c r="I6240" t="s">
        <v>12</v>
      </c>
      <c r="J6240" t="s">
        <v>17010</v>
      </c>
    </row>
    <row r="6241" spans="1:10" x14ac:dyDescent="0.25">
      <c r="A6241">
        <v>592868</v>
      </c>
      <c r="B6241" t="s">
        <v>6560</v>
      </c>
      <c r="C6241" t="str">
        <f>"9788132104575"</f>
        <v>9788132104575</v>
      </c>
      <c r="D6241" t="str">
        <f>"9788132105961"</f>
        <v>9788132105961</v>
      </c>
      <c r="E6241" t="s">
        <v>1569</v>
      </c>
      <c r="F6241" t="s">
        <v>5273</v>
      </c>
      <c r="G6241" s="1">
        <v>40367</v>
      </c>
      <c r="H6241" s="1">
        <v>40465</v>
      </c>
      <c r="I6241" t="s">
        <v>12</v>
      </c>
      <c r="J6241" t="s">
        <v>17011</v>
      </c>
    </row>
    <row r="6242" spans="1:10" x14ac:dyDescent="0.25">
      <c r="A6242">
        <v>592873</v>
      </c>
      <c r="B6242" t="s">
        <v>6561</v>
      </c>
      <c r="C6242" t="str">
        <f>"9788132105237"</f>
        <v>9788132105237</v>
      </c>
      <c r="D6242" t="str">
        <f>"9788132106227"</f>
        <v>9788132106227</v>
      </c>
      <c r="E6242" t="s">
        <v>1569</v>
      </c>
      <c r="F6242" t="s">
        <v>5273</v>
      </c>
      <c r="G6242" s="1">
        <v>40456</v>
      </c>
      <c r="H6242" s="1">
        <v>40465</v>
      </c>
      <c r="I6242" t="s">
        <v>12</v>
      </c>
      <c r="J6242" t="s">
        <v>17012</v>
      </c>
    </row>
    <row r="6243" spans="1:10" x14ac:dyDescent="0.25">
      <c r="A6243">
        <v>595197</v>
      </c>
      <c r="B6243" t="s">
        <v>6562</v>
      </c>
      <c r="C6243" t="str">
        <f>"9783836680189"</f>
        <v>9783836680189</v>
      </c>
      <c r="D6243" t="str">
        <f>"9783836630184"</f>
        <v>9783836630184</v>
      </c>
      <c r="E6243" t="s">
        <v>6563</v>
      </c>
      <c r="F6243" t="s">
        <v>6563</v>
      </c>
      <c r="G6243" s="1">
        <v>40026</v>
      </c>
      <c r="H6243" s="1">
        <v>40484</v>
      </c>
      <c r="I6243" t="s">
        <v>12</v>
      </c>
      <c r="J6243" t="s">
        <v>17013</v>
      </c>
    </row>
    <row r="6244" spans="1:10" x14ac:dyDescent="0.25">
      <c r="A6244">
        <v>595233</v>
      </c>
      <c r="B6244" t="s">
        <v>6564</v>
      </c>
      <c r="C6244" t="str">
        <f>"9783836677417"</f>
        <v>9783836677417</v>
      </c>
      <c r="D6244" t="str">
        <f>"9783836627412"</f>
        <v>9783836627412</v>
      </c>
      <c r="E6244" t="s">
        <v>6563</v>
      </c>
      <c r="F6244" t="s">
        <v>6563</v>
      </c>
      <c r="G6244" s="1">
        <v>39995</v>
      </c>
      <c r="H6244" s="1">
        <v>40484</v>
      </c>
      <c r="I6244" t="s">
        <v>12</v>
      </c>
      <c r="J6244" t="s">
        <v>17014</v>
      </c>
    </row>
    <row r="6245" spans="1:10" x14ac:dyDescent="0.25">
      <c r="A6245">
        <v>595277</v>
      </c>
      <c r="B6245" t="s">
        <v>6565</v>
      </c>
      <c r="C6245" t="str">
        <f>"9783836676182"</f>
        <v>9783836676182</v>
      </c>
      <c r="D6245" t="str">
        <f>"9783836626187"</f>
        <v>9783836626187</v>
      </c>
      <c r="E6245" t="s">
        <v>6563</v>
      </c>
      <c r="F6245" t="s">
        <v>6563</v>
      </c>
      <c r="G6245" s="1">
        <v>39965</v>
      </c>
      <c r="H6245" s="1">
        <v>40484</v>
      </c>
      <c r="I6245" t="s">
        <v>12</v>
      </c>
      <c r="J6245" t="s">
        <v>17015</v>
      </c>
    </row>
    <row r="6246" spans="1:10" x14ac:dyDescent="0.25">
      <c r="A6246">
        <v>597863</v>
      </c>
      <c r="B6246" t="s">
        <v>6566</v>
      </c>
      <c r="C6246" t="str">
        <f>"9780691148854"</f>
        <v>9780691148854</v>
      </c>
      <c r="D6246" t="str">
        <f>"9781400836994"</f>
        <v>9781400836994</v>
      </c>
      <c r="E6246" t="s">
        <v>5831</v>
      </c>
      <c r="F6246" t="s">
        <v>5831</v>
      </c>
      <c r="G6246" s="1">
        <v>40489</v>
      </c>
      <c r="H6246" s="1">
        <v>40503</v>
      </c>
      <c r="I6246" t="s">
        <v>12</v>
      </c>
      <c r="J6246" t="s">
        <v>17016</v>
      </c>
    </row>
    <row r="6247" spans="1:10" x14ac:dyDescent="0.25">
      <c r="A6247">
        <v>601472</v>
      </c>
      <c r="B6247" t="s">
        <v>6567</v>
      </c>
      <c r="C6247" t="str">
        <f>"9781441145055"</f>
        <v>9781441145055</v>
      </c>
      <c r="D6247" t="str">
        <f>"9781441151520"</f>
        <v>9781441151520</v>
      </c>
      <c r="E6247" t="s">
        <v>4180</v>
      </c>
      <c r="F6247" t="s">
        <v>4180</v>
      </c>
      <c r="G6247" s="1">
        <v>40906</v>
      </c>
      <c r="H6247" s="1">
        <v>42326</v>
      </c>
      <c r="I6247" t="s">
        <v>12</v>
      </c>
      <c r="J6247" t="s">
        <v>17017</v>
      </c>
    </row>
    <row r="6248" spans="1:10" x14ac:dyDescent="0.25">
      <c r="A6248">
        <v>601474</v>
      </c>
      <c r="B6248" t="s">
        <v>6568</v>
      </c>
      <c r="C6248" t="str">
        <f>"9780567280831"</f>
        <v>9780567280831</v>
      </c>
      <c r="D6248" t="str">
        <f>"9780567465672"</f>
        <v>9780567465672</v>
      </c>
      <c r="E6248" t="s">
        <v>4180</v>
      </c>
      <c r="F6248" t="s">
        <v>6548</v>
      </c>
      <c r="G6248" s="1">
        <v>40899</v>
      </c>
      <c r="H6248" s="1">
        <v>42326</v>
      </c>
      <c r="I6248" t="s">
        <v>12</v>
      </c>
      <c r="J6248" t="s">
        <v>17018</v>
      </c>
    </row>
    <row r="6249" spans="1:10" x14ac:dyDescent="0.25">
      <c r="A6249">
        <v>601482</v>
      </c>
      <c r="B6249" t="s">
        <v>6569</v>
      </c>
      <c r="C6249" t="str">
        <f>"9780826499813"</f>
        <v>9780826499813</v>
      </c>
      <c r="D6249" t="str">
        <f>"9780826432025"</f>
        <v>9780826432025</v>
      </c>
      <c r="E6249" t="s">
        <v>1400</v>
      </c>
      <c r="F6249" t="s">
        <v>1401</v>
      </c>
      <c r="G6249" s="1">
        <v>39966</v>
      </c>
      <c r="H6249" s="1">
        <v>40500</v>
      </c>
      <c r="I6249" t="s">
        <v>12</v>
      </c>
      <c r="J6249" t="s">
        <v>17019</v>
      </c>
    </row>
    <row r="6250" spans="1:10" x14ac:dyDescent="0.25">
      <c r="A6250">
        <v>601491</v>
      </c>
      <c r="B6250" t="s">
        <v>6570</v>
      </c>
      <c r="C6250" t="str">
        <f>"9781441113849"</f>
        <v>9781441113849</v>
      </c>
      <c r="D6250" t="str">
        <f>"9781441108371"</f>
        <v>9781441108371</v>
      </c>
      <c r="E6250" t="s">
        <v>4180</v>
      </c>
      <c r="F6250" t="s">
        <v>4180</v>
      </c>
      <c r="G6250" s="1">
        <v>40283</v>
      </c>
      <c r="H6250" s="1">
        <v>41845</v>
      </c>
      <c r="I6250" t="s">
        <v>12</v>
      </c>
      <c r="J6250" t="s">
        <v>17020</v>
      </c>
    </row>
    <row r="6251" spans="1:10" x14ac:dyDescent="0.25">
      <c r="A6251">
        <v>601497</v>
      </c>
      <c r="B6251" t="s">
        <v>6571</v>
      </c>
      <c r="C6251" t="str">
        <f>"9780826408327"</f>
        <v>9780826408327</v>
      </c>
      <c r="D6251" t="str">
        <f>"9781441173300"</f>
        <v>9781441173300</v>
      </c>
      <c r="E6251" t="s">
        <v>4180</v>
      </c>
      <c r="F6251" t="s">
        <v>4180</v>
      </c>
      <c r="G6251" s="1">
        <v>40029</v>
      </c>
      <c r="H6251" s="1">
        <v>41845</v>
      </c>
      <c r="I6251" t="s">
        <v>12</v>
      </c>
      <c r="J6251" t="s">
        <v>17021</v>
      </c>
    </row>
    <row r="6252" spans="1:10" x14ac:dyDescent="0.25">
      <c r="A6252">
        <v>601498</v>
      </c>
      <c r="B6252" t="s">
        <v>6572</v>
      </c>
      <c r="C6252" t="str">
        <f>"9781441180155"</f>
        <v>9781441180155</v>
      </c>
      <c r="D6252" t="str">
        <f>"9781441160386"</f>
        <v>9781441160386</v>
      </c>
      <c r="E6252" t="s">
        <v>4180</v>
      </c>
      <c r="F6252" t="s">
        <v>4180</v>
      </c>
      <c r="G6252" s="1">
        <v>40332</v>
      </c>
      <c r="H6252" s="1">
        <v>42326</v>
      </c>
      <c r="I6252" t="s">
        <v>12</v>
      </c>
      <c r="J6252" t="s">
        <v>17022</v>
      </c>
    </row>
    <row r="6253" spans="1:10" x14ac:dyDescent="0.25">
      <c r="A6253">
        <v>601502</v>
      </c>
      <c r="B6253" t="s">
        <v>6573</v>
      </c>
      <c r="C6253" t="str">
        <f>"9781441186560"</f>
        <v>9781441186560</v>
      </c>
      <c r="D6253" t="str">
        <f>"9781441187086"</f>
        <v>9781441187086</v>
      </c>
      <c r="E6253" t="s">
        <v>4180</v>
      </c>
      <c r="F6253" t="s">
        <v>4180</v>
      </c>
      <c r="G6253" s="1">
        <v>40316</v>
      </c>
      <c r="H6253" s="1">
        <v>41845</v>
      </c>
      <c r="I6253" t="s">
        <v>12</v>
      </c>
      <c r="J6253" t="s">
        <v>17023</v>
      </c>
    </row>
    <row r="6254" spans="1:10" x14ac:dyDescent="0.25">
      <c r="A6254">
        <v>601512</v>
      </c>
      <c r="B6254" t="s">
        <v>6574</v>
      </c>
      <c r="C6254" t="str">
        <f>"9780826499141"</f>
        <v>9780826499141</v>
      </c>
      <c r="D6254" t="str">
        <f>"9781441113207"</f>
        <v>9781441113207</v>
      </c>
      <c r="E6254" t="s">
        <v>4180</v>
      </c>
      <c r="F6254" t="s">
        <v>4180</v>
      </c>
      <c r="G6254" s="1">
        <v>40241</v>
      </c>
      <c r="H6254" s="1">
        <v>41844</v>
      </c>
      <c r="I6254" t="s">
        <v>12</v>
      </c>
      <c r="J6254" t="s">
        <v>17024</v>
      </c>
    </row>
    <row r="6255" spans="1:10" x14ac:dyDescent="0.25">
      <c r="A6255">
        <v>601516</v>
      </c>
      <c r="B6255" t="s">
        <v>6575</v>
      </c>
      <c r="C6255" t="str">
        <f>"9781441155726"</f>
        <v>9781441155726</v>
      </c>
      <c r="D6255" t="str">
        <f>"9781441187857"</f>
        <v>9781441187857</v>
      </c>
      <c r="E6255" t="s">
        <v>4180</v>
      </c>
      <c r="F6255" t="s">
        <v>4180</v>
      </c>
      <c r="G6255" s="1">
        <v>40303</v>
      </c>
      <c r="H6255" s="1">
        <v>42326</v>
      </c>
      <c r="I6255" t="s">
        <v>12</v>
      </c>
      <c r="J6255" t="s">
        <v>17025</v>
      </c>
    </row>
    <row r="6256" spans="1:10" x14ac:dyDescent="0.25">
      <c r="A6256">
        <v>601519</v>
      </c>
      <c r="B6256" t="s">
        <v>6576</v>
      </c>
      <c r="C6256" t="str">
        <f>"9780826494658"</f>
        <v>9780826494658</v>
      </c>
      <c r="D6256" t="str">
        <f>"9781441151360"</f>
        <v>9781441151360</v>
      </c>
      <c r="E6256" t="s">
        <v>4180</v>
      </c>
      <c r="F6256" t="s">
        <v>4180</v>
      </c>
      <c r="G6256" s="1">
        <v>39948</v>
      </c>
      <c r="H6256" s="1">
        <v>41844</v>
      </c>
      <c r="I6256" t="s">
        <v>12</v>
      </c>
      <c r="J6256" t="s">
        <v>17026</v>
      </c>
    </row>
    <row r="6257" spans="1:10" x14ac:dyDescent="0.25">
      <c r="A6257">
        <v>601522</v>
      </c>
      <c r="B6257" t="s">
        <v>6577</v>
      </c>
      <c r="C6257" t="str">
        <f>"9781847064431"</f>
        <v>9781847064431</v>
      </c>
      <c r="D6257" t="str">
        <f>"9781441195593"</f>
        <v>9781441195593</v>
      </c>
      <c r="E6257" t="s">
        <v>1400</v>
      </c>
      <c r="F6257" t="s">
        <v>6578</v>
      </c>
      <c r="G6257" s="1">
        <v>40346</v>
      </c>
      <c r="H6257" s="1">
        <v>41845</v>
      </c>
      <c r="I6257" t="s">
        <v>12</v>
      </c>
      <c r="J6257" t="s">
        <v>17027</v>
      </c>
    </row>
    <row r="6258" spans="1:10" x14ac:dyDescent="0.25">
      <c r="A6258">
        <v>601532</v>
      </c>
      <c r="B6258" t="s">
        <v>6579</v>
      </c>
      <c r="C6258" t="str">
        <f>"9781855397521"</f>
        <v>9781855397521</v>
      </c>
      <c r="D6258" t="str">
        <f>"9781441118615"</f>
        <v>9781441118615</v>
      </c>
      <c r="E6258" t="s">
        <v>1400</v>
      </c>
      <c r="F6258" t="s">
        <v>6424</v>
      </c>
      <c r="G6258" s="1">
        <v>40332</v>
      </c>
      <c r="H6258" s="1">
        <v>40493</v>
      </c>
      <c r="I6258" t="s">
        <v>12</v>
      </c>
      <c r="J6258" t="s">
        <v>17028</v>
      </c>
    </row>
    <row r="6259" spans="1:10" x14ac:dyDescent="0.25">
      <c r="A6259">
        <v>601533</v>
      </c>
      <c r="B6259" t="s">
        <v>6580</v>
      </c>
      <c r="C6259" t="str">
        <f>"9781847065469"</f>
        <v>9781847065469</v>
      </c>
      <c r="D6259" t="str">
        <f>"9781441105851"</f>
        <v>9781441105851</v>
      </c>
      <c r="E6259" t="s">
        <v>4180</v>
      </c>
      <c r="F6259" t="s">
        <v>4180</v>
      </c>
      <c r="G6259" s="1">
        <v>39995</v>
      </c>
      <c r="H6259" s="1">
        <v>42326</v>
      </c>
      <c r="I6259" t="s">
        <v>12</v>
      </c>
      <c r="J6259" t="s">
        <v>17029</v>
      </c>
    </row>
    <row r="6260" spans="1:10" x14ac:dyDescent="0.25">
      <c r="A6260">
        <v>601534</v>
      </c>
      <c r="B6260" t="s">
        <v>6581</v>
      </c>
      <c r="C6260" t="str">
        <f>"9781855394728"</f>
        <v>9781855394728</v>
      </c>
      <c r="D6260" t="str">
        <f>"9781441158727"</f>
        <v>9781441158727</v>
      </c>
      <c r="E6260" t="s">
        <v>4180</v>
      </c>
      <c r="F6260" t="s">
        <v>4180</v>
      </c>
      <c r="G6260" s="1">
        <v>40339</v>
      </c>
      <c r="H6260" s="1">
        <v>42326</v>
      </c>
      <c r="I6260" t="s">
        <v>12</v>
      </c>
      <c r="J6260" t="s">
        <v>17030</v>
      </c>
    </row>
    <row r="6261" spans="1:10" x14ac:dyDescent="0.25">
      <c r="A6261">
        <v>601542</v>
      </c>
      <c r="B6261" t="s">
        <v>6582</v>
      </c>
      <c r="C6261" t="str">
        <f>"9781847065322"</f>
        <v>9781847065322</v>
      </c>
      <c r="D6261" t="str">
        <f>"9781441197702"</f>
        <v>9781441197702</v>
      </c>
      <c r="E6261" t="s">
        <v>4180</v>
      </c>
      <c r="F6261" t="s">
        <v>4180</v>
      </c>
      <c r="G6261" s="1">
        <v>40066</v>
      </c>
      <c r="H6261" s="1">
        <v>42326</v>
      </c>
      <c r="I6261" t="s">
        <v>12</v>
      </c>
      <c r="J6261" t="s">
        <v>17031</v>
      </c>
    </row>
    <row r="6262" spans="1:10" x14ac:dyDescent="0.25">
      <c r="A6262">
        <v>601547</v>
      </c>
      <c r="B6262" t="s">
        <v>6583</v>
      </c>
      <c r="C6262" t="str">
        <f>"9781855394773"</f>
        <v>9781855394773</v>
      </c>
      <c r="D6262" t="str">
        <f>"9781855396364"</f>
        <v>9781855396364</v>
      </c>
      <c r="E6262" t="s">
        <v>1400</v>
      </c>
      <c r="F6262" t="s">
        <v>6584</v>
      </c>
      <c r="G6262" s="1">
        <v>39948</v>
      </c>
      <c r="H6262" s="1">
        <v>40493</v>
      </c>
      <c r="I6262" t="s">
        <v>12</v>
      </c>
      <c r="J6262" t="s">
        <v>17032</v>
      </c>
    </row>
    <row r="6263" spans="1:10" x14ac:dyDescent="0.25">
      <c r="A6263">
        <v>601552</v>
      </c>
      <c r="B6263" t="s">
        <v>6585</v>
      </c>
      <c r="C6263" t="str">
        <f>"9781847064417"</f>
        <v>9781847064417</v>
      </c>
      <c r="D6263" t="str">
        <f>"9781441159724"</f>
        <v>9781441159724</v>
      </c>
      <c r="E6263" t="s">
        <v>4180</v>
      </c>
      <c r="F6263" t="s">
        <v>4180</v>
      </c>
      <c r="G6263" s="1">
        <v>40304</v>
      </c>
      <c r="H6263" s="1">
        <v>42326</v>
      </c>
      <c r="I6263" t="s">
        <v>12</v>
      </c>
      <c r="J6263" t="s">
        <v>17033</v>
      </c>
    </row>
    <row r="6264" spans="1:10" x14ac:dyDescent="0.25">
      <c r="A6264">
        <v>601579</v>
      </c>
      <c r="B6264" t="s">
        <v>6586</v>
      </c>
      <c r="C6264" t="str">
        <f>"9781847061775"</f>
        <v>9781847061775</v>
      </c>
      <c r="D6264" t="str">
        <f>"9781441167606"</f>
        <v>9781441167606</v>
      </c>
      <c r="E6264" t="s">
        <v>4180</v>
      </c>
      <c r="F6264" t="s">
        <v>4180</v>
      </c>
      <c r="G6264" s="1">
        <v>39937</v>
      </c>
      <c r="H6264" s="1">
        <v>42326</v>
      </c>
      <c r="I6264" t="s">
        <v>12</v>
      </c>
      <c r="J6264" t="s">
        <v>17034</v>
      </c>
    </row>
    <row r="6265" spans="1:10" x14ac:dyDescent="0.25">
      <c r="A6265">
        <v>601581</v>
      </c>
      <c r="B6265" t="s">
        <v>6587</v>
      </c>
      <c r="C6265" t="str">
        <f>"9781441129673"</f>
        <v>9781441129673</v>
      </c>
      <c r="D6265" t="str">
        <f>"9781441182739"</f>
        <v>9781441182739</v>
      </c>
      <c r="E6265" t="s">
        <v>4180</v>
      </c>
      <c r="F6265" t="s">
        <v>4180</v>
      </c>
      <c r="G6265" s="1">
        <v>40233</v>
      </c>
      <c r="H6265" s="1">
        <v>42326</v>
      </c>
      <c r="I6265" t="s">
        <v>12</v>
      </c>
      <c r="J6265" t="s">
        <v>17035</v>
      </c>
    </row>
    <row r="6266" spans="1:10" x14ac:dyDescent="0.25">
      <c r="A6266">
        <v>601590</v>
      </c>
      <c r="B6266" t="s">
        <v>6588</v>
      </c>
      <c r="C6266" t="str">
        <f>"9781472906915"</f>
        <v>9781472906915</v>
      </c>
      <c r="D6266" t="str">
        <f>"9781472912831"</f>
        <v>9781472912831</v>
      </c>
      <c r="E6266" t="s">
        <v>4180</v>
      </c>
      <c r="F6266" t="s">
        <v>4180</v>
      </c>
      <c r="G6266" s="1">
        <v>41907</v>
      </c>
      <c r="H6266" s="1">
        <v>42326</v>
      </c>
      <c r="I6266" t="s">
        <v>12</v>
      </c>
      <c r="J6266" t="s">
        <v>17036</v>
      </c>
    </row>
    <row r="6267" spans="1:10" x14ac:dyDescent="0.25">
      <c r="A6267">
        <v>601592</v>
      </c>
      <c r="B6267" t="s">
        <v>6589</v>
      </c>
      <c r="C6267" t="str">
        <f>"9781441138644"</f>
        <v>9781441138644</v>
      </c>
      <c r="D6267" t="str">
        <f>"9781441127945"</f>
        <v>9781441127945</v>
      </c>
      <c r="E6267" t="s">
        <v>1400</v>
      </c>
      <c r="F6267" t="s">
        <v>1401</v>
      </c>
      <c r="G6267" s="1">
        <v>40332</v>
      </c>
      <c r="H6267" s="1">
        <v>40500</v>
      </c>
      <c r="I6267" t="s">
        <v>12</v>
      </c>
      <c r="J6267" t="s">
        <v>17037</v>
      </c>
    </row>
    <row r="6268" spans="1:10" x14ac:dyDescent="0.25">
      <c r="A6268">
        <v>601605</v>
      </c>
      <c r="B6268" t="s">
        <v>6590</v>
      </c>
      <c r="C6268" t="str">
        <f>"9780826494474"</f>
        <v>9780826494474</v>
      </c>
      <c r="D6268" t="str">
        <f>"9781441133175"</f>
        <v>9781441133175</v>
      </c>
      <c r="E6268" t="s">
        <v>4180</v>
      </c>
      <c r="F6268" t="s">
        <v>4180</v>
      </c>
      <c r="G6268" s="1">
        <v>40012</v>
      </c>
      <c r="H6268" s="1">
        <v>41844</v>
      </c>
      <c r="I6268" t="s">
        <v>12</v>
      </c>
      <c r="J6268" t="s">
        <v>17038</v>
      </c>
    </row>
    <row r="6269" spans="1:10" x14ac:dyDescent="0.25">
      <c r="A6269">
        <v>601609</v>
      </c>
      <c r="B6269" t="s">
        <v>6591</v>
      </c>
      <c r="C6269" t="str">
        <f>"9781408193617"</f>
        <v>9781408193617</v>
      </c>
      <c r="D6269" t="str">
        <f>"9781441184092"</f>
        <v>9781441184092</v>
      </c>
      <c r="E6269" t="s">
        <v>4180</v>
      </c>
      <c r="F6269" t="s">
        <v>4180</v>
      </c>
      <c r="G6269" s="1">
        <v>41485</v>
      </c>
      <c r="H6269" s="1">
        <v>42326</v>
      </c>
      <c r="I6269" t="s">
        <v>12</v>
      </c>
      <c r="J6269" t="s">
        <v>17039</v>
      </c>
    </row>
    <row r="6270" spans="1:10" x14ac:dyDescent="0.25">
      <c r="A6270">
        <v>601631</v>
      </c>
      <c r="B6270" t="s">
        <v>6592</v>
      </c>
      <c r="C6270" t="str">
        <f>"9781441181336"</f>
        <v>9781441181336</v>
      </c>
      <c r="D6270" t="str">
        <f>"9780826440341"</f>
        <v>9780826440341</v>
      </c>
      <c r="E6270" t="s">
        <v>4180</v>
      </c>
      <c r="F6270" t="s">
        <v>4180</v>
      </c>
      <c r="G6270" s="1">
        <v>41046</v>
      </c>
      <c r="H6270" s="1">
        <v>41844</v>
      </c>
      <c r="I6270" t="s">
        <v>12</v>
      </c>
      <c r="J6270" t="s">
        <v>17040</v>
      </c>
    </row>
    <row r="6271" spans="1:10" x14ac:dyDescent="0.25">
      <c r="A6271">
        <v>601661</v>
      </c>
      <c r="B6271" t="s">
        <v>6593</v>
      </c>
      <c r="C6271" t="str">
        <f>"9781847061935"</f>
        <v>9781847061935</v>
      </c>
      <c r="D6271" t="str">
        <f>"9781441118479"</f>
        <v>9781441118479</v>
      </c>
      <c r="E6271" t="s">
        <v>4180</v>
      </c>
      <c r="F6271" t="s">
        <v>4180</v>
      </c>
      <c r="G6271" s="1">
        <v>39921</v>
      </c>
      <c r="H6271" s="1">
        <v>42326</v>
      </c>
      <c r="I6271" t="s">
        <v>12</v>
      </c>
      <c r="J6271" t="s">
        <v>17041</v>
      </c>
    </row>
    <row r="6272" spans="1:10" x14ac:dyDescent="0.25">
      <c r="A6272">
        <v>601664</v>
      </c>
      <c r="B6272" t="s">
        <v>6594</v>
      </c>
      <c r="C6272" t="str">
        <f>"9781847063830"</f>
        <v>9781847063830</v>
      </c>
      <c r="D6272" t="str">
        <f>"9781441181800"</f>
        <v>9781441181800</v>
      </c>
      <c r="E6272" t="s">
        <v>4180</v>
      </c>
      <c r="F6272" t="s">
        <v>4180</v>
      </c>
      <c r="G6272" s="1">
        <v>40318</v>
      </c>
      <c r="H6272" s="1">
        <v>42326</v>
      </c>
      <c r="I6272" t="s">
        <v>12</v>
      </c>
      <c r="J6272" t="s">
        <v>17042</v>
      </c>
    </row>
    <row r="6273" spans="1:10" x14ac:dyDescent="0.25">
      <c r="A6273">
        <v>601667</v>
      </c>
      <c r="B6273" t="s">
        <v>6595</v>
      </c>
      <c r="C6273" t="str">
        <f>"9780826443083"</f>
        <v>9780826443083</v>
      </c>
      <c r="D6273" t="str">
        <f>"9781441122254"</f>
        <v>9781441122254</v>
      </c>
      <c r="E6273" t="s">
        <v>4180</v>
      </c>
      <c r="F6273" t="s">
        <v>4180</v>
      </c>
      <c r="G6273" s="1">
        <v>39852</v>
      </c>
      <c r="H6273" s="1">
        <v>42326</v>
      </c>
      <c r="I6273" t="s">
        <v>12</v>
      </c>
      <c r="J6273" t="s">
        <v>17043</v>
      </c>
    </row>
    <row r="6274" spans="1:10" x14ac:dyDescent="0.25">
      <c r="A6274">
        <v>601671</v>
      </c>
      <c r="B6274" t="s">
        <v>6596</v>
      </c>
      <c r="C6274" t="str">
        <f>"9781441149923"</f>
        <v>9781441149923</v>
      </c>
      <c r="D6274" t="str">
        <f>"9781441160409"</f>
        <v>9781441160409</v>
      </c>
      <c r="E6274" t="s">
        <v>4180</v>
      </c>
      <c r="F6274" t="s">
        <v>4180</v>
      </c>
      <c r="G6274" s="1">
        <v>40906</v>
      </c>
      <c r="H6274" s="1">
        <v>42326</v>
      </c>
      <c r="I6274" t="s">
        <v>12</v>
      </c>
      <c r="J6274" t="s">
        <v>17044</v>
      </c>
    </row>
    <row r="6275" spans="1:10" x14ac:dyDescent="0.25">
      <c r="A6275">
        <v>601675</v>
      </c>
      <c r="B6275" t="s">
        <v>6597</v>
      </c>
      <c r="C6275" t="str">
        <f>"9781847060723"</f>
        <v>9781847060723</v>
      </c>
      <c r="D6275" t="str">
        <f>"9781441172785"</f>
        <v>9781441172785</v>
      </c>
      <c r="E6275" t="s">
        <v>4180</v>
      </c>
      <c r="F6275" t="s">
        <v>4180</v>
      </c>
      <c r="G6275" s="1">
        <v>39974</v>
      </c>
      <c r="H6275" s="1">
        <v>42326</v>
      </c>
      <c r="I6275" t="s">
        <v>12</v>
      </c>
      <c r="J6275" t="s">
        <v>17045</v>
      </c>
    </row>
    <row r="6276" spans="1:10" x14ac:dyDescent="0.25">
      <c r="A6276">
        <v>601683</v>
      </c>
      <c r="B6276" t="s">
        <v>6598</v>
      </c>
      <c r="C6276" t="str">
        <f>"9780826432582"</f>
        <v>9780826432582</v>
      </c>
      <c r="D6276" t="str">
        <f>"9781441111319"</f>
        <v>9781441111319</v>
      </c>
      <c r="E6276" t="s">
        <v>1400</v>
      </c>
      <c r="F6276" t="s">
        <v>6424</v>
      </c>
      <c r="G6276" s="1">
        <v>40269</v>
      </c>
      <c r="H6276" s="1">
        <v>40493</v>
      </c>
      <c r="I6276" t="s">
        <v>12</v>
      </c>
      <c r="J6276" t="s">
        <v>17046</v>
      </c>
    </row>
    <row r="6277" spans="1:10" x14ac:dyDescent="0.25">
      <c r="A6277">
        <v>601699</v>
      </c>
      <c r="B6277" t="s">
        <v>6599</v>
      </c>
      <c r="C6277" t="str">
        <f>"9781847064714"</f>
        <v>9781847064714</v>
      </c>
      <c r="D6277" t="str">
        <f>"9781441189189"</f>
        <v>9781441189189</v>
      </c>
      <c r="E6277" t="s">
        <v>1400</v>
      </c>
      <c r="F6277" t="s">
        <v>1401</v>
      </c>
      <c r="G6277" s="1">
        <v>39829</v>
      </c>
      <c r="H6277" s="1">
        <v>40500</v>
      </c>
      <c r="I6277" t="s">
        <v>12</v>
      </c>
      <c r="J6277" t="s">
        <v>17047</v>
      </c>
    </row>
    <row r="6278" spans="1:10" x14ac:dyDescent="0.25">
      <c r="A6278">
        <v>601717</v>
      </c>
      <c r="B6278" t="s">
        <v>6600</v>
      </c>
      <c r="C6278" t="str">
        <f>"9780567196446"</f>
        <v>9780567196446</v>
      </c>
      <c r="D6278" t="str">
        <f>"9780567425744"</f>
        <v>9780567425744</v>
      </c>
      <c r="E6278" t="s">
        <v>6601</v>
      </c>
      <c r="F6278" t="s">
        <v>6548</v>
      </c>
      <c r="G6278" s="1">
        <v>40275</v>
      </c>
      <c r="H6278" s="1">
        <v>41845</v>
      </c>
      <c r="I6278" t="s">
        <v>12</v>
      </c>
      <c r="J6278" t="s">
        <v>17048</v>
      </c>
    </row>
    <row r="6279" spans="1:10" x14ac:dyDescent="0.25">
      <c r="A6279">
        <v>601725</v>
      </c>
      <c r="B6279" t="s">
        <v>6602</v>
      </c>
      <c r="C6279" t="str">
        <f>"9780826495655"</f>
        <v>9780826495655</v>
      </c>
      <c r="D6279" t="str">
        <f>"9781441150240"</f>
        <v>9781441150240</v>
      </c>
      <c r="E6279" t="s">
        <v>1400</v>
      </c>
      <c r="F6279" t="s">
        <v>1401</v>
      </c>
      <c r="G6279" s="1">
        <v>39864</v>
      </c>
      <c r="H6279" s="1">
        <v>40500</v>
      </c>
      <c r="I6279" t="s">
        <v>12</v>
      </c>
      <c r="J6279" t="s">
        <v>17049</v>
      </c>
    </row>
    <row r="6280" spans="1:10" x14ac:dyDescent="0.25">
      <c r="A6280">
        <v>601746</v>
      </c>
      <c r="B6280" t="s">
        <v>6603</v>
      </c>
      <c r="C6280" t="str">
        <f>"9781855394650"</f>
        <v>9781855394650</v>
      </c>
      <c r="D6280" t="str">
        <f>"9781855393929"</f>
        <v>9781855393929</v>
      </c>
      <c r="E6280" t="s">
        <v>4180</v>
      </c>
      <c r="F6280" t="s">
        <v>6604</v>
      </c>
      <c r="G6280" s="1">
        <v>39929</v>
      </c>
      <c r="H6280" s="1">
        <v>42326</v>
      </c>
      <c r="I6280" t="s">
        <v>12</v>
      </c>
      <c r="J6280" t="s">
        <v>17050</v>
      </c>
    </row>
    <row r="6281" spans="1:10" x14ac:dyDescent="0.25">
      <c r="A6281">
        <v>601786</v>
      </c>
      <c r="B6281" t="s">
        <v>6605</v>
      </c>
      <c r="C6281" t="str">
        <f>"9780826498038"</f>
        <v>9780826498038</v>
      </c>
      <c r="D6281" t="str">
        <f>"9781441192042"</f>
        <v>9781441192042</v>
      </c>
      <c r="E6281" t="s">
        <v>4180</v>
      </c>
      <c r="F6281" t="s">
        <v>4180</v>
      </c>
      <c r="G6281" s="1">
        <v>39873</v>
      </c>
      <c r="H6281" s="1">
        <v>41845</v>
      </c>
      <c r="I6281" t="s">
        <v>12</v>
      </c>
      <c r="J6281" t="s">
        <v>17051</v>
      </c>
    </row>
    <row r="6282" spans="1:10" x14ac:dyDescent="0.25">
      <c r="A6282">
        <v>601795</v>
      </c>
      <c r="B6282" t="s">
        <v>6606</v>
      </c>
      <c r="C6282" t="str">
        <f>"9780567130372"</f>
        <v>9780567130372</v>
      </c>
      <c r="D6282" t="str">
        <f>"9780567469120"</f>
        <v>9780567469120</v>
      </c>
      <c r="E6282" t="s">
        <v>4180</v>
      </c>
      <c r="F6282" t="s">
        <v>6548</v>
      </c>
      <c r="G6282" s="1">
        <v>40258</v>
      </c>
      <c r="H6282" s="1">
        <v>42348</v>
      </c>
      <c r="I6282" t="s">
        <v>12</v>
      </c>
      <c r="J6282" t="s">
        <v>17052</v>
      </c>
    </row>
    <row r="6283" spans="1:10" x14ac:dyDescent="0.25">
      <c r="A6283">
        <v>601817</v>
      </c>
      <c r="B6283" t="s">
        <v>6607</v>
      </c>
      <c r="C6283" t="str">
        <f>"9781441102805"</f>
        <v>9781441102805</v>
      </c>
      <c r="D6283" t="str">
        <f>"9781441130716"</f>
        <v>9781441130716</v>
      </c>
      <c r="E6283" t="s">
        <v>1400</v>
      </c>
      <c r="F6283" t="s">
        <v>6424</v>
      </c>
      <c r="G6283" s="1">
        <v>40234</v>
      </c>
      <c r="H6283" s="1">
        <v>40493</v>
      </c>
      <c r="I6283" t="s">
        <v>12</v>
      </c>
      <c r="J6283" t="s">
        <v>17053</v>
      </c>
    </row>
    <row r="6284" spans="1:10" x14ac:dyDescent="0.25">
      <c r="A6284">
        <v>601824</v>
      </c>
      <c r="B6284" t="s">
        <v>6608</v>
      </c>
      <c r="C6284" t="str">
        <f>"9781441157249"</f>
        <v>9781441157249</v>
      </c>
      <c r="D6284" t="str">
        <f>"9781441177254"</f>
        <v>9781441177254</v>
      </c>
      <c r="E6284" t="s">
        <v>6601</v>
      </c>
      <c r="F6284" t="s">
        <v>6578</v>
      </c>
      <c r="G6284" s="1">
        <v>40269</v>
      </c>
      <c r="H6284" s="1">
        <v>41841</v>
      </c>
      <c r="I6284" t="s">
        <v>12</v>
      </c>
      <c r="J6284" t="s">
        <v>17054</v>
      </c>
    </row>
    <row r="6285" spans="1:10" x14ac:dyDescent="0.25">
      <c r="A6285">
        <v>601831</v>
      </c>
      <c r="B6285" t="s">
        <v>6609</v>
      </c>
      <c r="C6285" t="str">
        <f>"9780826438775"</f>
        <v>9780826438775</v>
      </c>
      <c r="D6285" t="str">
        <f>"9781441152466"</f>
        <v>9781441152466</v>
      </c>
      <c r="E6285" t="s">
        <v>4180</v>
      </c>
      <c r="F6285" t="s">
        <v>4180</v>
      </c>
      <c r="G6285" s="1">
        <v>40157</v>
      </c>
      <c r="H6285" s="1">
        <v>42326</v>
      </c>
      <c r="I6285" t="s">
        <v>12</v>
      </c>
      <c r="J6285" t="s">
        <v>17055</v>
      </c>
    </row>
    <row r="6286" spans="1:10" x14ac:dyDescent="0.25">
      <c r="A6286">
        <v>601834</v>
      </c>
      <c r="B6286" t="s">
        <v>6610</v>
      </c>
      <c r="C6286" t="str">
        <f>"9780826435439"</f>
        <v>9780826435439</v>
      </c>
      <c r="D6286" t="str">
        <f>"9781441179005"</f>
        <v>9781441179005</v>
      </c>
      <c r="E6286" t="s">
        <v>4180</v>
      </c>
      <c r="F6286" t="s">
        <v>4180</v>
      </c>
      <c r="G6286" s="1">
        <v>40208</v>
      </c>
      <c r="H6286" s="1">
        <v>42073</v>
      </c>
      <c r="I6286" t="s">
        <v>12</v>
      </c>
      <c r="J6286" t="s">
        <v>17056</v>
      </c>
    </row>
    <row r="6287" spans="1:10" x14ac:dyDescent="0.25">
      <c r="A6287">
        <v>601855</v>
      </c>
      <c r="B6287" t="s">
        <v>6611</v>
      </c>
      <c r="C6287" t="str">
        <f>"9781847063489"</f>
        <v>9781847063489</v>
      </c>
      <c r="D6287" t="str">
        <f>"9781441176004"</f>
        <v>9781441176004</v>
      </c>
      <c r="E6287" t="s">
        <v>4180</v>
      </c>
      <c r="F6287" t="s">
        <v>4180</v>
      </c>
      <c r="G6287" s="1">
        <v>40311</v>
      </c>
      <c r="H6287" s="1">
        <v>42326</v>
      </c>
      <c r="I6287" t="s">
        <v>12</v>
      </c>
      <c r="J6287" t="s">
        <v>17057</v>
      </c>
    </row>
    <row r="6288" spans="1:10" x14ac:dyDescent="0.25">
      <c r="A6288">
        <v>601904</v>
      </c>
      <c r="B6288" t="s">
        <v>6612</v>
      </c>
      <c r="C6288" t="str">
        <f>"9780826498243"</f>
        <v>9780826498243</v>
      </c>
      <c r="D6288" t="str">
        <f>"9781441108715"</f>
        <v>9781441108715</v>
      </c>
      <c r="E6288" t="s">
        <v>4180</v>
      </c>
      <c r="F6288" t="s">
        <v>4180</v>
      </c>
      <c r="G6288" s="1">
        <v>39972</v>
      </c>
      <c r="H6288" s="1">
        <v>41844</v>
      </c>
      <c r="I6288" t="s">
        <v>12</v>
      </c>
      <c r="J6288" t="s">
        <v>17058</v>
      </c>
    </row>
    <row r="6289" spans="1:10" x14ac:dyDescent="0.25">
      <c r="A6289">
        <v>601907</v>
      </c>
      <c r="B6289" t="s">
        <v>6613</v>
      </c>
      <c r="C6289" t="str">
        <f>"9781441139535"</f>
        <v>9781441139535</v>
      </c>
      <c r="D6289" t="str">
        <f>"9781441135117"</f>
        <v>9781441135117</v>
      </c>
      <c r="E6289" t="s">
        <v>4180</v>
      </c>
      <c r="F6289" t="s">
        <v>4180</v>
      </c>
      <c r="G6289" s="1">
        <v>40438</v>
      </c>
      <c r="H6289" s="1">
        <v>42326</v>
      </c>
      <c r="I6289" t="s">
        <v>12</v>
      </c>
      <c r="J6289" t="s">
        <v>17059</v>
      </c>
    </row>
    <row r="6290" spans="1:10" x14ac:dyDescent="0.25">
      <c r="A6290">
        <v>601912</v>
      </c>
      <c r="B6290" t="s">
        <v>6614</v>
      </c>
      <c r="C6290" t="str">
        <f>"9781441117892"</f>
        <v>9781441117892</v>
      </c>
      <c r="D6290" t="str">
        <f>"9781441156563"</f>
        <v>9781441156563</v>
      </c>
      <c r="E6290" t="s">
        <v>4180</v>
      </c>
      <c r="F6290" t="s">
        <v>4180</v>
      </c>
      <c r="G6290" s="1">
        <v>40913</v>
      </c>
      <c r="H6290" s="1">
        <v>42326</v>
      </c>
      <c r="I6290" t="s">
        <v>12</v>
      </c>
      <c r="J6290" t="s">
        <v>17060</v>
      </c>
    </row>
    <row r="6291" spans="1:10" x14ac:dyDescent="0.25">
      <c r="A6291">
        <v>601914</v>
      </c>
      <c r="B6291" t="s">
        <v>6615</v>
      </c>
      <c r="C6291" t="str">
        <f>"9780826423863"</f>
        <v>9780826423863</v>
      </c>
      <c r="D6291" t="str">
        <f>"9781441165633"</f>
        <v>9781441165633</v>
      </c>
      <c r="E6291" t="s">
        <v>1400</v>
      </c>
      <c r="F6291" t="s">
        <v>6424</v>
      </c>
      <c r="G6291" s="1">
        <v>40057</v>
      </c>
      <c r="H6291" s="1">
        <v>40493</v>
      </c>
      <c r="I6291" t="s">
        <v>12</v>
      </c>
      <c r="J6291" t="s">
        <v>17061</v>
      </c>
    </row>
    <row r="6292" spans="1:10" x14ac:dyDescent="0.25">
      <c r="A6292">
        <v>601919</v>
      </c>
      <c r="B6292" t="s">
        <v>6616</v>
      </c>
      <c r="C6292" t="str">
        <f>"9780826498205"</f>
        <v>9780826498205</v>
      </c>
      <c r="D6292" t="str">
        <f>"9781441101433"</f>
        <v>9781441101433</v>
      </c>
      <c r="E6292" t="s">
        <v>4180</v>
      </c>
      <c r="F6292" t="s">
        <v>4180</v>
      </c>
      <c r="G6292" s="1">
        <v>39854</v>
      </c>
      <c r="H6292" s="1">
        <v>41844</v>
      </c>
      <c r="I6292" t="s">
        <v>12</v>
      </c>
      <c r="J6292" t="s">
        <v>17062</v>
      </c>
    </row>
    <row r="6293" spans="1:10" x14ac:dyDescent="0.25">
      <c r="A6293">
        <v>601923</v>
      </c>
      <c r="B6293" t="s">
        <v>6617</v>
      </c>
      <c r="C6293" t="str">
        <f>"9780826436009"</f>
        <v>9780826436009</v>
      </c>
      <c r="D6293" t="str">
        <f>"9781441117991"</f>
        <v>9781441117991</v>
      </c>
      <c r="E6293" t="s">
        <v>6601</v>
      </c>
      <c r="F6293" t="s">
        <v>6578</v>
      </c>
      <c r="G6293" s="1">
        <v>40143</v>
      </c>
      <c r="H6293" s="1">
        <v>41845</v>
      </c>
      <c r="I6293" t="s">
        <v>12</v>
      </c>
      <c r="J6293" t="s">
        <v>17063</v>
      </c>
    </row>
    <row r="6294" spans="1:10" x14ac:dyDescent="0.25">
      <c r="A6294">
        <v>601937</v>
      </c>
      <c r="B6294" t="s">
        <v>6618</v>
      </c>
      <c r="C6294" t="str">
        <f>"9781441159021"</f>
        <v>9781441159021</v>
      </c>
      <c r="D6294" t="str">
        <f>"9781441119575"</f>
        <v>9781441119575</v>
      </c>
      <c r="E6294" t="s">
        <v>4180</v>
      </c>
      <c r="F6294" t="s">
        <v>4180</v>
      </c>
      <c r="G6294" s="1">
        <v>40899</v>
      </c>
      <c r="H6294" s="1">
        <v>42326</v>
      </c>
      <c r="I6294" t="s">
        <v>12</v>
      </c>
      <c r="J6294" t="s">
        <v>17064</v>
      </c>
    </row>
    <row r="6295" spans="1:10" x14ac:dyDescent="0.25">
      <c r="A6295">
        <v>601942</v>
      </c>
      <c r="B6295" t="s">
        <v>6619</v>
      </c>
      <c r="C6295" t="str">
        <f>"9781847063571"</f>
        <v>9781847063571</v>
      </c>
      <c r="D6295" t="str">
        <f>"9781441170729"</f>
        <v>9781441170729</v>
      </c>
      <c r="E6295" t="s">
        <v>4180</v>
      </c>
      <c r="F6295" t="s">
        <v>4180</v>
      </c>
      <c r="G6295" s="1">
        <v>40302</v>
      </c>
      <c r="H6295" s="1">
        <v>42326</v>
      </c>
      <c r="I6295" t="s">
        <v>12</v>
      </c>
      <c r="J6295" t="s">
        <v>17065</v>
      </c>
    </row>
    <row r="6296" spans="1:10" x14ac:dyDescent="0.25">
      <c r="A6296">
        <v>601981</v>
      </c>
      <c r="B6296" t="s">
        <v>6620</v>
      </c>
      <c r="C6296" t="str">
        <f>"9781847063823"</f>
        <v>9781847063823</v>
      </c>
      <c r="D6296" t="str">
        <f>"9781441143396"</f>
        <v>9781441143396</v>
      </c>
      <c r="E6296" t="s">
        <v>4180</v>
      </c>
      <c r="F6296" t="s">
        <v>4180</v>
      </c>
      <c r="G6296" s="1">
        <v>39792</v>
      </c>
      <c r="H6296" s="1">
        <v>42326</v>
      </c>
      <c r="I6296" t="s">
        <v>12</v>
      </c>
      <c r="J6296" t="s">
        <v>17066</v>
      </c>
    </row>
    <row r="6297" spans="1:10" x14ac:dyDescent="0.25">
      <c r="A6297">
        <v>602007</v>
      </c>
      <c r="B6297" t="s">
        <v>6621</v>
      </c>
      <c r="C6297" t="str">
        <f>"9780826487261"</f>
        <v>9780826487261</v>
      </c>
      <c r="D6297" t="str">
        <f>"9781441192707"</f>
        <v>9781441192707</v>
      </c>
      <c r="E6297" t="s">
        <v>4180</v>
      </c>
      <c r="F6297" t="s">
        <v>4180</v>
      </c>
      <c r="G6297" s="1">
        <v>39965</v>
      </c>
      <c r="H6297" s="1">
        <v>42326</v>
      </c>
      <c r="I6297" t="s">
        <v>12</v>
      </c>
      <c r="J6297" t="s">
        <v>17067</v>
      </c>
    </row>
    <row r="6298" spans="1:10" x14ac:dyDescent="0.25">
      <c r="A6298">
        <v>602011</v>
      </c>
      <c r="B6298" t="s">
        <v>6622</v>
      </c>
      <c r="C6298" t="str">
        <f>"9781441141347"</f>
        <v>9781441141347</v>
      </c>
      <c r="D6298" t="str">
        <f>"9781441190802"</f>
        <v>9781441190802</v>
      </c>
      <c r="E6298" t="s">
        <v>4180</v>
      </c>
      <c r="F6298" t="s">
        <v>4180</v>
      </c>
      <c r="G6298" s="1">
        <v>40409</v>
      </c>
      <c r="H6298" s="1">
        <v>42326</v>
      </c>
      <c r="I6298" t="s">
        <v>12</v>
      </c>
      <c r="J6298" t="s">
        <v>17068</v>
      </c>
    </row>
    <row r="6299" spans="1:10" x14ac:dyDescent="0.25">
      <c r="A6299">
        <v>602012</v>
      </c>
      <c r="B6299" t="s">
        <v>6623</v>
      </c>
      <c r="C6299" t="str">
        <f>"9781855396586"</f>
        <v>9781855396586</v>
      </c>
      <c r="D6299" t="str">
        <f>"9781441174277"</f>
        <v>9781441174277</v>
      </c>
      <c r="E6299" t="s">
        <v>4180</v>
      </c>
      <c r="F6299" t="s">
        <v>4180</v>
      </c>
      <c r="G6299" s="1">
        <v>40023</v>
      </c>
      <c r="H6299" s="1">
        <v>42326</v>
      </c>
      <c r="I6299" t="s">
        <v>12</v>
      </c>
      <c r="J6299" t="s">
        <v>17069</v>
      </c>
    </row>
    <row r="6300" spans="1:10" x14ac:dyDescent="0.25">
      <c r="A6300">
        <v>603497</v>
      </c>
      <c r="B6300" t="s">
        <v>6624</v>
      </c>
      <c r="C6300" t="str">
        <f>"9781588291653"</f>
        <v>9781588291653</v>
      </c>
      <c r="D6300" t="str">
        <f>"9781592598205"</f>
        <v>9781592598205</v>
      </c>
      <c r="E6300" t="s">
        <v>4780</v>
      </c>
      <c r="F6300" t="s">
        <v>4780</v>
      </c>
      <c r="G6300" s="1">
        <v>38422</v>
      </c>
      <c r="H6300" s="1">
        <v>40736</v>
      </c>
      <c r="I6300" t="s">
        <v>12</v>
      </c>
      <c r="J6300" t="s">
        <v>17070</v>
      </c>
    </row>
    <row r="6301" spans="1:10" x14ac:dyDescent="0.25">
      <c r="A6301">
        <v>605161</v>
      </c>
      <c r="B6301" t="s">
        <v>6625</v>
      </c>
      <c r="C6301" t="str">
        <f>"9781555814250"</f>
        <v>9781555814250</v>
      </c>
      <c r="D6301" t="str">
        <f>"9781555815974"</f>
        <v>9781555815974</v>
      </c>
      <c r="E6301" t="s">
        <v>6141</v>
      </c>
      <c r="F6301" t="s">
        <v>6141</v>
      </c>
      <c r="G6301" s="1">
        <v>39814</v>
      </c>
      <c r="H6301" s="1">
        <v>41521</v>
      </c>
      <c r="I6301" t="s">
        <v>12</v>
      </c>
      <c r="J6301" t="s">
        <v>17071</v>
      </c>
    </row>
    <row r="6302" spans="1:10" x14ac:dyDescent="0.25">
      <c r="A6302">
        <v>605162</v>
      </c>
      <c r="B6302" t="s">
        <v>6626</v>
      </c>
      <c r="C6302" t="str">
        <f>"9781555814984"</f>
        <v>9781555814984</v>
      </c>
      <c r="D6302" t="str">
        <f>"9781555816124"</f>
        <v>9781555816124</v>
      </c>
      <c r="E6302" t="s">
        <v>6141</v>
      </c>
      <c r="F6302" t="s">
        <v>6141</v>
      </c>
      <c r="G6302" s="1">
        <v>40179</v>
      </c>
      <c r="H6302" s="1">
        <v>40508</v>
      </c>
      <c r="I6302" t="s">
        <v>12</v>
      </c>
      <c r="J6302" t="s">
        <v>17072</v>
      </c>
    </row>
    <row r="6303" spans="1:10" x14ac:dyDescent="0.25">
      <c r="A6303">
        <v>605167</v>
      </c>
      <c r="B6303" t="s">
        <v>6627</v>
      </c>
      <c r="C6303" t="str">
        <f>"9781555814731"</f>
        <v>9781555814731</v>
      </c>
      <c r="D6303" t="str">
        <f>"9781555816636"</f>
        <v>9781555816636</v>
      </c>
      <c r="E6303" t="s">
        <v>6141</v>
      </c>
      <c r="F6303" t="s">
        <v>6141</v>
      </c>
      <c r="G6303" s="1">
        <v>40179</v>
      </c>
      <c r="H6303" s="1">
        <v>41521</v>
      </c>
      <c r="I6303" t="s">
        <v>12</v>
      </c>
      <c r="J6303" t="s">
        <v>17073</v>
      </c>
    </row>
    <row r="6304" spans="1:10" x14ac:dyDescent="0.25">
      <c r="A6304">
        <v>605169</v>
      </c>
      <c r="B6304" t="s">
        <v>6628</v>
      </c>
      <c r="C6304" t="str">
        <f>"9781555815028"</f>
        <v>9781555815028</v>
      </c>
      <c r="D6304" t="str">
        <f>"9781555816629"</f>
        <v>9781555816629</v>
      </c>
      <c r="E6304" t="s">
        <v>6141</v>
      </c>
      <c r="F6304" t="s">
        <v>6141</v>
      </c>
      <c r="G6304" s="1">
        <v>40179</v>
      </c>
      <c r="H6304" s="1">
        <v>41521</v>
      </c>
      <c r="I6304" t="s">
        <v>12</v>
      </c>
      <c r="J6304" t="s">
        <v>17074</v>
      </c>
    </row>
    <row r="6305" spans="1:10" x14ac:dyDescent="0.25">
      <c r="A6305">
        <v>605170</v>
      </c>
      <c r="B6305" t="s">
        <v>6629</v>
      </c>
      <c r="C6305" t="str">
        <f>"9781555813963"</f>
        <v>9781555813963</v>
      </c>
      <c r="D6305" t="str">
        <f>"9781555816117"</f>
        <v>9781555816117</v>
      </c>
      <c r="E6305" t="s">
        <v>6141</v>
      </c>
      <c r="F6305" t="s">
        <v>6141</v>
      </c>
      <c r="G6305" s="1">
        <v>39448</v>
      </c>
      <c r="H6305" s="1">
        <v>41521</v>
      </c>
      <c r="I6305" t="s">
        <v>12</v>
      </c>
      <c r="J6305" t="s">
        <v>17075</v>
      </c>
    </row>
    <row r="6306" spans="1:10" x14ac:dyDescent="0.25">
      <c r="A6306">
        <v>605178</v>
      </c>
      <c r="B6306" t="s">
        <v>6630</v>
      </c>
      <c r="C6306" t="str">
        <f>"9781555814533"</f>
        <v>9781555814533</v>
      </c>
      <c r="D6306" t="str">
        <f>"9781555816001"</f>
        <v>9781555816001</v>
      </c>
      <c r="E6306" t="s">
        <v>6141</v>
      </c>
      <c r="F6306" t="s">
        <v>6141</v>
      </c>
      <c r="G6306" s="1">
        <v>40179</v>
      </c>
      <c r="H6306" s="1">
        <v>40508</v>
      </c>
      <c r="I6306" t="s">
        <v>12</v>
      </c>
      <c r="J6306" t="s">
        <v>17076</v>
      </c>
    </row>
    <row r="6307" spans="1:10" x14ac:dyDescent="0.25">
      <c r="A6307">
        <v>605277</v>
      </c>
      <c r="B6307" t="s">
        <v>6631</v>
      </c>
      <c r="C6307" t="str">
        <f>"9781933864891"</f>
        <v>9781933864891</v>
      </c>
      <c r="D6307" t="str">
        <f>"9781935281801"</f>
        <v>9781935281801</v>
      </c>
      <c r="E6307" t="s">
        <v>5872</v>
      </c>
      <c r="F6307" t="s">
        <v>5675</v>
      </c>
      <c r="G6307" s="1">
        <v>40245</v>
      </c>
      <c r="H6307" s="1">
        <v>40513</v>
      </c>
      <c r="I6307" t="s">
        <v>12</v>
      </c>
      <c r="J6307" t="s">
        <v>17077</v>
      </c>
    </row>
    <row r="6308" spans="1:10" x14ac:dyDescent="0.25">
      <c r="A6308">
        <v>605306</v>
      </c>
      <c r="B6308" t="s">
        <v>6632</v>
      </c>
      <c r="C6308" t="str">
        <f>"9789042027497"</f>
        <v>9789042027497</v>
      </c>
      <c r="D6308" t="str">
        <f>"9789042027503"</f>
        <v>9789042027503</v>
      </c>
      <c r="E6308" t="s">
        <v>1447</v>
      </c>
      <c r="F6308" t="s">
        <v>6409</v>
      </c>
      <c r="G6308" s="1">
        <v>39814</v>
      </c>
      <c r="H6308" s="1">
        <v>40523</v>
      </c>
      <c r="I6308" t="s">
        <v>12</v>
      </c>
      <c r="J6308" t="s">
        <v>17078</v>
      </c>
    </row>
    <row r="6309" spans="1:10" x14ac:dyDescent="0.25">
      <c r="A6309">
        <v>606038</v>
      </c>
      <c r="B6309" t="s">
        <v>6633</v>
      </c>
      <c r="C6309" t="str">
        <f>"9781615303038"</f>
        <v>9781615303038</v>
      </c>
      <c r="D6309" t="str">
        <f>"9781615303885"</f>
        <v>9781615303885</v>
      </c>
      <c r="E6309" t="s">
        <v>6117</v>
      </c>
      <c r="F6309" t="s">
        <v>6118</v>
      </c>
      <c r="G6309" s="1">
        <v>40452</v>
      </c>
      <c r="H6309" s="1">
        <v>40510</v>
      </c>
      <c r="I6309" t="s">
        <v>12</v>
      </c>
      <c r="J6309" t="s">
        <v>17079</v>
      </c>
    </row>
    <row r="6310" spans="1:10" x14ac:dyDescent="0.25">
      <c r="A6310">
        <v>616042</v>
      </c>
      <c r="B6310" t="s">
        <v>6634</v>
      </c>
      <c r="C6310" t="str">
        <f>"9780226365527"</f>
        <v>9780226365527</v>
      </c>
      <c r="D6310" t="str">
        <f>"9780226365541"</f>
        <v>9780226365541</v>
      </c>
      <c r="E6310" t="s">
        <v>5187</v>
      </c>
      <c r="F6310" t="s">
        <v>5187</v>
      </c>
      <c r="G6310" s="1">
        <v>39080</v>
      </c>
      <c r="H6310" s="1">
        <v>40522</v>
      </c>
      <c r="I6310" t="s">
        <v>12</v>
      </c>
      <c r="J6310" t="s">
        <v>17080</v>
      </c>
    </row>
    <row r="6311" spans="1:10" x14ac:dyDescent="0.25">
      <c r="A6311">
        <v>616055</v>
      </c>
      <c r="B6311" t="s">
        <v>6635</v>
      </c>
      <c r="C6311" t="str">
        <f>"9780226793719"</f>
        <v>9780226793719</v>
      </c>
      <c r="D6311" t="str">
        <f>"9780226793733"</f>
        <v>9780226793733</v>
      </c>
      <c r="E6311" t="s">
        <v>5187</v>
      </c>
      <c r="F6311" t="s">
        <v>5187</v>
      </c>
      <c r="G6311" s="1">
        <v>40497</v>
      </c>
      <c r="H6311" s="1">
        <v>40522</v>
      </c>
      <c r="I6311" t="s">
        <v>12</v>
      </c>
      <c r="J6311" t="s">
        <v>17081</v>
      </c>
    </row>
    <row r="6312" spans="1:10" x14ac:dyDescent="0.25">
      <c r="A6312">
        <v>616227</v>
      </c>
      <c r="B6312" t="s">
        <v>6636</v>
      </c>
      <c r="C6312" t="str">
        <f>"9780739145654"</f>
        <v>9780739145654</v>
      </c>
      <c r="D6312" t="str">
        <f>"9780739145678"</f>
        <v>9780739145678</v>
      </c>
      <c r="E6312" t="s">
        <v>6256</v>
      </c>
      <c r="F6312" t="s">
        <v>6256</v>
      </c>
      <c r="G6312" s="1">
        <v>40331</v>
      </c>
      <c r="H6312" s="1">
        <v>40577</v>
      </c>
      <c r="I6312" t="s">
        <v>12</v>
      </c>
      <c r="J6312" t="s">
        <v>17082</v>
      </c>
    </row>
    <row r="6313" spans="1:10" x14ac:dyDescent="0.25">
      <c r="A6313">
        <v>616236</v>
      </c>
      <c r="B6313" t="s">
        <v>6637</v>
      </c>
      <c r="C6313" t="str">
        <f>"9780739118597"</f>
        <v>9780739118597</v>
      </c>
      <c r="D6313" t="str">
        <f>"9780739147856"</f>
        <v>9780739147856</v>
      </c>
      <c r="E6313" t="s">
        <v>6256</v>
      </c>
      <c r="F6313" t="s">
        <v>6256</v>
      </c>
      <c r="G6313" s="1">
        <v>40323</v>
      </c>
      <c r="H6313" s="1">
        <v>40577</v>
      </c>
      <c r="I6313" t="s">
        <v>12</v>
      </c>
      <c r="J6313" t="s">
        <v>17083</v>
      </c>
    </row>
    <row r="6314" spans="1:10" x14ac:dyDescent="0.25">
      <c r="A6314">
        <v>616242</v>
      </c>
      <c r="B6314" t="s">
        <v>6638</v>
      </c>
      <c r="C6314" t="str">
        <f>"9780742567214"</f>
        <v>9780742567214</v>
      </c>
      <c r="D6314" t="str">
        <f>"9780742567238"</f>
        <v>9780742567238</v>
      </c>
      <c r="E6314" t="s">
        <v>6253</v>
      </c>
      <c r="F6314" t="s">
        <v>6253</v>
      </c>
      <c r="G6314" s="1">
        <v>40375</v>
      </c>
      <c r="H6314" s="1">
        <v>40577</v>
      </c>
      <c r="I6314" t="s">
        <v>12</v>
      </c>
      <c r="J6314" t="s">
        <v>17084</v>
      </c>
    </row>
    <row r="6315" spans="1:10" x14ac:dyDescent="0.25">
      <c r="A6315">
        <v>616247</v>
      </c>
      <c r="B6315" t="s">
        <v>6639</v>
      </c>
      <c r="C6315" t="str">
        <f>"9780742568419"</f>
        <v>9780742568419</v>
      </c>
      <c r="D6315" t="str">
        <f>"9780742568433"</f>
        <v>9780742568433</v>
      </c>
      <c r="E6315" t="s">
        <v>6253</v>
      </c>
      <c r="F6315" t="s">
        <v>6253</v>
      </c>
      <c r="G6315" s="1">
        <v>40375</v>
      </c>
      <c r="H6315" s="1">
        <v>40577</v>
      </c>
      <c r="I6315" t="s">
        <v>12</v>
      </c>
      <c r="J6315" t="s">
        <v>17085</v>
      </c>
    </row>
    <row r="6316" spans="1:10" x14ac:dyDescent="0.25">
      <c r="A6316">
        <v>616304</v>
      </c>
      <c r="B6316" t="s">
        <v>6640</v>
      </c>
      <c r="C6316" t="str">
        <f>"9780810874343"</f>
        <v>9780810874343</v>
      </c>
      <c r="D6316" t="str">
        <f>"9780810874398"</f>
        <v>9780810874398</v>
      </c>
      <c r="E6316" t="s">
        <v>6074</v>
      </c>
      <c r="F6316" t="s">
        <v>6074</v>
      </c>
      <c r="G6316" s="1">
        <v>40303</v>
      </c>
      <c r="H6316" s="1">
        <v>40577</v>
      </c>
      <c r="I6316" t="s">
        <v>12</v>
      </c>
      <c r="J6316" t="s">
        <v>17086</v>
      </c>
    </row>
    <row r="6317" spans="1:10" x14ac:dyDescent="0.25">
      <c r="A6317">
        <v>616335</v>
      </c>
      <c r="B6317" t="s">
        <v>6641</v>
      </c>
      <c r="C6317" t="str">
        <f>"9780742563735"</f>
        <v>9780742563735</v>
      </c>
      <c r="D6317" t="str">
        <f>"9781442203136"</f>
        <v>9781442203136</v>
      </c>
      <c r="E6317" t="s">
        <v>6253</v>
      </c>
      <c r="F6317" t="s">
        <v>6253</v>
      </c>
      <c r="G6317" s="1">
        <v>40193</v>
      </c>
      <c r="H6317" s="1">
        <v>40577</v>
      </c>
      <c r="I6317" t="s">
        <v>12</v>
      </c>
      <c r="J6317" t="s">
        <v>17087</v>
      </c>
    </row>
    <row r="6318" spans="1:10" x14ac:dyDescent="0.25">
      <c r="A6318">
        <v>616354</v>
      </c>
      <c r="B6318" t="s">
        <v>6642</v>
      </c>
      <c r="C6318" t="str">
        <f>"9781598884258"</f>
        <v>9781598884258</v>
      </c>
      <c r="D6318" t="str">
        <f>"9781598884135"</f>
        <v>9781598884135</v>
      </c>
      <c r="E6318" t="s">
        <v>6643</v>
      </c>
      <c r="F6318" t="s">
        <v>6643</v>
      </c>
      <c r="G6318" s="1">
        <v>40284</v>
      </c>
      <c r="H6318" s="1">
        <v>40577</v>
      </c>
      <c r="I6318" t="s">
        <v>12</v>
      </c>
      <c r="J6318" t="s">
        <v>17088</v>
      </c>
    </row>
    <row r="6319" spans="1:10" x14ac:dyDescent="0.25">
      <c r="A6319">
        <v>616366</v>
      </c>
      <c r="B6319" t="s">
        <v>6644</v>
      </c>
      <c r="C6319" t="str">
        <f>"9781607094623"</f>
        <v>9781607094623</v>
      </c>
      <c r="D6319" t="str">
        <f>"9781607094630"</f>
        <v>9781607094630</v>
      </c>
      <c r="E6319" t="s">
        <v>6076</v>
      </c>
      <c r="F6319" t="s">
        <v>6076</v>
      </c>
      <c r="G6319" s="1">
        <v>40375</v>
      </c>
      <c r="H6319" s="1">
        <v>40577</v>
      </c>
      <c r="I6319" t="s">
        <v>12</v>
      </c>
      <c r="J6319" t="s">
        <v>17089</v>
      </c>
    </row>
    <row r="6320" spans="1:10" x14ac:dyDescent="0.25">
      <c r="A6320">
        <v>616409</v>
      </c>
      <c r="B6320" t="s">
        <v>6645</v>
      </c>
      <c r="C6320" t="str">
        <f>"9780759118485"</f>
        <v>9780759118485</v>
      </c>
      <c r="D6320" t="str">
        <f>"9780759119017"</f>
        <v>9780759119017</v>
      </c>
      <c r="E6320" t="s">
        <v>6198</v>
      </c>
      <c r="F6320" t="s">
        <v>6198</v>
      </c>
      <c r="G6320" s="1">
        <v>40314</v>
      </c>
      <c r="H6320" s="1">
        <v>40577</v>
      </c>
      <c r="I6320" t="s">
        <v>12</v>
      </c>
      <c r="J6320" t="s">
        <v>17090</v>
      </c>
    </row>
    <row r="6321" spans="1:10" x14ac:dyDescent="0.25">
      <c r="A6321">
        <v>616439</v>
      </c>
      <c r="B6321" t="s">
        <v>6646</v>
      </c>
      <c r="C6321" t="str">
        <f>"9780810867444"</f>
        <v>9780810867444</v>
      </c>
      <c r="D6321" t="str">
        <f>"9780810867451"</f>
        <v>9780810867451</v>
      </c>
      <c r="E6321" t="s">
        <v>6074</v>
      </c>
      <c r="F6321" t="s">
        <v>6074</v>
      </c>
      <c r="G6321" s="1">
        <v>40058</v>
      </c>
      <c r="H6321" s="1">
        <v>40577</v>
      </c>
      <c r="I6321" t="s">
        <v>12</v>
      </c>
      <c r="J6321" t="s">
        <v>17091</v>
      </c>
    </row>
    <row r="6322" spans="1:10" x14ac:dyDescent="0.25">
      <c r="A6322">
        <v>617172</v>
      </c>
      <c r="B6322" t="s">
        <v>6647</v>
      </c>
      <c r="C6322" t="str">
        <f>"9781441136985"</f>
        <v>9781441136985</v>
      </c>
      <c r="D6322" t="str">
        <f>"9781441172020"</f>
        <v>9781441172020</v>
      </c>
      <c r="E6322" t="s">
        <v>4180</v>
      </c>
      <c r="F6322" t="s">
        <v>4180</v>
      </c>
      <c r="G6322" s="1">
        <v>41116</v>
      </c>
      <c r="H6322" s="1">
        <v>42326</v>
      </c>
      <c r="I6322" t="s">
        <v>12</v>
      </c>
      <c r="J6322" t="s">
        <v>17092</v>
      </c>
    </row>
    <row r="6323" spans="1:10" x14ac:dyDescent="0.25">
      <c r="A6323">
        <v>617751</v>
      </c>
      <c r="B6323" t="s">
        <v>6648</v>
      </c>
      <c r="C6323" t="str">
        <f>"9789042031845"</f>
        <v>9789042031845</v>
      </c>
      <c r="D6323" t="str">
        <f>"9789042031852"</f>
        <v>9789042031852</v>
      </c>
      <c r="E6323" t="s">
        <v>1447</v>
      </c>
      <c r="F6323" t="s">
        <v>6409</v>
      </c>
      <c r="G6323" s="1">
        <v>40179</v>
      </c>
      <c r="H6323" s="1">
        <v>40523</v>
      </c>
      <c r="I6323" t="s">
        <v>12</v>
      </c>
      <c r="J6323" t="s">
        <v>17093</v>
      </c>
    </row>
    <row r="6324" spans="1:10" x14ac:dyDescent="0.25">
      <c r="A6324">
        <v>617756</v>
      </c>
      <c r="B6324" t="s">
        <v>6649</v>
      </c>
      <c r="C6324" t="str">
        <f>"9789042031609"</f>
        <v>9789042031609</v>
      </c>
      <c r="D6324" t="str">
        <f>"9789042031616"</f>
        <v>9789042031616</v>
      </c>
      <c r="E6324" t="s">
        <v>1447</v>
      </c>
      <c r="F6324" t="s">
        <v>6409</v>
      </c>
      <c r="G6324" s="1">
        <v>40179</v>
      </c>
      <c r="H6324" s="1">
        <v>40523</v>
      </c>
      <c r="I6324" t="s">
        <v>12</v>
      </c>
      <c r="J6324" t="s">
        <v>17094</v>
      </c>
    </row>
    <row r="6325" spans="1:10" x14ac:dyDescent="0.25">
      <c r="A6325">
        <v>618176</v>
      </c>
      <c r="B6325" t="s">
        <v>6650</v>
      </c>
      <c r="C6325" t="str">
        <f>"9788184888966"</f>
        <v>9788184888966</v>
      </c>
      <c r="D6325" t="str">
        <f>"9789350440025"</f>
        <v>9789350440025</v>
      </c>
      <c r="E6325" t="s">
        <v>6479</v>
      </c>
      <c r="F6325" t="s">
        <v>6479</v>
      </c>
      <c r="G6325" s="1">
        <v>40179</v>
      </c>
      <c r="H6325" s="1">
        <v>40990</v>
      </c>
      <c r="I6325" t="s">
        <v>12</v>
      </c>
      <c r="J6325" t="s">
        <v>17095</v>
      </c>
    </row>
    <row r="6326" spans="1:10" x14ac:dyDescent="0.25">
      <c r="A6326">
        <v>618199</v>
      </c>
      <c r="B6326" t="s">
        <v>6651</v>
      </c>
      <c r="C6326" t="str">
        <f>"9789350245521"</f>
        <v>9789350245521</v>
      </c>
      <c r="D6326" t="str">
        <f>"9789350440612"</f>
        <v>9789350440612</v>
      </c>
      <c r="E6326" t="s">
        <v>6479</v>
      </c>
      <c r="F6326" t="s">
        <v>6479</v>
      </c>
      <c r="G6326" s="1">
        <v>39814</v>
      </c>
      <c r="H6326" s="1">
        <v>40990</v>
      </c>
      <c r="I6326" t="s">
        <v>12</v>
      </c>
      <c r="J6326" t="s">
        <v>17096</v>
      </c>
    </row>
    <row r="6327" spans="1:10" x14ac:dyDescent="0.25">
      <c r="A6327">
        <v>618213</v>
      </c>
      <c r="B6327" t="s">
        <v>6652</v>
      </c>
      <c r="C6327" t="str">
        <f>"9788185733821"</f>
        <v>9788185733821</v>
      </c>
      <c r="D6327" t="str">
        <f>"9789350440797"</f>
        <v>9789350440797</v>
      </c>
      <c r="E6327" t="s">
        <v>6516</v>
      </c>
      <c r="F6327" t="s">
        <v>6516</v>
      </c>
      <c r="G6327" s="1">
        <v>39814</v>
      </c>
      <c r="H6327" s="1">
        <v>40990</v>
      </c>
      <c r="I6327" t="s">
        <v>12</v>
      </c>
      <c r="J6327" t="s">
        <v>17097</v>
      </c>
    </row>
    <row r="6328" spans="1:10" x14ac:dyDescent="0.25">
      <c r="A6328">
        <v>618233</v>
      </c>
      <c r="B6328" t="s">
        <v>6653</v>
      </c>
      <c r="C6328" t="str">
        <f>"9788184885149"</f>
        <v>9788184885149</v>
      </c>
      <c r="D6328" t="str">
        <f>"9789350440919"</f>
        <v>9789350440919</v>
      </c>
      <c r="E6328" t="s">
        <v>6479</v>
      </c>
      <c r="F6328" t="s">
        <v>6479</v>
      </c>
      <c r="G6328" s="1">
        <v>39814</v>
      </c>
      <c r="H6328" s="1">
        <v>41000</v>
      </c>
      <c r="I6328" t="s">
        <v>12</v>
      </c>
      <c r="J6328" t="s">
        <v>17098</v>
      </c>
    </row>
    <row r="6329" spans="1:10" x14ac:dyDescent="0.25">
      <c r="A6329">
        <v>618235</v>
      </c>
      <c r="B6329" t="s">
        <v>6654</v>
      </c>
      <c r="C6329" t="str">
        <f>"9788182471078"</f>
        <v>9788182471078</v>
      </c>
      <c r="D6329" t="str">
        <f>"9789350440780"</f>
        <v>9789350440780</v>
      </c>
      <c r="E6329" t="s">
        <v>6516</v>
      </c>
      <c r="F6329" t="s">
        <v>6516</v>
      </c>
      <c r="G6329" s="1">
        <v>39814</v>
      </c>
      <c r="H6329" s="1">
        <v>40990</v>
      </c>
      <c r="I6329" t="s">
        <v>12</v>
      </c>
      <c r="J6329" t="s">
        <v>17099</v>
      </c>
    </row>
    <row r="6330" spans="1:10" x14ac:dyDescent="0.25">
      <c r="A6330">
        <v>618239</v>
      </c>
      <c r="B6330" t="s">
        <v>6655</v>
      </c>
      <c r="C6330" t="str">
        <f>"9788184886092"</f>
        <v>9788184886092</v>
      </c>
      <c r="D6330" t="str">
        <f>"9789350440001"</f>
        <v>9789350440001</v>
      </c>
      <c r="E6330" t="s">
        <v>6479</v>
      </c>
      <c r="F6330" t="s">
        <v>6479</v>
      </c>
      <c r="G6330" s="1">
        <v>40179</v>
      </c>
      <c r="H6330" s="1">
        <v>40990</v>
      </c>
      <c r="I6330" t="s">
        <v>12</v>
      </c>
      <c r="J6330" t="s">
        <v>17100</v>
      </c>
    </row>
    <row r="6331" spans="1:10" x14ac:dyDescent="0.25">
      <c r="A6331">
        <v>618260</v>
      </c>
      <c r="B6331" t="s">
        <v>6656</v>
      </c>
      <c r="C6331" t="str">
        <f>"9788184885583"</f>
        <v>9788184885583</v>
      </c>
      <c r="D6331" t="str">
        <f>"9789350440339"</f>
        <v>9789350440339</v>
      </c>
      <c r="E6331" t="s">
        <v>6479</v>
      </c>
      <c r="F6331" t="s">
        <v>6479</v>
      </c>
      <c r="G6331" s="1">
        <v>40179</v>
      </c>
      <c r="H6331" s="1">
        <v>40990</v>
      </c>
      <c r="I6331" t="s">
        <v>12</v>
      </c>
      <c r="J6331" t="s">
        <v>17101</v>
      </c>
    </row>
    <row r="6332" spans="1:10" x14ac:dyDescent="0.25">
      <c r="A6332">
        <v>618267</v>
      </c>
      <c r="B6332" t="s">
        <v>6657</v>
      </c>
      <c r="C6332" t="str">
        <f>"9788184886580"</f>
        <v>9788184886580</v>
      </c>
      <c r="D6332" t="str">
        <f>"9789350440216"</f>
        <v>9789350440216</v>
      </c>
      <c r="E6332" t="s">
        <v>6479</v>
      </c>
      <c r="F6332" t="s">
        <v>6479</v>
      </c>
      <c r="G6332" s="1">
        <v>40179</v>
      </c>
      <c r="H6332" s="1">
        <v>40990</v>
      </c>
      <c r="I6332" t="s">
        <v>12</v>
      </c>
      <c r="J6332" t="s">
        <v>17102</v>
      </c>
    </row>
    <row r="6333" spans="1:10" x14ac:dyDescent="0.25">
      <c r="A6333">
        <v>618269</v>
      </c>
      <c r="B6333" t="s">
        <v>6658</v>
      </c>
      <c r="C6333" t="str">
        <f>"9788190534987"</f>
        <v>9788190534987</v>
      </c>
      <c r="D6333" t="str">
        <f>"9789350440650"</f>
        <v>9789350440650</v>
      </c>
      <c r="E6333" t="s">
        <v>6499</v>
      </c>
      <c r="F6333" t="s">
        <v>6499</v>
      </c>
      <c r="G6333" s="1">
        <v>39448</v>
      </c>
      <c r="H6333" s="1">
        <v>40990</v>
      </c>
      <c r="I6333" t="s">
        <v>12</v>
      </c>
      <c r="J6333" t="s">
        <v>17103</v>
      </c>
    </row>
    <row r="6334" spans="1:10" x14ac:dyDescent="0.25">
      <c r="A6334">
        <v>618713</v>
      </c>
      <c r="B6334" t="s">
        <v>6659</v>
      </c>
      <c r="C6334" t="str">
        <f>"9780833049919"</f>
        <v>9780833049919</v>
      </c>
      <c r="D6334" t="str">
        <f>"9780833050717"</f>
        <v>9780833050717</v>
      </c>
      <c r="E6334" t="s">
        <v>1063</v>
      </c>
      <c r="F6334" t="s">
        <v>1064</v>
      </c>
      <c r="G6334" s="1">
        <v>40310</v>
      </c>
      <c r="H6334" s="1">
        <v>40523</v>
      </c>
      <c r="I6334" t="s">
        <v>12</v>
      </c>
      <c r="J6334" t="s">
        <v>17104</v>
      </c>
    </row>
    <row r="6335" spans="1:10" x14ac:dyDescent="0.25">
      <c r="A6335">
        <v>618756</v>
      </c>
      <c r="B6335" t="s">
        <v>6660</v>
      </c>
      <c r="C6335" t="str">
        <f>"9781861891426"</f>
        <v>9781861891426</v>
      </c>
      <c r="D6335" t="str">
        <f>"9781861898265"</f>
        <v>9781861898265</v>
      </c>
      <c r="E6335" t="s">
        <v>5129</v>
      </c>
      <c r="F6335" t="s">
        <v>5129</v>
      </c>
      <c r="G6335" s="1">
        <v>37296</v>
      </c>
      <c r="H6335" s="1">
        <v>40523</v>
      </c>
      <c r="I6335" t="s">
        <v>12</v>
      </c>
      <c r="J6335" t="s">
        <v>17105</v>
      </c>
    </row>
    <row r="6336" spans="1:10" x14ac:dyDescent="0.25">
      <c r="A6336">
        <v>618766</v>
      </c>
      <c r="B6336" t="s">
        <v>6661</v>
      </c>
      <c r="C6336" t="str">
        <f>"9781861896520"</f>
        <v>9781861896520</v>
      </c>
      <c r="D6336" t="str">
        <f>"9781861897251"</f>
        <v>9781861897251</v>
      </c>
      <c r="E6336" t="s">
        <v>5129</v>
      </c>
      <c r="F6336" t="s">
        <v>5129</v>
      </c>
      <c r="G6336" s="1">
        <v>40313</v>
      </c>
      <c r="H6336" s="1">
        <v>40523</v>
      </c>
      <c r="I6336" t="s">
        <v>12</v>
      </c>
      <c r="J6336" t="s">
        <v>17106</v>
      </c>
    </row>
    <row r="6337" spans="1:10" x14ac:dyDescent="0.25">
      <c r="A6337">
        <v>618845</v>
      </c>
      <c r="B6337" t="s">
        <v>6662</v>
      </c>
      <c r="C6337" t="str">
        <f>"9780804759489"</f>
        <v>9780804759489</v>
      </c>
      <c r="D6337" t="str">
        <f>"9780804776325"</f>
        <v>9780804776325</v>
      </c>
      <c r="E6337" t="s">
        <v>6225</v>
      </c>
      <c r="F6337" t="s">
        <v>6225</v>
      </c>
      <c r="G6337" s="1">
        <v>39871</v>
      </c>
      <c r="H6337" s="1">
        <v>40523</v>
      </c>
      <c r="I6337" t="s">
        <v>12</v>
      </c>
      <c r="J6337" t="s">
        <v>17107</v>
      </c>
    </row>
    <row r="6338" spans="1:10" x14ac:dyDescent="0.25">
      <c r="A6338">
        <v>618847</v>
      </c>
      <c r="B6338" t="s">
        <v>6663</v>
      </c>
      <c r="C6338" t="str">
        <f>"9780804760690"</f>
        <v>9780804760690</v>
      </c>
      <c r="D6338" t="str">
        <f>"9780804776301"</f>
        <v>9780804776301</v>
      </c>
      <c r="E6338" t="s">
        <v>6225</v>
      </c>
      <c r="F6338" t="s">
        <v>6225</v>
      </c>
      <c r="G6338" s="1">
        <v>39898</v>
      </c>
      <c r="H6338" s="1">
        <v>40523</v>
      </c>
      <c r="I6338" t="s">
        <v>12</v>
      </c>
      <c r="J6338" t="s">
        <v>17108</v>
      </c>
    </row>
    <row r="6339" spans="1:10" x14ac:dyDescent="0.25">
      <c r="A6339">
        <v>618864</v>
      </c>
      <c r="B6339" t="s">
        <v>6664</v>
      </c>
      <c r="C6339" t="str">
        <f>"9780415121507"</f>
        <v>9780415121507</v>
      </c>
      <c r="D6339" t="str">
        <f>"9780203982419"</f>
        <v>9780203982419</v>
      </c>
      <c r="E6339" t="s">
        <v>15</v>
      </c>
      <c r="F6339" t="s">
        <v>16</v>
      </c>
      <c r="G6339" s="1">
        <v>36504</v>
      </c>
      <c r="H6339" s="1">
        <v>40522</v>
      </c>
      <c r="I6339" t="s">
        <v>12</v>
      </c>
      <c r="J6339" t="s">
        <v>17109</v>
      </c>
    </row>
    <row r="6340" spans="1:10" x14ac:dyDescent="0.25">
      <c r="A6340">
        <v>619085</v>
      </c>
      <c r="B6340" t="s">
        <v>6665</v>
      </c>
      <c r="C6340" t="str">
        <f>"9781570615603"</f>
        <v>9781570615603</v>
      </c>
      <c r="D6340" t="str">
        <f>"9781570617362"</f>
        <v>9781570617362</v>
      </c>
      <c r="E6340" t="s">
        <v>6666</v>
      </c>
      <c r="F6340" t="s">
        <v>6666</v>
      </c>
      <c r="G6340" s="1">
        <v>39938</v>
      </c>
      <c r="H6340" s="1">
        <v>40523</v>
      </c>
      <c r="I6340" t="s">
        <v>12</v>
      </c>
      <c r="J6340" t="s">
        <v>17110</v>
      </c>
    </row>
    <row r="6341" spans="1:10" x14ac:dyDescent="0.25">
      <c r="A6341">
        <v>619250</v>
      </c>
      <c r="B6341" t="s">
        <v>6667</v>
      </c>
      <c r="C6341" t="str">
        <f>"9781848134119"</f>
        <v>9781848134119</v>
      </c>
      <c r="D6341" t="str">
        <f>"9781848134126"</f>
        <v>9781848134126</v>
      </c>
      <c r="E6341" t="s">
        <v>4626</v>
      </c>
      <c r="F6341" t="s">
        <v>4626</v>
      </c>
      <c r="G6341" s="1">
        <v>40452</v>
      </c>
      <c r="H6341" s="1">
        <v>40523</v>
      </c>
      <c r="I6341" t="s">
        <v>12</v>
      </c>
      <c r="J6341" t="s">
        <v>17111</v>
      </c>
    </row>
    <row r="6342" spans="1:10" x14ac:dyDescent="0.25">
      <c r="A6342">
        <v>619334</v>
      </c>
      <c r="B6342" t="s">
        <v>6668</v>
      </c>
      <c r="C6342" t="str">
        <f>"9781576757567"</f>
        <v>9781576757567</v>
      </c>
      <c r="D6342" t="str">
        <f>"9781576755938"</f>
        <v>9781576755938</v>
      </c>
      <c r="E6342" t="s">
        <v>6166</v>
      </c>
      <c r="F6342" t="s">
        <v>6166</v>
      </c>
      <c r="G6342" s="1">
        <v>40148</v>
      </c>
      <c r="H6342" s="1">
        <v>40568</v>
      </c>
      <c r="I6342" t="s">
        <v>12</v>
      </c>
      <c r="J6342" t="s">
        <v>17112</v>
      </c>
    </row>
    <row r="6343" spans="1:10" x14ac:dyDescent="0.25">
      <c r="A6343">
        <v>622191</v>
      </c>
      <c r="B6343" t="s">
        <v>6669</v>
      </c>
      <c r="C6343" t="str">
        <f>"9789027219213"</f>
        <v>9789027219213</v>
      </c>
      <c r="D6343" t="str">
        <f>"9789027296573"</f>
        <v>9789027296573</v>
      </c>
      <c r="E6343" t="s">
        <v>6670</v>
      </c>
      <c r="F6343" t="s">
        <v>6670</v>
      </c>
      <c r="G6343" s="1">
        <v>37819</v>
      </c>
      <c r="H6343" s="1">
        <v>40604</v>
      </c>
      <c r="I6343" t="s">
        <v>12</v>
      </c>
      <c r="J6343" t="s">
        <v>17113</v>
      </c>
    </row>
    <row r="6344" spans="1:10" x14ac:dyDescent="0.25">
      <c r="A6344">
        <v>622192</v>
      </c>
      <c r="B6344" t="s">
        <v>6671</v>
      </c>
      <c r="C6344" t="str">
        <f>"9789027226990"</f>
        <v>9789027226990</v>
      </c>
      <c r="D6344" t="str">
        <f>"9789027295804"</f>
        <v>9789027295804</v>
      </c>
      <c r="E6344" t="s">
        <v>6670</v>
      </c>
      <c r="F6344" t="s">
        <v>6670</v>
      </c>
      <c r="G6344" s="1">
        <v>38015</v>
      </c>
      <c r="H6344" s="1">
        <v>40604</v>
      </c>
      <c r="I6344" t="s">
        <v>12</v>
      </c>
      <c r="J6344" t="s">
        <v>17114</v>
      </c>
    </row>
    <row r="6345" spans="1:10" x14ac:dyDescent="0.25">
      <c r="A6345">
        <v>622196</v>
      </c>
      <c r="B6345" t="s">
        <v>6672</v>
      </c>
      <c r="C6345" t="str">
        <f>"9789027253507"</f>
        <v>9789027253507</v>
      </c>
      <c r="D6345" t="str">
        <f>"9789027296665"</f>
        <v>9789027296665</v>
      </c>
      <c r="E6345" t="s">
        <v>6670</v>
      </c>
      <c r="F6345" t="s">
        <v>6670</v>
      </c>
      <c r="G6345" s="1">
        <v>37739</v>
      </c>
      <c r="H6345" s="1">
        <v>40604</v>
      </c>
      <c r="I6345" t="s">
        <v>12</v>
      </c>
      <c r="J6345" t="s">
        <v>17115</v>
      </c>
    </row>
    <row r="6346" spans="1:10" x14ac:dyDescent="0.25">
      <c r="A6346">
        <v>622216</v>
      </c>
      <c r="B6346" t="s">
        <v>6673</v>
      </c>
      <c r="C6346" t="str">
        <f>"9789027233691"</f>
        <v>9789027233691</v>
      </c>
      <c r="D6346" t="str">
        <f>"9789027292902"</f>
        <v>9789027292902</v>
      </c>
      <c r="E6346" t="s">
        <v>6670</v>
      </c>
      <c r="F6346" t="s">
        <v>6670</v>
      </c>
      <c r="G6346" s="1">
        <v>39148</v>
      </c>
      <c r="H6346" s="1">
        <v>40604</v>
      </c>
      <c r="I6346" t="s">
        <v>12</v>
      </c>
      <c r="J6346" t="s">
        <v>17116</v>
      </c>
    </row>
    <row r="6347" spans="1:10" x14ac:dyDescent="0.25">
      <c r="A6347">
        <v>622220</v>
      </c>
      <c r="B6347" t="s">
        <v>6674</v>
      </c>
      <c r="C6347" t="str">
        <f>"9789027216908"</f>
        <v>9789027216908</v>
      </c>
      <c r="D6347" t="str">
        <f>"9789027291073"</f>
        <v>9789027291073</v>
      </c>
      <c r="E6347" t="s">
        <v>6670</v>
      </c>
      <c r="F6347" t="s">
        <v>6670</v>
      </c>
      <c r="G6347" s="1">
        <v>39856</v>
      </c>
      <c r="H6347" s="1">
        <v>40604</v>
      </c>
      <c r="I6347" t="s">
        <v>12</v>
      </c>
      <c r="J6347" t="s">
        <v>17117</v>
      </c>
    </row>
    <row r="6348" spans="1:10" x14ac:dyDescent="0.25">
      <c r="A6348">
        <v>622223</v>
      </c>
      <c r="B6348" t="s">
        <v>6675</v>
      </c>
      <c r="C6348" t="str">
        <f>"9789027223661"</f>
        <v>9789027223661</v>
      </c>
      <c r="D6348" t="str">
        <f>"9789027294012"</f>
        <v>9789027294012</v>
      </c>
      <c r="E6348" t="s">
        <v>6670</v>
      </c>
      <c r="F6348" t="s">
        <v>6670</v>
      </c>
      <c r="G6348" s="1">
        <v>38694</v>
      </c>
      <c r="H6348" s="1">
        <v>40604</v>
      </c>
      <c r="I6348" t="s">
        <v>12</v>
      </c>
      <c r="J6348" t="s">
        <v>17118</v>
      </c>
    </row>
    <row r="6349" spans="1:10" x14ac:dyDescent="0.25">
      <c r="A6349">
        <v>622234</v>
      </c>
      <c r="B6349" t="s">
        <v>6676</v>
      </c>
      <c r="C6349" t="str">
        <f>"9789027238948"</f>
        <v>9789027238948</v>
      </c>
      <c r="D6349" t="str">
        <f>"9789027292704"</f>
        <v>9789027292704</v>
      </c>
      <c r="E6349" t="s">
        <v>6670</v>
      </c>
      <c r="F6349" t="s">
        <v>6670</v>
      </c>
      <c r="G6349" s="1">
        <v>39183</v>
      </c>
      <c r="H6349" s="1">
        <v>40604</v>
      </c>
      <c r="I6349" t="s">
        <v>12</v>
      </c>
      <c r="J6349" t="s">
        <v>17119</v>
      </c>
    </row>
    <row r="6350" spans="1:10" x14ac:dyDescent="0.25">
      <c r="A6350">
        <v>622244</v>
      </c>
      <c r="B6350" t="s">
        <v>6677</v>
      </c>
      <c r="C6350" t="str">
        <f>"9789027238146"</f>
        <v>9789027238146</v>
      </c>
      <c r="D6350" t="str">
        <f>"9789027288790"</f>
        <v>9789027288790</v>
      </c>
      <c r="E6350" t="s">
        <v>6670</v>
      </c>
      <c r="F6350" t="s">
        <v>6670</v>
      </c>
      <c r="G6350" s="1">
        <v>40164</v>
      </c>
      <c r="H6350" s="1">
        <v>40679</v>
      </c>
      <c r="I6350" t="s">
        <v>12</v>
      </c>
      <c r="J6350" t="s">
        <v>17120</v>
      </c>
    </row>
    <row r="6351" spans="1:10" x14ac:dyDescent="0.25">
      <c r="A6351">
        <v>622251</v>
      </c>
      <c r="B6351" t="s">
        <v>6678</v>
      </c>
      <c r="C6351" t="str">
        <f>"9789027232427"</f>
        <v>9789027232427</v>
      </c>
      <c r="D6351" t="str">
        <f>"9789027292551"</f>
        <v>9789027292551</v>
      </c>
      <c r="E6351" t="s">
        <v>6670</v>
      </c>
      <c r="F6351" t="s">
        <v>6670</v>
      </c>
      <c r="G6351" s="1">
        <v>39183</v>
      </c>
      <c r="H6351" s="1">
        <v>40604</v>
      </c>
      <c r="I6351" t="s">
        <v>12</v>
      </c>
      <c r="J6351" t="s">
        <v>17121</v>
      </c>
    </row>
    <row r="6352" spans="1:10" x14ac:dyDescent="0.25">
      <c r="A6352">
        <v>622256</v>
      </c>
      <c r="B6352" t="s">
        <v>6679</v>
      </c>
      <c r="C6352" t="str">
        <f>"9789027251756"</f>
        <v>9789027251756</v>
      </c>
      <c r="D6352" t="str">
        <f>"9789027296405"</f>
        <v>9789027296405</v>
      </c>
      <c r="E6352" t="s">
        <v>6670</v>
      </c>
      <c r="F6352" t="s">
        <v>6670</v>
      </c>
      <c r="G6352" s="1">
        <v>37591</v>
      </c>
      <c r="H6352" s="1">
        <v>40604</v>
      </c>
      <c r="I6352" t="s">
        <v>12</v>
      </c>
      <c r="J6352" t="s">
        <v>17122</v>
      </c>
    </row>
    <row r="6353" spans="1:10" x14ac:dyDescent="0.25">
      <c r="A6353">
        <v>622269</v>
      </c>
      <c r="B6353" t="s">
        <v>6680</v>
      </c>
      <c r="C6353" t="str">
        <f>"9789027216847"</f>
        <v>9789027216847</v>
      </c>
      <c r="D6353" t="str">
        <f>"9789027291677"</f>
        <v>9789027291677</v>
      </c>
      <c r="E6353" t="s">
        <v>6670</v>
      </c>
      <c r="F6353" t="s">
        <v>6670</v>
      </c>
      <c r="G6353" s="1">
        <v>39520</v>
      </c>
      <c r="H6353" s="1">
        <v>40604</v>
      </c>
      <c r="I6353" t="s">
        <v>12</v>
      </c>
      <c r="J6353" t="s">
        <v>17123</v>
      </c>
    </row>
    <row r="6354" spans="1:10" x14ac:dyDescent="0.25">
      <c r="A6354">
        <v>622275</v>
      </c>
      <c r="B6354" t="s">
        <v>6681</v>
      </c>
      <c r="C6354" t="str">
        <f>"9789027223333"</f>
        <v>9789027223333</v>
      </c>
      <c r="D6354" t="str">
        <f>"9789027292407"</f>
        <v>9789027292407</v>
      </c>
      <c r="E6354" t="s">
        <v>6670</v>
      </c>
      <c r="F6354" t="s">
        <v>6670</v>
      </c>
      <c r="G6354" s="1">
        <v>39260</v>
      </c>
      <c r="H6354" s="1">
        <v>40604</v>
      </c>
      <c r="I6354" t="s">
        <v>12</v>
      </c>
      <c r="J6354" t="s">
        <v>17124</v>
      </c>
    </row>
    <row r="6355" spans="1:10" x14ac:dyDescent="0.25">
      <c r="A6355">
        <v>622276</v>
      </c>
      <c r="B6355" t="s">
        <v>6682</v>
      </c>
      <c r="C6355" t="str">
        <f>"9789027224989"</f>
        <v>9789027224989</v>
      </c>
      <c r="D6355" t="str">
        <f>"9789027296788"</f>
        <v>9789027296788</v>
      </c>
      <c r="E6355" t="s">
        <v>6670</v>
      </c>
      <c r="F6355" t="s">
        <v>6670</v>
      </c>
      <c r="G6355" s="1">
        <v>37707</v>
      </c>
      <c r="H6355" s="1">
        <v>40604</v>
      </c>
      <c r="I6355" t="s">
        <v>12</v>
      </c>
      <c r="J6355" t="s">
        <v>17125</v>
      </c>
    </row>
    <row r="6356" spans="1:10" x14ac:dyDescent="0.25">
      <c r="A6356">
        <v>622295</v>
      </c>
      <c r="B6356" t="s">
        <v>6683</v>
      </c>
      <c r="C6356" t="str">
        <f>"9789027241467"</f>
        <v>9789027241467</v>
      </c>
      <c r="D6356" t="str">
        <f>"9789027291882"</f>
        <v>9789027291882</v>
      </c>
      <c r="E6356" t="s">
        <v>6670</v>
      </c>
      <c r="F6356" t="s">
        <v>6670</v>
      </c>
      <c r="G6356" s="1">
        <v>39381</v>
      </c>
      <c r="H6356" s="1">
        <v>40604</v>
      </c>
      <c r="I6356" t="s">
        <v>12</v>
      </c>
      <c r="J6356" t="s">
        <v>17126</v>
      </c>
    </row>
    <row r="6357" spans="1:10" x14ac:dyDescent="0.25">
      <c r="A6357">
        <v>622302</v>
      </c>
      <c r="B6357" t="s">
        <v>6684</v>
      </c>
      <c r="C6357" t="str">
        <f>"9789027224293"</f>
        <v>9789027224293</v>
      </c>
      <c r="D6357" t="str">
        <f>"9789027289056"</f>
        <v>9789027289056</v>
      </c>
      <c r="E6357" t="s">
        <v>6670</v>
      </c>
      <c r="F6357" t="s">
        <v>6670</v>
      </c>
      <c r="G6357" s="1">
        <v>40086</v>
      </c>
      <c r="H6357" s="1">
        <v>40604</v>
      </c>
      <c r="I6357" t="s">
        <v>12</v>
      </c>
      <c r="J6357" t="s">
        <v>17127</v>
      </c>
    </row>
    <row r="6358" spans="1:10" x14ac:dyDescent="0.25">
      <c r="A6358">
        <v>622311</v>
      </c>
      <c r="B6358" t="s">
        <v>6685</v>
      </c>
      <c r="C6358" t="str">
        <f>"9789027253903"</f>
        <v>9789027253903</v>
      </c>
      <c r="D6358" t="str">
        <f>"9789027293305"</f>
        <v>9789027293305</v>
      </c>
      <c r="E6358" t="s">
        <v>6670</v>
      </c>
      <c r="F6358" t="s">
        <v>6670</v>
      </c>
      <c r="G6358" s="1">
        <v>38988</v>
      </c>
      <c r="H6358" s="1">
        <v>40604</v>
      </c>
      <c r="I6358" t="s">
        <v>12</v>
      </c>
      <c r="J6358" t="s">
        <v>17128</v>
      </c>
    </row>
    <row r="6359" spans="1:10" x14ac:dyDescent="0.25">
      <c r="A6359">
        <v>622317</v>
      </c>
      <c r="B6359" t="s">
        <v>6686</v>
      </c>
      <c r="C6359" t="str">
        <f>"9789027219039"</f>
        <v>9789027219039</v>
      </c>
      <c r="D6359" t="str">
        <f>"9789027292339"</f>
        <v>9789027292339</v>
      </c>
      <c r="E6359" t="s">
        <v>6670</v>
      </c>
      <c r="F6359" t="s">
        <v>6670</v>
      </c>
      <c r="G6359" s="1">
        <v>39268</v>
      </c>
      <c r="H6359" s="1">
        <v>40604</v>
      </c>
      <c r="I6359" t="s">
        <v>12</v>
      </c>
      <c r="J6359" t="s">
        <v>17129</v>
      </c>
    </row>
    <row r="6360" spans="1:10" x14ac:dyDescent="0.25">
      <c r="A6360">
        <v>622323</v>
      </c>
      <c r="B6360" t="s">
        <v>6687</v>
      </c>
      <c r="C6360" t="str">
        <f>"9789027222428"</f>
        <v>9789027222428</v>
      </c>
      <c r="D6360" t="str">
        <f>"9789027292186"</f>
        <v>9789027292186</v>
      </c>
      <c r="E6360" t="s">
        <v>6670</v>
      </c>
      <c r="F6360" t="s">
        <v>6670</v>
      </c>
      <c r="G6360" s="1">
        <v>39317</v>
      </c>
      <c r="H6360" s="1">
        <v>40604</v>
      </c>
      <c r="I6360" t="s">
        <v>12</v>
      </c>
      <c r="J6360" t="s">
        <v>17130</v>
      </c>
    </row>
    <row r="6361" spans="1:10" x14ac:dyDescent="0.25">
      <c r="A6361">
        <v>622342</v>
      </c>
      <c r="B6361" t="s">
        <v>6688</v>
      </c>
      <c r="C6361" t="str">
        <f>"9789027254177"</f>
        <v>9789027254177</v>
      </c>
      <c r="D6361" t="str">
        <f>"9789027291424"</f>
        <v>9789027291424</v>
      </c>
      <c r="E6361" t="s">
        <v>6670</v>
      </c>
      <c r="F6361" t="s">
        <v>6670</v>
      </c>
      <c r="G6361" s="1">
        <v>39534</v>
      </c>
      <c r="H6361" s="1">
        <v>40604</v>
      </c>
      <c r="I6361" t="s">
        <v>12</v>
      </c>
      <c r="J6361" t="s">
        <v>17131</v>
      </c>
    </row>
    <row r="6362" spans="1:10" x14ac:dyDescent="0.25">
      <c r="A6362">
        <v>622346</v>
      </c>
      <c r="B6362" t="s">
        <v>6689</v>
      </c>
      <c r="C6362" t="str">
        <f>"9789027219251"</f>
        <v>9789027219251</v>
      </c>
      <c r="D6362" t="str">
        <f>"9789027292483"</f>
        <v>9789027292483</v>
      </c>
      <c r="E6362" t="s">
        <v>6670</v>
      </c>
      <c r="F6362" t="s">
        <v>6670</v>
      </c>
      <c r="G6362" s="1">
        <v>39238</v>
      </c>
      <c r="H6362" s="1">
        <v>40604</v>
      </c>
      <c r="I6362" t="s">
        <v>12</v>
      </c>
      <c r="J6362" t="s">
        <v>17132</v>
      </c>
    </row>
    <row r="6363" spans="1:10" x14ac:dyDescent="0.25">
      <c r="A6363">
        <v>622355</v>
      </c>
      <c r="B6363" t="s">
        <v>6690</v>
      </c>
      <c r="C6363" t="str">
        <f>"9789027254160"</f>
        <v>9789027254160</v>
      </c>
      <c r="D6363" t="str">
        <f>"9789027291431"</f>
        <v>9789027291431</v>
      </c>
      <c r="E6363" t="s">
        <v>6670</v>
      </c>
      <c r="F6363" t="s">
        <v>6670</v>
      </c>
      <c r="G6363" s="1">
        <v>39548</v>
      </c>
      <c r="H6363" s="1">
        <v>40604</v>
      </c>
      <c r="I6363" t="s">
        <v>12</v>
      </c>
      <c r="J6363" t="s">
        <v>17133</v>
      </c>
    </row>
    <row r="6364" spans="1:10" x14ac:dyDescent="0.25">
      <c r="A6364">
        <v>622360</v>
      </c>
      <c r="B6364" t="s">
        <v>6691</v>
      </c>
      <c r="C6364" t="str">
        <f>"9789027218278"</f>
        <v>9789027218278</v>
      </c>
      <c r="D6364" t="str">
        <f>"9789027291653"</f>
        <v>9789027291653</v>
      </c>
      <c r="E6364" t="s">
        <v>6670</v>
      </c>
      <c r="F6364" t="s">
        <v>6670</v>
      </c>
      <c r="G6364" s="1">
        <v>37622</v>
      </c>
      <c r="H6364" s="1">
        <v>40604</v>
      </c>
      <c r="I6364" t="s">
        <v>12</v>
      </c>
      <c r="J6364" t="s">
        <v>17134</v>
      </c>
    </row>
    <row r="6365" spans="1:10" x14ac:dyDescent="0.25">
      <c r="A6365">
        <v>622364</v>
      </c>
      <c r="B6365" t="s">
        <v>6692</v>
      </c>
      <c r="C6365" t="str">
        <f>"9789027254061"</f>
        <v>9789027254061</v>
      </c>
      <c r="D6365" t="str">
        <f>"9789027292254"</f>
        <v>9789027292254</v>
      </c>
      <c r="E6365" t="s">
        <v>6670</v>
      </c>
      <c r="F6365" t="s">
        <v>6670</v>
      </c>
      <c r="G6365" s="1">
        <v>39276</v>
      </c>
      <c r="H6365" s="1">
        <v>40604</v>
      </c>
      <c r="I6365" t="s">
        <v>12</v>
      </c>
      <c r="J6365" t="s">
        <v>17135</v>
      </c>
    </row>
    <row r="6366" spans="1:10" x14ac:dyDescent="0.25">
      <c r="A6366">
        <v>622368</v>
      </c>
      <c r="B6366" t="s">
        <v>6693</v>
      </c>
      <c r="C6366" t="str">
        <f>"9789027254139"</f>
        <v>9789027254139</v>
      </c>
      <c r="D6366" t="str">
        <f>"9789027291462"</f>
        <v>9789027291462</v>
      </c>
      <c r="E6366" t="s">
        <v>6670</v>
      </c>
      <c r="F6366" t="s">
        <v>6670</v>
      </c>
      <c r="G6366" s="1">
        <v>36923</v>
      </c>
      <c r="H6366" s="1">
        <v>40604</v>
      </c>
      <c r="I6366" t="s">
        <v>12</v>
      </c>
      <c r="J6366" t="s">
        <v>17136</v>
      </c>
    </row>
    <row r="6367" spans="1:10" x14ac:dyDescent="0.25">
      <c r="A6367">
        <v>622378</v>
      </c>
      <c r="B6367" t="s">
        <v>6694</v>
      </c>
      <c r="C6367" t="str">
        <f>"9789027233714"</f>
        <v>9789027233714</v>
      </c>
      <c r="D6367" t="str">
        <f>"9789027292308"</f>
        <v>9789027292308</v>
      </c>
      <c r="E6367" t="s">
        <v>6670</v>
      </c>
      <c r="F6367" t="s">
        <v>6670</v>
      </c>
      <c r="G6367" s="1">
        <v>39260</v>
      </c>
      <c r="H6367" s="1">
        <v>40604</v>
      </c>
      <c r="I6367" t="s">
        <v>12</v>
      </c>
      <c r="J6367" t="s">
        <v>17137</v>
      </c>
    </row>
    <row r="6368" spans="1:10" x14ac:dyDescent="0.25">
      <c r="A6368">
        <v>622379</v>
      </c>
      <c r="B6368" t="s">
        <v>6695</v>
      </c>
      <c r="C6368" t="str">
        <f>"9789027233752"</f>
        <v>9789027233752</v>
      </c>
      <c r="D6368" t="str">
        <f>"9789027291257"</f>
        <v>9789027291257</v>
      </c>
      <c r="E6368" t="s">
        <v>6670</v>
      </c>
      <c r="F6368" t="s">
        <v>6670</v>
      </c>
      <c r="G6368" s="1">
        <v>39407</v>
      </c>
      <c r="H6368" s="1">
        <v>40604</v>
      </c>
      <c r="I6368" t="s">
        <v>12</v>
      </c>
      <c r="J6368" t="s">
        <v>17138</v>
      </c>
    </row>
    <row r="6369" spans="1:10" x14ac:dyDescent="0.25">
      <c r="A6369">
        <v>622382</v>
      </c>
      <c r="B6369" t="s">
        <v>6696</v>
      </c>
      <c r="C6369" t="str">
        <f>"9789027223074"</f>
        <v>9789027223074</v>
      </c>
      <c r="D6369" t="str">
        <f>"9789027289988"</f>
        <v>9789027289988</v>
      </c>
      <c r="E6369" t="s">
        <v>6670</v>
      </c>
      <c r="F6369" t="s">
        <v>6670</v>
      </c>
      <c r="G6369" s="1">
        <v>39827</v>
      </c>
      <c r="H6369" s="1">
        <v>40604</v>
      </c>
      <c r="I6369" t="s">
        <v>12</v>
      </c>
      <c r="J6369" t="s">
        <v>17139</v>
      </c>
    </row>
    <row r="6370" spans="1:10" x14ac:dyDescent="0.25">
      <c r="A6370">
        <v>622390</v>
      </c>
      <c r="B6370" t="s">
        <v>6697</v>
      </c>
      <c r="C6370" t="str">
        <f>"9789027233189"</f>
        <v>9789027233189</v>
      </c>
      <c r="D6370" t="str">
        <f>"9789027292384"</f>
        <v>9789027292384</v>
      </c>
      <c r="E6370" t="s">
        <v>6670</v>
      </c>
      <c r="F6370" t="s">
        <v>6670</v>
      </c>
      <c r="G6370" s="1">
        <v>39211</v>
      </c>
      <c r="H6370" s="1">
        <v>40604</v>
      </c>
      <c r="I6370" t="s">
        <v>12</v>
      </c>
      <c r="J6370" t="s">
        <v>17140</v>
      </c>
    </row>
    <row r="6371" spans="1:10" x14ac:dyDescent="0.25">
      <c r="A6371">
        <v>622394</v>
      </c>
      <c r="B6371" t="s">
        <v>6698</v>
      </c>
      <c r="C6371" t="str">
        <f>"9789027223739"</f>
        <v>9789027223739</v>
      </c>
      <c r="D6371" t="str">
        <f>"9789027293183"</f>
        <v>9789027293183</v>
      </c>
      <c r="E6371" t="s">
        <v>6670</v>
      </c>
      <c r="F6371" t="s">
        <v>6670</v>
      </c>
      <c r="G6371" s="1">
        <v>39029</v>
      </c>
      <c r="H6371" s="1">
        <v>40604</v>
      </c>
      <c r="I6371" t="s">
        <v>12</v>
      </c>
      <c r="J6371" t="s">
        <v>17141</v>
      </c>
    </row>
    <row r="6372" spans="1:10" x14ac:dyDescent="0.25">
      <c r="A6372">
        <v>622401</v>
      </c>
      <c r="B6372" t="s">
        <v>6699</v>
      </c>
      <c r="C6372" t="str">
        <f>"9789027216786"</f>
        <v>9789027216786</v>
      </c>
      <c r="D6372" t="str">
        <f>"9789027292711"</f>
        <v>9789027292711</v>
      </c>
      <c r="E6372" t="s">
        <v>6670</v>
      </c>
      <c r="F6372" t="s">
        <v>6670</v>
      </c>
      <c r="G6372" s="1">
        <v>39218</v>
      </c>
      <c r="H6372" s="1">
        <v>40604</v>
      </c>
      <c r="I6372" t="s">
        <v>12</v>
      </c>
      <c r="J6372" t="s">
        <v>17142</v>
      </c>
    </row>
    <row r="6373" spans="1:10" x14ac:dyDescent="0.25">
      <c r="A6373">
        <v>622406</v>
      </c>
      <c r="B6373" t="s">
        <v>6700</v>
      </c>
      <c r="C6373" t="str">
        <f>"9789027241412"</f>
        <v>9789027241412</v>
      </c>
      <c r="D6373" t="str">
        <f>"9789027293916"</f>
        <v>9789027293916</v>
      </c>
      <c r="E6373" t="s">
        <v>6670</v>
      </c>
      <c r="F6373" t="s">
        <v>6670</v>
      </c>
      <c r="G6373" s="1">
        <v>38700</v>
      </c>
      <c r="H6373" s="1">
        <v>40604</v>
      </c>
      <c r="I6373" t="s">
        <v>12</v>
      </c>
      <c r="J6373" t="s">
        <v>17143</v>
      </c>
    </row>
    <row r="6374" spans="1:10" x14ac:dyDescent="0.25">
      <c r="A6374">
        <v>622407</v>
      </c>
      <c r="B6374" t="s">
        <v>6701</v>
      </c>
      <c r="C6374" t="str">
        <f>"9789027205698"</f>
        <v>9789027205698</v>
      </c>
      <c r="D6374" t="str">
        <f>"9789027291370"</f>
        <v>9789027291370</v>
      </c>
      <c r="E6374" t="s">
        <v>6670</v>
      </c>
      <c r="F6374" t="s">
        <v>6670</v>
      </c>
      <c r="G6374" s="1">
        <v>39548</v>
      </c>
      <c r="H6374" s="1">
        <v>40604</v>
      </c>
      <c r="I6374" t="s">
        <v>12</v>
      </c>
      <c r="J6374" t="s">
        <v>17144</v>
      </c>
    </row>
    <row r="6375" spans="1:10" x14ac:dyDescent="0.25">
      <c r="A6375">
        <v>622423</v>
      </c>
      <c r="B6375" t="s">
        <v>6702</v>
      </c>
      <c r="C6375" t="str">
        <f>"9789027241764"</f>
        <v>9789027241764</v>
      </c>
      <c r="D6375" t="str">
        <f>"9789027290403"</f>
        <v>9789027290403</v>
      </c>
      <c r="E6375" t="s">
        <v>6670</v>
      </c>
      <c r="F6375" t="s">
        <v>6670</v>
      </c>
      <c r="G6375" s="1">
        <v>39827</v>
      </c>
      <c r="H6375" s="1">
        <v>40604</v>
      </c>
      <c r="I6375" t="s">
        <v>12</v>
      </c>
      <c r="J6375" t="s">
        <v>17145</v>
      </c>
    </row>
    <row r="6376" spans="1:10" x14ac:dyDescent="0.25">
      <c r="A6376">
        <v>622445</v>
      </c>
      <c r="B6376" t="s">
        <v>6703</v>
      </c>
      <c r="C6376" t="str">
        <f>"9789027253040"</f>
        <v>9789027253040</v>
      </c>
      <c r="D6376" t="str">
        <f>"9789027291509"</f>
        <v>9789027291509</v>
      </c>
      <c r="E6376" t="s">
        <v>6670</v>
      </c>
      <c r="F6376" t="s">
        <v>6670</v>
      </c>
      <c r="G6376" s="1">
        <v>39456</v>
      </c>
      <c r="H6376" s="1">
        <v>40604</v>
      </c>
      <c r="I6376" t="s">
        <v>12</v>
      </c>
      <c r="J6376" t="s">
        <v>17146</v>
      </c>
    </row>
    <row r="6377" spans="1:10" x14ac:dyDescent="0.25">
      <c r="A6377">
        <v>622468</v>
      </c>
      <c r="B6377" t="s">
        <v>6704</v>
      </c>
      <c r="C6377" t="str">
        <f>"9789027227058"</f>
        <v>9789027227058</v>
      </c>
      <c r="D6377" t="str">
        <f>"9789027294227"</f>
        <v>9789027294227</v>
      </c>
      <c r="E6377" t="s">
        <v>6670</v>
      </c>
      <c r="F6377" t="s">
        <v>6670</v>
      </c>
      <c r="G6377" s="1">
        <v>38611</v>
      </c>
      <c r="H6377" s="1">
        <v>40604</v>
      </c>
      <c r="I6377" t="s">
        <v>12</v>
      </c>
      <c r="J6377" t="s">
        <v>17147</v>
      </c>
    </row>
    <row r="6378" spans="1:10" x14ac:dyDescent="0.25">
      <c r="A6378">
        <v>622470</v>
      </c>
      <c r="B6378" t="s">
        <v>6705</v>
      </c>
      <c r="C6378" t="str">
        <f>"9789027253521"</f>
        <v>9789027253521</v>
      </c>
      <c r="D6378" t="str">
        <f>"9789027296658"</f>
        <v>9789027296658</v>
      </c>
      <c r="E6378" t="s">
        <v>6670</v>
      </c>
      <c r="F6378" t="s">
        <v>6670</v>
      </c>
      <c r="G6378" s="1">
        <v>37769</v>
      </c>
      <c r="H6378" s="1">
        <v>40604</v>
      </c>
      <c r="I6378" t="s">
        <v>12</v>
      </c>
      <c r="J6378" t="s">
        <v>17148</v>
      </c>
    </row>
    <row r="6379" spans="1:10" x14ac:dyDescent="0.25">
      <c r="A6379">
        <v>622475</v>
      </c>
      <c r="B6379" t="s">
        <v>6706</v>
      </c>
      <c r="C6379" t="str">
        <f>"9789027218599"</f>
        <v>9789027218599</v>
      </c>
      <c r="D6379" t="str">
        <f>"9789027292650"</f>
        <v>9789027292650</v>
      </c>
      <c r="E6379" t="s">
        <v>6670</v>
      </c>
      <c r="F6379" t="s">
        <v>6670</v>
      </c>
      <c r="G6379" s="1">
        <v>39141</v>
      </c>
      <c r="H6379" s="1">
        <v>40604</v>
      </c>
      <c r="I6379" t="s">
        <v>12</v>
      </c>
      <c r="J6379" t="s">
        <v>17149</v>
      </c>
    </row>
    <row r="6380" spans="1:10" x14ac:dyDescent="0.25">
      <c r="A6380">
        <v>622478</v>
      </c>
      <c r="B6380" t="s">
        <v>6707</v>
      </c>
      <c r="C6380" t="str">
        <f>"9789027223029"</f>
        <v>9789027223029</v>
      </c>
      <c r="D6380" t="str">
        <f>"9789027291912"</f>
        <v>9789027291912</v>
      </c>
      <c r="E6380" t="s">
        <v>6670</v>
      </c>
      <c r="F6380" t="s">
        <v>6670</v>
      </c>
      <c r="G6380" s="1">
        <v>39344</v>
      </c>
      <c r="H6380" s="1">
        <v>40604</v>
      </c>
      <c r="I6380" t="s">
        <v>12</v>
      </c>
      <c r="J6380" t="s">
        <v>17150</v>
      </c>
    </row>
    <row r="6381" spans="1:10" x14ac:dyDescent="0.25">
      <c r="A6381">
        <v>622482</v>
      </c>
      <c r="B6381" t="s">
        <v>6708</v>
      </c>
      <c r="C6381" t="str">
        <f>"9789027232588"</f>
        <v>9789027232588</v>
      </c>
      <c r="D6381" t="str">
        <f>"9789027289810"</f>
        <v>9789027289810</v>
      </c>
      <c r="E6381" t="s">
        <v>6670</v>
      </c>
      <c r="F6381" t="s">
        <v>6670</v>
      </c>
      <c r="G6381" s="1">
        <v>39947</v>
      </c>
      <c r="H6381" s="1">
        <v>40604</v>
      </c>
      <c r="I6381" t="s">
        <v>12</v>
      </c>
      <c r="J6381" t="s">
        <v>17151</v>
      </c>
    </row>
    <row r="6382" spans="1:10" x14ac:dyDescent="0.25">
      <c r="A6382">
        <v>622496</v>
      </c>
      <c r="B6382" t="s">
        <v>6709</v>
      </c>
      <c r="C6382" t="str">
        <f>"9789027234759"</f>
        <v>9789027234759</v>
      </c>
      <c r="D6382" t="str">
        <f>"9789027291332"</f>
        <v>9789027291332</v>
      </c>
      <c r="E6382" t="s">
        <v>6670</v>
      </c>
      <c r="F6382" t="s">
        <v>6670</v>
      </c>
      <c r="G6382" s="1">
        <v>39492</v>
      </c>
      <c r="H6382" s="1">
        <v>40604</v>
      </c>
      <c r="I6382" t="s">
        <v>12</v>
      </c>
      <c r="J6382" t="s">
        <v>17152</v>
      </c>
    </row>
    <row r="6383" spans="1:10" x14ac:dyDescent="0.25">
      <c r="A6383">
        <v>622497</v>
      </c>
      <c r="B6383" t="s">
        <v>6710</v>
      </c>
      <c r="C6383" t="str">
        <f>"9789027254320"</f>
        <v>9789027254320</v>
      </c>
      <c r="D6383" t="str">
        <f>"9789027289476"</f>
        <v>9789027289476</v>
      </c>
      <c r="E6383" t="s">
        <v>6670</v>
      </c>
      <c r="F6383" t="s">
        <v>6670</v>
      </c>
      <c r="G6383" s="1">
        <v>39953</v>
      </c>
      <c r="H6383" s="1">
        <v>40604</v>
      </c>
      <c r="I6383" t="s">
        <v>12</v>
      </c>
      <c r="J6383" t="s">
        <v>17153</v>
      </c>
    </row>
    <row r="6384" spans="1:10" x14ac:dyDescent="0.25">
      <c r="A6384">
        <v>622499</v>
      </c>
      <c r="B6384" t="s">
        <v>6711</v>
      </c>
      <c r="C6384" t="str">
        <f>"9789027219886"</f>
        <v>9789027219886</v>
      </c>
      <c r="D6384" t="str">
        <f>"9789027290557"</f>
        <v>9789027290557</v>
      </c>
      <c r="E6384" t="s">
        <v>6670</v>
      </c>
      <c r="F6384" t="s">
        <v>6670</v>
      </c>
      <c r="G6384" s="1">
        <v>40052</v>
      </c>
      <c r="H6384" s="1">
        <v>40604</v>
      </c>
      <c r="I6384" t="s">
        <v>12</v>
      </c>
      <c r="J6384" t="s">
        <v>17154</v>
      </c>
    </row>
    <row r="6385" spans="1:10" x14ac:dyDescent="0.25">
      <c r="A6385">
        <v>622510</v>
      </c>
      <c r="B6385" t="s">
        <v>6712</v>
      </c>
      <c r="C6385" t="str">
        <f>"9789027241559"</f>
        <v>9789027241559</v>
      </c>
      <c r="D6385" t="str">
        <f>"9789027288752"</f>
        <v>9789027288752</v>
      </c>
      <c r="E6385" t="s">
        <v>6670</v>
      </c>
      <c r="F6385" t="s">
        <v>6670</v>
      </c>
      <c r="G6385" s="1">
        <v>40147</v>
      </c>
      <c r="H6385" s="1">
        <v>40604</v>
      </c>
      <c r="I6385" t="s">
        <v>12</v>
      </c>
      <c r="J6385" t="s">
        <v>17155</v>
      </c>
    </row>
    <row r="6386" spans="1:10" x14ac:dyDescent="0.25">
      <c r="A6386">
        <v>622549</v>
      </c>
      <c r="B6386" t="s">
        <v>6713</v>
      </c>
      <c r="C6386" t="str">
        <f>"9789027222923"</f>
        <v>9789027222923</v>
      </c>
      <c r="D6386" t="str">
        <f>"9789027293930"</f>
        <v>9789027293930</v>
      </c>
      <c r="E6386" t="s">
        <v>6670</v>
      </c>
      <c r="F6386" t="s">
        <v>6670</v>
      </c>
      <c r="G6386" s="1">
        <v>38707</v>
      </c>
      <c r="H6386" s="1">
        <v>40604</v>
      </c>
      <c r="I6386" t="s">
        <v>12</v>
      </c>
      <c r="J6386" t="s">
        <v>17156</v>
      </c>
    </row>
    <row r="6387" spans="1:10" x14ac:dyDescent="0.25">
      <c r="A6387">
        <v>622565</v>
      </c>
      <c r="B6387" t="s">
        <v>6714</v>
      </c>
      <c r="C6387" t="str">
        <f>"9789027238979"</f>
        <v>9789027238979</v>
      </c>
      <c r="D6387" t="str">
        <f>"9789027291851"</f>
        <v>9789027291851</v>
      </c>
      <c r="E6387" t="s">
        <v>6670</v>
      </c>
      <c r="F6387" t="s">
        <v>6670</v>
      </c>
      <c r="G6387" s="1">
        <v>39400</v>
      </c>
      <c r="H6387" s="1">
        <v>40604</v>
      </c>
      <c r="I6387" t="s">
        <v>12</v>
      </c>
      <c r="J6387" t="s">
        <v>17157</v>
      </c>
    </row>
    <row r="6388" spans="1:10" x14ac:dyDescent="0.25">
      <c r="A6388">
        <v>622581</v>
      </c>
      <c r="B6388" t="s">
        <v>6715</v>
      </c>
      <c r="C6388" t="str">
        <f>"9789027243447"</f>
        <v>9789027243447</v>
      </c>
      <c r="D6388" t="str">
        <f>"9789027288905"</f>
        <v>9789027288905</v>
      </c>
      <c r="E6388" t="s">
        <v>6670</v>
      </c>
      <c r="F6388" t="s">
        <v>6670</v>
      </c>
      <c r="G6388" s="1">
        <v>40079</v>
      </c>
      <c r="H6388" s="1">
        <v>40604</v>
      </c>
      <c r="I6388" t="s">
        <v>12</v>
      </c>
      <c r="J6388" t="s">
        <v>17158</v>
      </c>
    </row>
    <row r="6389" spans="1:10" x14ac:dyDescent="0.25">
      <c r="A6389">
        <v>622590</v>
      </c>
      <c r="B6389" t="s">
        <v>6716</v>
      </c>
      <c r="C6389" t="str">
        <f>"9789027216779"</f>
        <v>9789027216779</v>
      </c>
      <c r="D6389" t="str">
        <f>"9789027293220"</f>
        <v>9789027293220</v>
      </c>
      <c r="E6389" t="s">
        <v>6670</v>
      </c>
      <c r="F6389" t="s">
        <v>6670</v>
      </c>
      <c r="G6389" s="1">
        <v>39021</v>
      </c>
      <c r="H6389" s="1">
        <v>40604</v>
      </c>
      <c r="I6389" t="s">
        <v>12</v>
      </c>
      <c r="J6389" t="s">
        <v>17159</v>
      </c>
    </row>
    <row r="6390" spans="1:10" x14ac:dyDescent="0.25">
      <c r="A6390">
        <v>622627</v>
      </c>
      <c r="B6390" t="s">
        <v>6717</v>
      </c>
      <c r="C6390" t="str">
        <f>"9789027253989"</f>
        <v>9789027253989</v>
      </c>
      <c r="D6390" t="str">
        <f>"9789027292438"</f>
        <v>9789027292438</v>
      </c>
      <c r="E6390" t="s">
        <v>6670</v>
      </c>
      <c r="F6390" t="s">
        <v>6670</v>
      </c>
      <c r="G6390" s="1">
        <v>39217</v>
      </c>
      <c r="H6390" s="1">
        <v>40604</v>
      </c>
      <c r="I6390" t="s">
        <v>12</v>
      </c>
      <c r="J6390" t="s">
        <v>17160</v>
      </c>
    </row>
    <row r="6391" spans="1:10" x14ac:dyDescent="0.25">
      <c r="A6391">
        <v>622628</v>
      </c>
      <c r="B6391" t="s">
        <v>6718</v>
      </c>
      <c r="C6391" t="str">
        <f>"9789027233776"</f>
        <v>9789027233776</v>
      </c>
      <c r="D6391" t="str">
        <f>"9789027291578"</f>
        <v>9789027291578</v>
      </c>
      <c r="E6391" t="s">
        <v>6670</v>
      </c>
      <c r="F6391" t="s">
        <v>6670</v>
      </c>
      <c r="G6391" s="1">
        <v>39513</v>
      </c>
      <c r="H6391" s="1">
        <v>40604</v>
      </c>
      <c r="I6391" t="s">
        <v>12</v>
      </c>
      <c r="J6391" t="s">
        <v>17161</v>
      </c>
    </row>
    <row r="6392" spans="1:10" x14ac:dyDescent="0.25">
      <c r="A6392">
        <v>622630</v>
      </c>
      <c r="B6392" t="s">
        <v>6719</v>
      </c>
      <c r="C6392" t="str">
        <f>"9789027218247"</f>
        <v>9789027218247</v>
      </c>
      <c r="D6392" t="str">
        <f>"9789027294074"</f>
        <v>9789027294074</v>
      </c>
      <c r="E6392" t="s">
        <v>6670</v>
      </c>
      <c r="F6392" t="s">
        <v>6670</v>
      </c>
      <c r="G6392" s="1">
        <v>38700</v>
      </c>
      <c r="H6392" s="1">
        <v>40604</v>
      </c>
      <c r="I6392" t="s">
        <v>12</v>
      </c>
      <c r="J6392" t="s">
        <v>17162</v>
      </c>
    </row>
    <row r="6393" spans="1:10" x14ac:dyDescent="0.25">
      <c r="A6393">
        <v>622661</v>
      </c>
      <c r="B6393" t="s">
        <v>6720</v>
      </c>
      <c r="C6393" t="str">
        <f>"9789027232366"</f>
        <v>9789027232366</v>
      </c>
      <c r="D6393" t="str">
        <f>"9789027293244"</f>
        <v>9789027293244</v>
      </c>
      <c r="E6393" t="s">
        <v>6670</v>
      </c>
      <c r="F6393" t="s">
        <v>6670</v>
      </c>
      <c r="G6393" s="1">
        <v>38944</v>
      </c>
      <c r="H6393" s="1">
        <v>40604</v>
      </c>
      <c r="I6393" t="s">
        <v>12</v>
      </c>
      <c r="J6393" t="s">
        <v>17163</v>
      </c>
    </row>
    <row r="6394" spans="1:10" x14ac:dyDescent="0.25">
      <c r="A6394">
        <v>622679</v>
      </c>
      <c r="B6394" t="s">
        <v>6721</v>
      </c>
      <c r="C6394" t="str">
        <f>"9789027254115"</f>
        <v>9789027254115</v>
      </c>
      <c r="D6394" t="str">
        <f>"9789027291479"</f>
        <v>9789027291479</v>
      </c>
      <c r="E6394" t="s">
        <v>6670</v>
      </c>
      <c r="F6394" t="s">
        <v>6670</v>
      </c>
      <c r="G6394" s="1">
        <v>38412</v>
      </c>
      <c r="H6394" s="1">
        <v>40604</v>
      </c>
      <c r="I6394" t="s">
        <v>12</v>
      </c>
      <c r="J6394" t="s">
        <v>17164</v>
      </c>
    </row>
    <row r="6395" spans="1:10" x14ac:dyDescent="0.25">
      <c r="A6395">
        <v>622682</v>
      </c>
      <c r="B6395" t="s">
        <v>6722</v>
      </c>
      <c r="C6395" t="str">
        <f>"9789027216793"</f>
        <v>9789027216793</v>
      </c>
      <c r="D6395" t="str">
        <f>"9789027292520"</f>
        <v>9789027292520</v>
      </c>
      <c r="E6395" t="s">
        <v>6670</v>
      </c>
      <c r="F6395" t="s">
        <v>6670</v>
      </c>
      <c r="G6395" s="1">
        <v>39218</v>
      </c>
      <c r="H6395" s="1">
        <v>40604</v>
      </c>
      <c r="I6395" t="s">
        <v>12</v>
      </c>
      <c r="J6395" t="s">
        <v>17165</v>
      </c>
    </row>
    <row r="6396" spans="1:10" x14ac:dyDescent="0.25">
      <c r="A6396">
        <v>622694</v>
      </c>
      <c r="B6396" t="s">
        <v>6723</v>
      </c>
      <c r="C6396" t="str">
        <f>"9789027241375"</f>
        <v>9789027241375</v>
      </c>
      <c r="D6396" t="str">
        <f>"9789027296436"</f>
        <v>9789027296436</v>
      </c>
      <c r="E6396" t="s">
        <v>6670</v>
      </c>
      <c r="F6396" t="s">
        <v>6670</v>
      </c>
      <c r="G6396" s="1">
        <v>37882</v>
      </c>
      <c r="H6396" s="1">
        <v>40604</v>
      </c>
      <c r="I6396" t="s">
        <v>12</v>
      </c>
      <c r="J6396" t="s">
        <v>17166</v>
      </c>
    </row>
    <row r="6397" spans="1:10" x14ac:dyDescent="0.25">
      <c r="A6397">
        <v>622710</v>
      </c>
      <c r="B6397" t="s">
        <v>6724</v>
      </c>
      <c r="C6397" t="str">
        <f>"9789027252128"</f>
        <v>9789027252128</v>
      </c>
      <c r="D6397" t="str">
        <f>"9789027289230"</f>
        <v>9789027289230</v>
      </c>
      <c r="E6397" t="s">
        <v>6670</v>
      </c>
      <c r="F6397" t="s">
        <v>6670</v>
      </c>
      <c r="G6397" s="1">
        <v>40023</v>
      </c>
      <c r="H6397" s="1">
        <v>40604</v>
      </c>
      <c r="I6397" t="s">
        <v>12</v>
      </c>
      <c r="J6397" t="s">
        <v>17167</v>
      </c>
    </row>
    <row r="6398" spans="1:10" x14ac:dyDescent="0.25">
      <c r="A6398">
        <v>622716</v>
      </c>
      <c r="B6398" t="s">
        <v>6725</v>
      </c>
      <c r="C6398" t="str">
        <f>"9789027232557"</f>
        <v>9789027232557</v>
      </c>
      <c r="D6398" t="str">
        <f>"9789027290045"</f>
        <v>9789027290045</v>
      </c>
      <c r="E6398" t="s">
        <v>6670</v>
      </c>
      <c r="F6398" t="s">
        <v>6670</v>
      </c>
      <c r="G6398" s="1">
        <v>39818</v>
      </c>
      <c r="H6398" s="1">
        <v>40604</v>
      </c>
      <c r="I6398" t="s">
        <v>12</v>
      </c>
      <c r="J6398" t="s">
        <v>17168</v>
      </c>
    </row>
    <row r="6399" spans="1:10" x14ac:dyDescent="0.25">
      <c r="A6399">
        <v>622752</v>
      </c>
      <c r="B6399" t="s">
        <v>6726</v>
      </c>
      <c r="C6399" t="str">
        <f>"9789027254009"</f>
        <v>9789027254009</v>
      </c>
      <c r="D6399" t="str">
        <f>"9789027292421"</f>
        <v>9789027292421</v>
      </c>
      <c r="E6399" t="s">
        <v>6670</v>
      </c>
      <c r="F6399" t="s">
        <v>6670</v>
      </c>
      <c r="G6399" s="1">
        <v>39217</v>
      </c>
      <c r="H6399" s="1">
        <v>40604</v>
      </c>
      <c r="I6399" t="s">
        <v>12</v>
      </c>
      <c r="J6399" t="s">
        <v>17169</v>
      </c>
    </row>
    <row r="6400" spans="1:10" x14ac:dyDescent="0.25">
      <c r="A6400">
        <v>622776</v>
      </c>
      <c r="B6400" t="s">
        <v>6727</v>
      </c>
      <c r="C6400" t="str">
        <f>"9789027219749"</f>
        <v>9789027219749</v>
      </c>
      <c r="D6400" t="str">
        <f>"9789027292612"</f>
        <v>9789027292612</v>
      </c>
      <c r="E6400" t="s">
        <v>6670</v>
      </c>
      <c r="F6400" t="s">
        <v>6670</v>
      </c>
      <c r="G6400" s="1">
        <v>39155</v>
      </c>
      <c r="H6400" s="1">
        <v>40604</v>
      </c>
      <c r="I6400" t="s">
        <v>12</v>
      </c>
      <c r="J6400" t="s">
        <v>17170</v>
      </c>
    </row>
    <row r="6401" spans="1:10" x14ac:dyDescent="0.25">
      <c r="A6401">
        <v>622786</v>
      </c>
      <c r="B6401" t="s">
        <v>6728</v>
      </c>
      <c r="C6401" t="str">
        <f>"9789027222473"</f>
        <v>9789027222473</v>
      </c>
      <c r="D6401" t="str">
        <f>"9789027289711"</f>
        <v>9789027289711</v>
      </c>
      <c r="E6401" t="s">
        <v>6670</v>
      </c>
      <c r="F6401" t="s">
        <v>6670</v>
      </c>
      <c r="G6401" s="1">
        <v>39827</v>
      </c>
      <c r="H6401" s="1">
        <v>40604</v>
      </c>
      <c r="I6401" t="s">
        <v>12</v>
      </c>
      <c r="J6401" t="s">
        <v>17171</v>
      </c>
    </row>
    <row r="6402" spans="1:10" x14ac:dyDescent="0.25">
      <c r="A6402">
        <v>622792</v>
      </c>
      <c r="B6402" t="s">
        <v>6729</v>
      </c>
      <c r="C6402" t="str">
        <f>"9789027224996"</f>
        <v>9789027224996</v>
      </c>
      <c r="D6402" t="str">
        <f>"9789027296450"</f>
        <v>9789027296450</v>
      </c>
      <c r="E6402" t="s">
        <v>6670</v>
      </c>
      <c r="F6402" t="s">
        <v>6670</v>
      </c>
      <c r="G6402" s="1">
        <v>37847</v>
      </c>
      <c r="H6402" s="1">
        <v>40604</v>
      </c>
      <c r="I6402" t="s">
        <v>12</v>
      </c>
      <c r="J6402" t="s">
        <v>17172</v>
      </c>
    </row>
    <row r="6403" spans="1:10" x14ac:dyDescent="0.25">
      <c r="A6403">
        <v>622816</v>
      </c>
      <c r="B6403" t="s">
        <v>6730</v>
      </c>
      <c r="C6403" t="str">
        <f>"9789027233806"</f>
        <v>9789027233806</v>
      </c>
      <c r="D6403" t="str">
        <f>"9789027291950"</f>
        <v>9789027291950</v>
      </c>
      <c r="E6403" t="s">
        <v>6670</v>
      </c>
      <c r="F6403" t="s">
        <v>6670</v>
      </c>
      <c r="G6403" s="1">
        <v>39356</v>
      </c>
      <c r="H6403" s="1">
        <v>40604</v>
      </c>
      <c r="I6403" t="s">
        <v>12</v>
      </c>
      <c r="J6403" t="s">
        <v>17173</v>
      </c>
    </row>
    <row r="6404" spans="1:10" x14ac:dyDescent="0.25">
      <c r="A6404">
        <v>622830</v>
      </c>
      <c r="B6404" t="s">
        <v>6731</v>
      </c>
      <c r="C6404" t="str">
        <f>"9789027219770"</f>
        <v>9789027219770</v>
      </c>
      <c r="D6404" t="str">
        <f>"9789027292148"</f>
        <v>9789027292148</v>
      </c>
      <c r="E6404" t="s">
        <v>6670</v>
      </c>
      <c r="F6404" t="s">
        <v>6670</v>
      </c>
      <c r="G6404" s="1">
        <v>39317</v>
      </c>
      <c r="H6404" s="1">
        <v>40604</v>
      </c>
      <c r="I6404" t="s">
        <v>12</v>
      </c>
      <c r="J6404" t="s">
        <v>17174</v>
      </c>
    </row>
    <row r="6405" spans="1:10" x14ac:dyDescent="0.25">
      <c r="A6405">
        <v>622831</v>
      </c>
      <c r="B6405" t="s">
        <v>6732</v>
      </c>
      <c r="C6405" t="str">
        <f>"9789027254146"</f>
        <v>9789027254146</v>
      </c>
      <c r="D6405" t="str">
        <f>"9789027291455"</f>
        <v>9789027291455</v>
      </c>
      <c r="E6405" t="s">
        <v>6670</v>
      </c>
      <c r="F6405" t="s">
        <v>6670</v>
      </c>
      <c r="G6405" s="1">
        <v>39513</v>
      </c>
      <c r="H6405" s="1">
        <v>40604</v>
      </c>
      <c r="I6405" t="s">
        <v>12</v>
      </c>
      <c r="J6405" t="s">
        <v>17175</v>
      </c>
    </row>
    <row r="6406" spans="1:10" x14ac:dyDescent="0.25">
      <c r="A6406">
        <v>622834</v>
      </c>
      <c r="B6406" t="s">
        <v>6733</v>
      </c>
      <c r="C6406" t="str">
        <f>"9789027222978"</f>
        <v>9789027222978</v>
      </c>
      <c r="D6406" t="str">
        <f>"9789027293299"</f>
        <v>9789027293299</v>
      </c>
      <c r="E6406" t="s">
        <v>6670</v>
      </c>
      <c r="F6406" t="s">
        <v>6670</v>
      </c>
      <c r="G6406" s="1">
        <v>38972</v>
      </c>
      <c r="H6406" s="1">
        <v>40604</v>
      </c>
      <c r="I6406" t="s">
        <v>12</v>
      </c>
      <c r="J6406" t="s">
        <v>17176</v>
      </c>
    </row>
    <row r="6407" spans="1:10" x14ac:dyDescent="0.25">
      <c r="A6407">
        <v>622836</v>
      </c>
      <c r="B6407" t="s">
        <v>6734</v>
      </c>
      <c r="C6407" t="str">
        <f>"9789027222503"</f>
        <v>9789027222503</v>
      </c>
      <c r="D6407" t="str">
        <f>"9789027288868"</f>
        <v>9789027288868</v>
      </c>
      <c r="E6407" t="s">
        <v>6670</v>
      </c>
      <c r="F6407" t="s">
        <v>6670</v>
      </c>
      <c r="G6407" s="1">
        <v>40093</v>
      </c>
      <c r="H6407" s="1">
        <v>40604</v>
      </c>
      <c r="I6407" t="s">
        <v>12</v>
      </c>
      <c r="J6407" t="s">
        <v>17177</v>
      </c>
    </row>
    <row r="6408" spans="1:10" x14ac:dyDescent="0.25">
      <c r="A6408">
        <v>622839</v>
      </c>
      <c r="B6408" t="s">
        <v>6735</v>
      </c>
      <c r="C6408" t="str">
        <f>"9789027223760"</f>
        <v>9789027223760</v>
      </c>
      <c r="D6408" t="str">
        <f>"9789027291608"</f>
        <v>9789027291608</v>
      </c>
      <c r="E6408" t="s">
        <v>6670</v>
      </c>
      <c r="F6408" t="s">
        <v>6670</v>
      </c>
      <c r="G6408" s="1">
        <v>39520</v>
      </c>
      <c r="H6408" s="1">
        <v>40604</v>
      </c>
      <c r="I6408" t="s">
        <v>12</v>
      </c>
      <c r="J6408" t="s">
        <v>17178</v>
      </c>
    </row>
    <row r="6409" spans="1:10" x14ac:dyDescent="0.25">
      <c r="A6409">
        <v>622840</v>
      </c>
      <c r="B6409" t="s">
        <v>6736</v>
      </c>
      <c r="C6409" t="str">
        <f>"9789027254092"</f>
        <v>9789027254092</v>
      </c>
      <c r="D6409" t="str">
        <f>"9789027291240"</f>
        <v>9789027291240</v>
      </c>
      <c r="E6409" t="s">
        <v>6670</v>
      </c>
      <c r="F6409" t="s">
        <v>6670</v>
      </c>
      <c r="G6409" s="1">
        <v>39428</v>
      </c>
      <c r="H6409" s="1">
        <v>40604</v>
      </c>
      <c r="I6409" t="s">
        <v>12</v>
      </c>
      <c r="J6409" t="s">
        <v>17179</v>
      </c>
    </row>
    <row r="6410" spans="1:10" x14ac:dyDescent="0.25">
      <c r="A6410">
        <v>622842</v>
      </c>
      <c r="B6410" t="s">
        <v>6737</v>
      </c>
      <c r="C6410" t="str">
        <f>"9789027223715"</f>
        <v>9789027223715</v>
      </c>
      <c r="D6410" t="str">
        <f>"9789027292490"</f>
        <v>9789027292490</v>
      </c>
      <c r="E6410" t="s">
        <v>6670</v>
      </c>
      <c r="F6410" t="s">
        <v>6670</v>
      </c>
      <c r="G6410" s="1">
        <v>37739</v>
      </c>
      <c r="H6410" s="1">
        <v>40604</v>
      </c>
      <c r="I6410" t="s">
        <v>12</v>
      </c>
      <c r="J6410" t="s">
        <v>17180</v>
      </c>
    </row>
    <row r="6411" spans="1:10" x14ac:dyDescent="0.25">
      <c r="A6411">
        <v>622854</v>
      </c>
      <c r="B6411" t="s">
        <v>6738</v>
      </c>
      <c r="C6411" t="str">
        <f>"9789027233622"</f>
        <v>9789027233622</v>
      </c>
      <c r="D6411" t="str">
        <f>"9789027293152"</f>
        <v>9789027293152</v>
      </c>
      <c r="E6411" t="s">
        <v>6670</v>
      </c>
      <c r="F6411" t="s">
        <v>6670</v>
      </c>
      <c r="G6411" s="1">
        <v>39021</v>
      </c>
      <c r="H6411" s="1">
        <v>40604</v>
      </c>
      <c r="I6411" t="s">
        <v>12</v>
      </c>
      <c r="J6411" t="s">
        <v>17181</v>
      </c>
    </row>
    <row r="6412" spans="1:10" x14ac:dyDescent="0.25">
      <c r="A6412">
        <v>622876</v>
      </c>
      <c r="B6412" t="s">
        <v>6739</v>
      </c>
      <c r="C6412" t="str">
        <f>"9789027241788"</f>
        <v>9789027241788</v>
      </c>
      <c r="D6412" t="str">
        <f>"9789027289285"</f>
        <v>9789027289285</v>
      </c>
      <c r="E6412" t="s">
        <v>6670</v>
      </c>
      <c r="F6412" t="s">
        <v>6670</v>
      </c>
      <c r="G6412" s="1">
        <v>40004</v>
      </c>
      <c r="H6412" s="1">
        <v>40604</v>
      </c>
      <c r="I6412" t="s">
        <v>12</v>
      </c>
      <c r="J6412" t="s">
        <v>17182</v>
      </c>
    </row>
    <row r="6413" spans="1:10" x14ac:dyDescent="0.25">
      <c r="A6413">
        <v>622882</v>
      </c>
      <c r="B6413" t="s">
        <v>6740</v>
      </c>
      <c r="C6413" t="str">
        <f>"9789027227874"</f>
        <v>9789027227874</v>
      </c>
      <c r="D6413" t="str">
        <f>"9789027296467"</f>
        <v>9789027296467</v>
      </c>
      <c r="E6413" t="s">
        <v>6670</v>
      </c>
      <c r="F6413" t="s">
        <v>6670</v>
      </c>
      <c r="G6413" s="1">
        <v>37854</v>
      </c>
      <c r="H6413" s="1">
        <v>40604</v>
      </c>
      <c r="I6413" t="s">
        <v>12</v>
      </c>
      <c r="J6413" t="s">
        <v>17183</v>
      </c>
    </row>
    <row r="6414" spans="1:10" x14ac:dyDescent="0.25">
      <c r="A6414">
        <v>622887</v>
      </c>
      <c r="B6414" t="s">
        <v>6741</v>
      </c>
      <c r="C6414" t="str">
        <f>"9789027222367"</f>
        <v>9789027222367</v>
      </c>
      <c r="D6414" t="str">
        <f>"9789027292988"</f>
        <v>9789027292988</v>
      </c>
      <c r="E6414" t="s">
        <v>6670</v>
      </c>
      <c r="F6414" t="s">
        <v>6670</v>
      </c>
      <c r="G6414" s="1">
        <v>39155</v>
      </c>
      <c r="H6414" s="1">
        <v>40604</v>
      </c>
      <c r="I6414" t="s">
        <v>12</v>
      </c>
      <c r="J6414" t="s">
        <v>17184</v>
      </c>
    </row>
    <row r="6415" spans="1:10" x14ac:dyDescent="0.25">
      <c r="A6415">
        <v>622905</v>
      </c>
      <c r="B6415" t="s">
        <v>6742</v>
      </c>
      <c r="C6415" t="str">
        <f>"9789027227034"</f>
        <v>9789027227034</v>
      </c>
      <c r="D6415" t="str">
        <f>"9789027292322"</f>
        <v>9789027292322</v>
      </c>
      <c r="E6415" t="s">
        <v>6670</v>
      </c>
      <c r="F6415" t="s">
        <v>6670</v>
      </c>
      <c r="G6415" s="1">
        <v>38561</v>
      </c>
      <c r="H6415" s="1">
        <v>40604</v>
      </c>
      <c r="I6415" t="s">
        <v>12</v>
      </c>
      <c r="J6415" t="s">
        <v>17185</v>
      </c>
    </row>
    <row r="6416" spans="1:10" x14ac:dyDescent="0.25">
      <c r="A6416">
        <v>622906</v>
      </c>
      <c r="B6416" t="s">
        <v>6743</v>
      </c>
      <c r="C6416" t="str">
        <f>"9789027223784"</f>
        <v>9789027223784</v>
      </c>
      <c r="D6416" t="str">
        <f>"9789027289445"</f>
        <v>9789027289445</v>
      </c>
      <c r="E6416" t="s">
        <v>6670</v>
      </c>
      <c r="F6416" t="s">
        <v>6670</v>
      </c>
      <c r="G6416" s="1">
        <v>39988</v>
      </c>
      <c r="H6416" s="1">
        <v>40604</v>
      </c>
      <c r="I6416" t="s">
        <v>12</v>
      </c>
      <c r="J6416" t="s">
        <v>17186</v>
      </c>
    </row>
    <row r="6417" spans="1:10" x14ac:dyDescent="0.25">
      <c r="A6417">
        <v>622963</v>
      </c>
      <c r="B6417" t="s">
        <v>6744</v>
      </c>
      <c r="C6417" t="str">
        <f>"9789027222411"</f>
        <v>9789027222411</v>
      </c>
      <c r="D6417" t="str">
        <f>"9789027292087"</f>
        <v>9789027292087</v>
      </c>
      <c r="E6417" t="s">
        <v>6670</v>
      </c>
      <c r="F6417" t="s">
        <v>6670</v>
      </c>
      <c r="G6417" s="1">
        <v>39359</v>
      </c>
      <c r="H6417" s="1">
        <v>40604</v>
      </c>
      <c r="I6417" t="s">
        <v>12</v>
      </c>
      <c r="J6417" t="s">
        <v>17187</v>
      </c>
    </row>
    <row r="6418" spans="1:10" x14ac:dyDescent="0.25">
      <c r="A6418">
        <v>622973</v>
      </c>
      <c r="B6418" t="s">
        <v>6745</v>
      </c>
      <c r="C6418" t="str">
        <f>"9789027241474"</f>
        <v>9789027241474</v>
      </c>
      <c r="D6418" t="str">
        <f>"9789027291394"</f>
        <v>9789027291394</v>
      </c>
      <c r="E6418" t="s">
        <v>6670</v>
      </c>
      <c r="F6418" t="s">
        <v>6670</v>
      </c>
      <c r="G6418" s="1">
        <v>39512</v>
      </c>
      <c r="H6418" s="1">
        <v>40604</v>
      </c>
      <c r="I6418" t="s">
        <v>12</v>
      </c>
      <c r="J6418" t="s">
        <v>17188</v>
      </c>
    </row>
    <row r="6419" spans="1:10" x14ac:dyDescent="0.25">
      <c r="A6419">
        <v>623004</v>
      </c>
      <c r="B6419" t="s">
        <v>6746</v>
      </c>
      <c r="C6419" t="str">
        <f>"9789027226242"</f>
        <v>9789027226242</v>
      </c>
      <c r="D6419" t="str">
        <f>"9789027296139"</f>
        <v>9789027296139</v>
      </c>
      <c r="E6419" t="s">
        <v>6670</v>
      </c>
      <c r="F6419" t="s">
        <v>6670</v>
      </c>
      <c r="G6419" s="1">
        <v>37893</v>
      </c>
      <c r="H6419" s="1">
        <v>40604</v>
      </c>
      <c r="I6419" t="s">
        <v>12</v>
      </c>
      <c r="J6419" t="s">
        <v>17189</v>
      </c>
    </row>
    <row r="6420" spans="1:10" x14ac:dyDescent="0.25">
      <c r="A6420">
        <v>623011</v>
      </c>
      <c r="B6420" t="s">
        <v>6747</v>
      </c>
      <c r="C6420" t="str">
        <f>"9789027222893"</f>
        <v>9789027222893</v>
      </c>
      <c r="D6420" t="str">
        <f>"9789027294296"</f>
        <v>9789027294296</v>
      </c>
      <c r="E6420" t="s">
        <v>6670</v>
      </c>
      <c r="F6420" t="s">
        <v>6670</v>
      </c>
      <c r="G6420" s="1">
        <v>38582</v>
      </c>
      <c r="H6420" s="1">
        <v>40604</v>
      </c>
      <c r="I6420" t="s">
        <v>12</v>
      </c>
      <c r="J6420" t="s">
        <v>17190</v>
      </c>
    </row>
    <row r="6421" spans="1:10" x14ac:dyDescent="0.25">
      <c r="A6421">
        <v>623012</v>
      </c>
      <c r="B6421" t="s">
        <v>6748</v>
      </c>
      <c r="C6421" t="str">
        <f>"9789027227898"</f>
        <v>9789027227898</v>
      </c>
      <c r="D6421" t="str">
        <f>"9789027295781"</f>
        <v>9789027295781</v>
      </c>
      <c r="E6421" t="s">
        <v>6670</v>
      </c>
      <c r="F6421" t="s">
        <v>6670</v>
      </c>
      <c r="G6421" s="1">
        <v>37925</v>
      </c>
      <c r="H6421" s="1">
        <v>40604</v>
      </c>
      <c r="I6421" t="s">
        <v>12</v>
      </c>
      <c r="J6421" t="s">
        <v>17191</v>
      </c>
    </row>
    <row r="6422" spans="1:10" x14ac:dyDescent="0.25">
      <c r="A6422">
        <v>623022</v>
      </c>
      <c r="B6422" t="s">
        <v>6749</v>
      </c>
      <c r="C6422" t="str">
        <f>"9789027233363"</f>
        <v>9789027233363</v>
      </c>
      <c r="D6422" t="str">
        <f>"9789027291516"</f>
        <v>9789027291516</v>
      </c>
      <c r="E6422" t="s">
        <v>6670</v>
      </c>
      <c r="F6422" t="s">
        <v>6670</v>
      </c>
      <c r="G6422" s="1">
        <v>39526</v>
      </c>
      <c r="H6422" s="1">
        <v>40604</v>
      </c>
      <c r="I6422" t="s">
        <v>12</v>
      </c>
      <c r="J6422" t="s">
        <v>17192</v>
      </c>
    </row>
    <row r="6423" spans="1:10" x14ac:dyDescent="0.25">
      <c r="A6423">
        <v>623030</v>
      </c>
      <c r="B6423" t="s">
        <v>6750</v>
      </c>
      <c r="C6423" t="str">
        <f>"9789027226983"</f>
        <v>9789027226983</v>
      </c>
      <c r="D6423" t="str">
        <f>"9789027296023"</f>
        <v>9789027296023</v>
      </c>
      <c r="E6423" t="s">
        <v>6670</v>
      </c>
      <c r="F6423" t="s">
        <v>6670</v>
      </c>
      <c r="G6423" s="1">
        <v>37942</v>
      </c>
      <c r="H6423" s="1">
        <v>40604</v>
      </c>
      <c r="I6423" t="s">
        <v>12</v>
      </c>
      <c r="J6423" t="s">
        <v>17193</v>
      </c>
    </row>
    <row r="6424" spans="1:10" x14ac:dyDescent="0.25">
      <c r="A6424">
        <v>623050</v>
      </c>
      <c r="B6424" t="s">
        <v>6751</v>
      </c>
      <c r="C6424" t="str">
        <f>"9789027253088"</f>
        <v>9789027253088</v>
      </c>
      <c r="D6424" t="str">
        <f>"9789027289995"</f>
        <v>9789027289995</v>
      </c>
      <c r="E6424" t="s">
        <v>6670</v>
      </c>
      <c r="F6424" t="s">
        <v>6670</v>
      </c>
      <c r="G6424" s="1">
        <v>39827</v>
      </c>
      <c r="H6424" s="1">
        <v>40604</v>
      </c>
      <c r="I6424" t="s">
        <v>12</v>
      </c>
      <c r="J6424" t="s">
        <v>17194</v>
      </c>
    </row>
    <row r="6425" spans="1:10" x14ac:dyDescent="0.25">
      <c r="A6425">
        <v>623086</v>
      </c>
      <c r="B6425" t="s">
        <v>6752</v>
      </c>
      <c r="C6425" t="str">
        <f>"9789027253101"</f>
        <v>9789027253101</v>
      </c>
      <c r="D6425" t="str">
        <f>"9789027289117"</f>
        <v>9789027289117</v>
      </c>
      <c r="E6425" t="s">
        <v>6670</v>
      </c>
      <c r="F6425" t="s">
        <v>6670</v>
      </c>
      <c r="G6425" s="1">
        <v>40023</v>
      </c>
      <c r="H6425" s="1">
        <v>40604</v>
      </c>
      <c r="I6425" t="s">
        <v>12</v>
      </c>
      <c r="J6425" t="s">
        <v>17195</v>
      </c>
    </row>
    <row r="6426" spans="1:10" x14ac:dyDescent="0.25">
      <c r="A6426">
        <v>623093</v>
      </c>
      <c r="B6426" t="s">
        <v>6753</v>
      </c>
      <c r="C6426" t="str">
        <f>"9789027224286"</f>
        <v>9789027224286</v>
      </c>
      <c r="D6426" t="str">
        <f>"9789027289551"</f>
        <v>9789027289551</v>
      </c>
      <c r="E6426" t="s">
        <v>6670</v>
      </c>
      <c r="F6426" t="s">
        <v>6670</v>
      </c>
      <c r="G6426" s="1">
        <v>39953</v>
      </c>
      <c r="H6426" s="1">
        <v>40604</v>
      </c>
      <c r="I6426" t="s">
        <v>12</v>
      </c>
      <c r="J6426" t="s">
        <v>17196</v>
      </c>
    </row>
    <row r="6427" spans="1:10" x14ac:dyDescent="0.25">
      <c r="A6427">
        <v>623118</v>
      </c>
      <c r="B6427" t="s">
        <v>6754</v>
      </c>
      <c r="C6427" t="str">
        <f>"9789027216755"</f>
        <v>9789027216755</v>
      </c>
      <c r="D6427" t="str">
        <f>"9789027293411"</f>
        <v>9789027293411</v>
      </c>
      <c r="E6427" t="s">
        <v>6670</v>
      </c>
      <c r="F6427" t="s">
        <v>6670</v>
      </c>
      <c r="G6427" s="1">
        <v>38939</v>
      </c>
      <c r="H6427" s="1">
        <v>40604</v>
      </c>
      <c r="I6427" t="s">
        <v>12</v>
      </c>
      <c r="J6427" t="s">
        <v>17197</v>
      </c>
    </row>
    <row r="6428" spans="1:10" x14ac:dyDescent="0.25">
      <c r="A6428">
        <v>623121</v>
      </c>
      <c r="B6428" t="s">
        <v>6755</v>
      </c>
      <c r="C6428" t="str">
        <f>"9789027226464"</f>
        <v>9789027226464</v>
      </c>
      <c r="D6428" t="str">
        <f>"9789027294272"</f>
        <v>9789027294272</v>
      </c>
      <c r="E6428" t="s">
        <v>6670</v>
      </c>
      <c r="F6428" t="s">
        <v>6670</v>
      </c>
      <c r="G6428" s="1">
        <v>38533</v>
      </c>
      <c r="H6428" s="1">
        <v>40604</v>
      </c>
      <c r="I6428" t="s">
        <v>12</v>
      </c>
      <c r="J6428" t="s">
        <v>17198</v>
      </c>
    </row>
    <row r="6429" spans="1:10" x14ac:dyDescent="0.25">
      <c r="A6429">
        <v>623137</v>
      </c>
      <c r="B6429" t="s">
        <v>6756</v>
      </c>
      <c r="C6429" t="str">
        <f>"9789027254207"</f>
        <v>9789027254207</v>
      </c>
      <c r="D6429" t="str">
        <f>"9789027291417"</f>
        <v>9789027291417</v>
      </c>
      <c r="E6429" t="s">
        <v>6670</v>
      </c>
      <c r="F6429" t="s">
        <v>6670</v>
      </c>
      <c r="G6429" s="1">
        <v>39548</v>
      </c>
      <c r="H6429" s="1">
        <v>40604</v>
      </c>
      <c r="I6429" t="s">
        <v>12</v>
      </c>
      <c r="J6429" t="s">
        <v>17199</v>
      </c>
    </row>
    <row r="6430" spans="1:10" x14ac:dyDescent="0.25">
      <c r="A6430">
        <v>623212</v>
      </c>
      <c r="B6430" t="s">
        <v>6757</v>
      </c>
      <c r="C6430" t="str">
        <f>"9789027232663"</f>
        <v>9789027232663</v>
      </c>
      <c r="D6430" t="str">
        <f>"9789027289087"</f>
        <v>9789027289087</v>
      </c>
      <c r="E6430" t="s">
        <v>6670</v>
      </c>
      <c r="F6430" t="s">
        <v>6670</v>
      </c>
      <c r="G6430" s="1">
        <v>40086</v>
      </c>
      <c r="H6430" s="1">
        <v>40604</v>
      </c>
      <c r="I6430" t="s">
        <v>12</v>
      </c>
      <c r="J6430" t="s">
        <v>17200</v>
      </c>
    </row>
    <row r="6431" spans="1:10" x14ac:dyDescent="0.25">
      <c r="A6431">
        <v>623240</v>
      </c>
      <c r="B6431" t="s">
        <v>6758</v>
      </c>
      <c r="C6431" t="str">
        <f>"9789027216816"</f>
        <v>9789027216816</v>
      </c>
      <c r="D6431" t="str">
        <f>"9789027292513"</f>
        <v>9789027292513</v>
      </c>
      <c r="E6431" t="s">
        <v>6670</v>
      </c>
      <c r="F6431" t="s">
        <v>6670</v>
      </c>
      <c r="G6431" s="1">
        <v>39239</v>
      </c>
      <c r="H6431" s="1">
        <v>40604</v>
      </c>
      <c r="I6431" t="s">
        <v>12</v>
      </c>
      <c r="J6431" t="s">
        <v>17201</v>
      </c>
    </row>
    <row r="6432" spans="1:10" x14ac:dyDescent="0.25">
      <c r="A6432">
        <v>623242</v>
      </c>
      <c r="B6432" t="s">
        <v>6759</v>
      </c>
      <c r="C6432" t="str">
        <f>"9789027216762"</f>
        <v>9789027216762</v>
      </c>
      <c r="D6432" t="str">
        <f>"9789027293237"</f>
        <v>9789027293237</v>
      </c>
      <c r="E6432" t="s">
        <v>6670</v>
      </c>
      <c r="F6432" t="s">
        <v>6670</v>
      </c>
      <c r="G6432" s="1">
        <v>39015</v>
      </c>
      <c r="H6432" s="1">
        <v>40604</v>
      </c>
      <c r="I6432" t="s">
        <v>12</v>
      </c>
      <c r="J6432" t="s">
        <v>17202</v>
      </c>
    </row>
    <row r="6433" spans="1:10" x14ac:dyDescent="0.25">
      <c r="A6433">
        <v>623274</v>
      </c>
      <c r="B6433" t="s">
        <v>6760</v>
      </c>
      <c r="C6433" t="str">
        <f>"9789027222435"</f>
        <v>9789027222435</v>
      </c>
      <c r="D6433" t="str">
        <f>"9789027289513"</f>
        <v>9789027289513</v>
      </c>
      <c r="E6433" t="s">
        <v>6670</v>
      </c>
      <c r="F6433" t="s">
        <v>6670</v>
      </c>
      <c r="G6433" s="1">
        <v>39953</v>
      </c>
      <c r="H6433" s="1">
        <v>40604</v>
      </c>
      <c r="I6433" t="s">
        <v>12</v>
      </c>
      <c r="J6433" t="s">
        <v>17203</v>
      </c>
    </row>
    <row r="6434" spans="1:10" x14ac:dyDescent="0.25">
      <c r="A6434">
        <v>623296</v>
      </c>
      <c r="B6434" t="s">
        <v>6761</v>
      </c>
      <c r="C6434" t="str">
        <f>"9789027249005"</f>
        <v>9789027249005</v>
      </c>
      <c r="D6434" t="str">
        <f>"9789027289063"</f>
        <v>9789027289063</v>
      </c>
      <c r="E6434" t="s">
        <v>6670</v>
      </c>
      <c r="F6434" t="s">
        <v>6670</v>
      </c>
      <c r="G6434" s="1">
        <v>40079</v>
      </c>
      <c r="H6434" s="1">
        <v>40604</v>
      </c>
      <c r="I6434" t="s">
        <v>12</v>
      </c>
      <c r="J6434" t="s">
        <v>17204</v>
      </c>
    </row>
    <row r="6435" spans="1:10" x14ac:dyDescent="0.25">
      <c r="A6435">
        <v>623299</v>
      </c>
      <c r="B6435" t="s">
        <v>6762</v>
      </c>
      <c r="C6435" t="str">
        <f>"9789027253842"</f>
        <v>9789027253842</v>
      </c>
      <c r="D6435" t="str">
        <f>"9789027294104"</f>
        <v>9789027294104</v>
      </c>
      <c r="E6435" t="s">
        <v>6670</v>
      </c>
      <c r="F6435" t="s">
        <v>6670</v>
      </c>
      <c r="G6435" s="1">
        <v>38658</v>
      </c>
      <c r="H6435" s="1">
        <v>40604</v>
      </c>
      <c r="I6435" t="s">
        <v>12</v>
      </c>
      <c r="J6435" t="s">
        <v>17205</v>
      </c>
    </row>
    <row r="6436" spans="1:10" x14ac:dyDescent="0.25">
      <c r="A6436">
        <v>623303</v>
      </c>
      <c r="B6436" t="s">
        <v>6763</v>
      </c>
      <c r="C6436" t="str">
        <f>"9789027205896"</f>
        <v>9789027205896</v>
      </c>
      <c r="D6436" t="str">
        <f>"9789027287427"</f>
        <v>9789027287427</v>
      </c>
      <c r="E6436" t="s">
        <v>6670</v>
      </c>
      <c r="F6436" t="s">
        <v>6670</v>
      </c>
      <c r="G6436" s="1">
        <v>40527</v>
      </c>
      <c r="H6436" s="1">
        <v>40604</v>
      </c>
      <c r="I6436" t="s">
        <v>12</v>
      </c>
      <c r="J6436" t="s">
        <v>17206</v>
      </c>
    </row>
    <row r="6437" spans="1:10" x14ac:dyDescent="0.25">
      <c r="A6437">
        <v>623312</v>
      </c>
      <c r="B6437" t="s">
        <v>6764</v>
      </c>
      <c r="C6437" t="str">
        <f>"9789027253156"</f>
        <v>9789027253156</v>
      </c>
      <c r="D6437" t="str">
        <f>"9789027287489"</f>
        <v>9789027287489</v>
      </c>
      <c r="E6437" t="s">
        <v>6670</v>
      </c>
      <c r="F6437" t="s">
        <v>6670</v>
      </c>
      <c r="G6437" s="1">
        <v>40527</v>
      </c>
      <c r="H6437" s="1">
        <v>40604</v>
      </c>
      <c r="I6437" t="s">
        <v>12</v>
      </c>
      <c r="J6437" t="s">
        <v>17207</v>
      </c>
    </row>
    <row r="6438" spans="1:10" x14ac:dyDescent="0.25">
      <c r="A6438">
        <v>623313</v>
      </c>
      <c r="B6438" t="s">
        <v>6765</v>
      </c>
      <c r="C6438" t="str">
        <f>"9789027223142"</f>
        <v>9789027223142</v>
      </c>
      <c r="D6438" t="str">
        <f>"9789027288257"</f>
        <v>9789027288257</v>
      </c>
      <c r="E6438" t="s">
        <v>6670</v>
      </c>
      <c r="F6438" t="s">
        <v>6670</v>
      </c>
      <c r="G6438" s="1">
        <v>40326</v>
      </c>
      <c r="H6438" s="1">
        <v>40604</v>
      </c>
      <c r="I6438" t="s">
        <v>12</v>
      </c>
      <c r="J6438" t="s">
        <v>17208</v>
      </c>
    </row>
    <row r="6439" spans="1:10" x14ac:dyDescent="0.25">
      <c r="A6439">
        <v>623315</v>
      </c>
      <c r="B6439" t="s">
        <v>6766</v>
      </c>
      <c r="C6439" t="str">
        <f>"9789027255365"</f>
        <v>9789027255365</v>
      </c>
      <c r="D6439" t="str">
        <f>"9789027288349"</f>
        <v>9789027288349</v>
      </c>
      <c r="E6439" t="s">
        <v>6670</v>
      </c>
      <c r="F6439" t="s">
        <v>6670</v>
      </c>
      <c r="G6439" s="1">
        <v>40304</v>
      </c>
      <c r="H6439" s="1">
        <v>40604</v>
      </c>
      <c r="I6439" t="s">
        <v>12</v>
      </c>
      <c r="J6439" t="s">
        <v>17209</v>
      </c>
    </row>
    <row r="6440" spans="1:10" x14ac:dyDescent="0.25">
      <c r="A6440">
        <v>623316</v>
      </c>
      <c r="B6440" t="s">
        <v>6767</v>
      </c>
      <c r="C6440" t="str">
        <f>"9789027226327"</f>
        <v>9789027226327</v>
      </c>
      <c r="D6440" t="str">
        <f>"9789027288455"</f>
        <v>9789027288455</v>
      </c>
      <c r="E6440" t="s">
        <v>6670</v>
      </c>
      <c r="F6440" t="s">
        <v>6670</v>
      </c>
      <c r="G6440" s="1">
        <v>40261</v>
      </c>
      <c r="H6440" s="1">
        <v>40604</v>
      </c>
      <c r="I6440" t="s">
        <v>12</v>
      </c>
      <c r="J6440" t="s">
        <v>17210</v>
      </c>
    </row>
    <row r="6441" spans="1:10" x14ac:dyDescent="0.25">
      <c r="A6441">
        <v>623317</v>
      </c>
      <c r="B6441" t="s">
        <v>6768</v>
      </c>
      <c r="C6441" t="str">
        <f>"9789027219916"</f>
        <v>9789027219916</v>
      </c>
      <c r="D6441" t="str">
        <f>"9789027287960"</f>
        <v>9789027287960</v>
      </c>
      <c r="E6441" t="s">
        <v>6670</v>
      </c>
      <c r="F6441" t="s">
        <v>6670</v>
      </c>
      <c r="G6441" s="1">
        <v>40477</v>
      </c>
      <c r="H6441" s="1">
        <v>40604</v>
      </c>
      <c r="I6441" t="s">
        <v>12</v>
      </c>
      <c r="J6441" t="s">
        <v>17211</v>
      </c>
    </row>
    <row r="6442" spans="1:10" x14ac:dyDescent="0.25">
      <c r="A6442">
        <v>623325</v>
      </c>
      <c r="B6442" t="s">
        <v>6769</v>
      </c>
      <c r="C6442" t="str">
        <f>"9789027205889"</f>
        <v>9789027205889</v>
      </c>
      <c r="D6442" t="str">
        <f>"9789027287588"</f>
        <v>9789027287588</v>
      </c>
      <c r="E6442" t="s">
        <v>6670</v>
      </c>
      <c r="F6442" t="s">
        <v>6670</v>
      </c>
      <c r="G6442" s="1">
        <v>40507</v>
      </c>
      <c r="H6442" s="1">
        <v>40647</v>
      </c>
      <c r="I6442" t="s">
        <v>12</v>
      </c>
      <c r="J6442" t="s">
        <v>17212</v>
      </c>
    </row>
    <row r="6443" spans="1:10" x14ac:dyDescent="0.25">
      <c r="A6443">
        <v>623328</v>
      </c>
      <c r="B6443" t="s">
        <v>6770</v>
      </c>
      <c r="C6443" t="str">
        <f>"9789027239020"</f>
        <v>9789027239020</v>
      </c>
      <c r="D6443" t="str">
        <f>"9789027288325"</f>
        <v>9789027288325</v>
      </c>
      <c r="E6443" t="s">
        <v>6670</v>
      </c>
      <c r="F6443" t="s">
        <v>6670</v>
      </c>
      <c r="G6443" s="1">
        <v>40256</v>
      </c>
      <c r="H6443" s="1">
        <v>40604</v>
      </c>
      <c r="I6443" t="s">
        <v>12</v>
      </c>
      <c r="J6443" t="s">
        <v>17213</v>
      </c>
    </row>
    <row r="6444" spans="1:10" x14ac:dyDescent="0.25">
      <c r="A6444">
        <v>623350</v>
      </c>
      <c r="B6444" t="s">
        <v>6771</v>
      </c>
      <c r="C6444" t="str">
        <f>"9789027219961"</f>
        <v>9789027219961</v>
      </c>
      <c r="D6444" t="str">
        <f>"9789027287953"</f>
        <v>9789027287953</v>
      </c>
      <c r="E6444" t="s">
        <v>6670</v>
      </c>
      <c r="F6444" t="s">
        <v>6670</v>
      </c>
      <c r="G6444" s="1">
        <v>40477</v>
      </c>
      <c r="H6444" s="1">
        <v>40604</v>
      </c>
      <c r="I6444" t="s">
        <v>12</v>
      </c>
      <c r="J6444" t="s">
        <v>17214</v>
      </c>
    </row>
    <row r="6445" spans="1:10" x14ac:dyDescent="0.25">
      <c r="A6445">
        <v>623369</v>
      </c>
      <c r="B6445" t="s">
        <v>6772</v>
      </c>
      <c r="C6445" t="str">
        <f>"9789027218681"</f>
        <v>9789027218681</v>
      </c>
      <c r="D6445" t="str">
        <f>"9789027287502"</f>
        <v>9789027287502</v>
      </c>
      <c r="E6445" t="s">
        <v>6670</v>
      </c>
      <c r="F6445" t="s">
        <v>6670</v>
      </c>
      <c r="G6445" s="1">
        <v>40493</v>
      </c>
      <c r="H6445" s="1">
        <v>40604</v>
      </c>
      <c r="I6445" t="s">
        <v>12</v>
      </c>
      <c r="J6445" t="s">
        <v>17215</v>
      </c>
    </row>
    <row r="6446" spans="1:10" x14ac:dyDescent="0.25">
      <c r="A6446">
        <v>623383</v>
      </c>
      <c r="B6446" t="s">
        <v>6773</v>
      </c>
      <c r="C6446" t="str">
        <f>"9789027256034"</f>
        <v>9789027256034</v>
      </c>
      <c r="D6446" t="str">
        <f>"9789027287700"</f>
        <v>9789027287700</v>
      </c>
      <c r="E6446" t="s">
        <v>6670</v>
      </c>
      <c r="F6446" t="s">
        <v>6670</v>
      </c>
      <c r="G6446" s="1">
        <v>40507</v>
      </c>
      <c r="H6446" s="1">
        <v>40647</v>
      </c>
      <c r="I6446" t="s">
        <v>12</v>
      </c>
      <c r="J6446" t="s">
        <v>17216</v>
      </c>
    </row>
    <row r="6447" spans="1:10" x14ac:dyDescent="0.25">
      <c r="A6447">
        <v>623386</v>
      </c>
      <c r="B6447" t="s">
        <v>6774</v>
      </c>
      <c r="C6447" t="str">
        <f>"9789027252159"</f>
        <v>9789027252159</v>
      </c>
      <c r="D6447" t="str">
        <f>"9789027288042"</f>
        <v>9789027288042</v>
      </c>
      <c r="E6447" t="s">
        <v>6670</v>
      </c>
      <c r="F6447" t="s">
        <v>6670</v>
      </c>
      <c r="G6447" s="1">
        <v>40479</v>
      </c>
      <c r="H6447" s="1">
        <v>40604</v>
      </c>
      <c r="I6447" t="s">
        <v>12</v>
      </c>
      <c r="J6447" t="s">
        <v>17217</v>
      </c>
    </row>
    <row r="6448" spans="1:10" x14ac:dyDescent="0.25">
      <c r="A6448">
        <v>623396</v>
      </c>
      <c r="B6448" t="s">
        <v>6775</v>
      </c>
      <c r="C6448" t="str">
        <f>"9789027255457"</f>
        <v>9789027255457</v>
      </c>
      <c r="D6448" t="str">
        <f>"9789027287977"</f>
        <v>9789027287977</v>
      </c>
      <c r="E6448" t="s">
        <v>6670</v>
      </c>
      <c r="F6448" t="s">
        <v>6670</v>
      </c>
      <c r="G6448" s="1">
        <v>40450</v>
      </c>
      <c r="H6448" s="1">
        <v>40604</v>
      </c>
      <c r="I6448" t="s">
        <v>12</v>
      </c>
      <c r="J6448" t="s">
        <v>17218</v>
      </c>
    </row>
    <row r="6449" spans="1:10" x14ac:dyDescent="0.25">
      <c r="A6449">
        <v>623397</v>
      </c>
      <c r="B6449" t="s">
        <v>6776</v>
      </c>
      <c r="C6449" t="str">
        <f>"9789027206305"</f>
        <v>9789027206305</v>
      </c>
      <c r="D6449" t="str">
        <f>"9789027287885"</f>
        <v>9789027287885</v>
      </c>
      <c r="E6449" t="s">
        <v>6670</v>
      </c>
      <c r="F6449" t="s">
        <v>6670</v>
      </c>
      <c r="G6449" s="1">
        <v>40493</v>
      </c>
      <c r="H6449" s="1">
        <v>40604</v>
      </c>
      <c r="I6449" t="s">
        <v>12</v>
      </c>
      <c r="J6449" t="s">
        <v>17219</v>
      </c>
    </row>
    <row r="6450" spans="1:10" x14ac:dyDescent="0.25">
      <c r="A6450">
        <v>623427</v>
      </c>
      <c r="B6450" t="s">
        <v>6777</v>
      </c>
      <c r="C6450" t="str">
        <f>"9789027224347"</f>
        <v>9789027224347</v>
      </c>
      <c r="D6450" t="str">
        <f>"9789027288646"</f>
        <v>9789027288646</v>
      </c>
      <c r="E6450" t="s">
        <v>6670</v>
      </c>
      <c r="F6450" t="s">
        <v>6670</v>
      </c>
      <c r="G6450" s="1">
        <v>40234</v>
      </c>
      <c r="H6450" s="1">
        <v>40604</v>
      </c>
      <c r="I6450" t="s">
        <v>12</v>
      </c>
      <c r="J6450" t="s">
        <v>17220</v>
      </c>
    </row>
    <row r="6451" spans="1:10" x14ac:dyDescent="0.25">
      <c r="A6451">
        <v>624519</v>
      </c>
      <c r="B6451" t="s">
        <v>6778</v>
      </c>
      <c r="C6451" t="str">
        <f>"9780470634035"</f>
        <v>9780470634035</v>
      </c>
      <c r="D6451" t="str">
        <f>"9780470944196"</f>
        <v>9780470944196</v>
      </c>
      <c r="E6451" t="s">
        <v>1088</v>
      </c>
      <c r="F6451" t="s">
        <v>5057</v>
      </c>
      <c r="G6451" s="1">
        <v>40437</v>
      </c>
      <c r="H6451" s="1">
        <v>40568</v>
      </c>
      <c r="I6451" t="s">
        <v>12</v>
      </c>
      <c r="J6451" t="s">
        <v>17221</v>
      </c>
    </row>
    <row r="6452" spans="1:10" x14ac:dyDescent="0.25">
      <c r="A6452">
        <v>624835</v>
      </c>
      <c r="B6452" t="s">
        <v>6779</v>
      </c>
      <c r="C6452" t="str">
        <f>"9789814328371"</f>
        <v>9789814328371</v>
      </c>
      <c r="D6452" t="str">
        <f>"9789814312929"</f>
        <v>9789814312929</v>
      </c>
      <c r="E6452" t="s">
        <v>6780</v>
      </c>
      <c r="F6452" t="s">
        <v>6781</v>
      </c>
      <c r="G6452" s="1">
        <v>40179</v>
      </c>
      <c r="H6452" s="1">
        <v>40538</v>
      </c>
      <c r="I6452" t="s">
        <v>12</v>
      </c>
      <c r="J6452" t="s">
        <v>17222</v>
      </c>
    </row>
    <row r="6453" spans="1:10" x14ac:dyDescent="0.25">
      <c r="A6453">
        <v>624836</v>
      </c>
      <c r="B6453" t="s">
        <v>6782</v>
      </c>
      <c r="C6453" t="str">
        <f>"9789814276917"</f>
        <v>9789814276917</v>
      </c>
      <c r="D6453" t="str">
        <f>"9789814312738"</f>
        <v>9789814312738</v>
      </c>
      <c r="E6453" t="s">
        <v>6780</v>
      </c>
      <c r="F6453" t="s">
        <v>6781</v>
      </c>
      <c r="G6453" s="1">
        <v>40179</v>
      </c>
      <c r="H6453" s="1">
        <v>40538</v>
      </c>
      <c r="I6453" t="s">
        <v>12</v>
      </c>
      <c r="J6453" t="s">
        <v>17223</v>
      </c>
    </row>
    <row r="6454" spans="1:10" x14ac:dyDescent="0.25">
      <c r="A6454">
        <v>624839</v>
      </c>
      <c r="B6454" t="s">
        <v>6783</v>
      </c>
      <c r="C6454" t="str">
        <f>"9789814276924"</f>
        <v>9789814276924</v>
      </c>
      <c r="D6454" t="str">
        <f>"9789814312745"</f>
        <v>9789814312745</v>
      </c>
      <c r="E6454" t="s">
        <v>6780</v>
      </c>
      <c r="F6454" t="s">
        <v>6781</v>
      </c>
      <c r="G6454" s="1">
        <v>40179</v>
      </c>
      <c r="H6454" s="1">
        <v>40538</v>
      </c>
      <c r="I6454" t="s">
        <v>12</v>
      </c>
      <c r="J6454" t="s">
        <v>17224</v>
      </c>
    </row>
    <row r="6455" spans="1:10" x14ac:dyDescent="0.25">
      <c r="A6455">
        <v>624920</v>
      </c>
      <c r="B6455" t="s">
        <v>6784</v>
      </c>
      <c r="C6455" t="str">
        <f>"9781593921804"</f>
        <v>9781593921804</v>
      </c>
      <c r="D6455" t="str">
        <f>"9781593925239"</f>
        <v>9781593925239</v>
      </c>
      <c r="E6455" t="s">
        <v>6785</v>
      </c>
      <c r="F6455" t="s">
        <v>6785</v>
      </c>
      <c r="G6455" s="1">
        <v>40417</v>
      </c>
      <c r="H6455" s="1">
        <v>40538</v>
      </c>
      <c r="I6455" t="s">
        <v>12</v>
      </c>
      <c r="J6455" t="s">
        <v>17225</v>
      </c>
    </row>
    <row r="6456" spans="1:10" x14ac:dyDescent="0.25">
      <c r="A6456">
        <v>625114</v>
      </c>
      <c r="B6456" t="s">
        <v>6786</v>
      </c>
      <c r="C6456" t="str">
        <f>"9780738213811"</f>
        <v>9780738213811</v>
      </c>
      <c r="D6456" t="str">
        <f>"9780738214405"</f>
        <v>9780738214405</v>
      </c>
      <c r="E6456" t="s">
        <v>6312</v>
      </c>
      <c r="F6456" t="s">
        <v>6787</v>
      </c>
      <c r="G6456" s="1">
        <v>40463</v>
      </c>
      <c r="H6456" s="1">
        <v>40538</v>
      </c>
      <c r="I6456" t="s">
        <v>12</v>
      </c>
      <c r="J6456" t="s">
        <v>17226</v>
      </c>
    </row>
    <row r="6457" spans="1:10" x14ac:dyDescent="0.25">
      <c r="A6457">
        <v>625204</v>
      </c>
      <c r="B6457" t="s">
        <v>6788</v>
      </c>
      <c r="C6457" t="str">
        <f>"9781580052375"</f>
        <v>9781580052375</v>
      </c>
      <c r="D6457" t="str">
        <f>"9780786726714"</f>
        <v>9780786726714</v>
      </c>
      <c r="E6457" t="s">
        <v>6789</v>
      </c>
      <c r="F6457" t="s">
        <v>6789</v>
      </c>
      <c r="G6457" s="1">
        <v>39735</v>
      </c>
      <c r="H6457" s="1">
        <v>40551</v>
      </c>
      <c r="I6457" t="s">
        <v>12</v>
      </c>
      <c r="J6457" t="s">
        <v>17227</v>
      </c>
    </row>
    <row r="6458" spans="1:10" x14ac:dyDescent="0.25">
      <c r="A6458">
        <v>631612</v>
      </c>
      <c r="B6458" t="s">
        <v>6790</v>
      </c>
      <c r="C6458" t="str">
        <f>"9789264063662"</f>
        <v>9789264063662</v>
      </c>
      <c r="D6458" t="str">
        <f>"9789264091375"</f>
        <v>9789264091375</v>
      </c>
      <c r="E6458" t="s">
        <v>1185</v>
      </c>
      <c r="F6458" t="s">
        <v>1186</v>
      </c>
      <c r="G6458" s="1">
        <v>40519</v>
      </c>
      <c r="H6458" s="1">
        <v>40551</v>
      </c>
      <c r="I6458" t="s">
        <v>12</v>
      </c>
      <c r="J6458" t="s">
        <v>17228</v>
      </c>
    </row>
    <row r="6459" spans="1:10" x14ac:dyDescent="0.25">
      <c r="A6459">
        <v>634195</v>
      </c>
      <c r="B6459" t="s">
        <v>6791</v>
      </c>
      <c r="C6459" t="str">
        <f>"9781442206205"</f>
        <v>9781442206205</v>
      </c>
      <c r="D6459" t="str">
        <f>"9781442206229"</f>
        <v>9781442206229</v>
      </c>
      <c r="E6459" t="s">
        <v>6253</v>
      </c>
      <c r="F6459" t="s">
        <v>6253</v>
      </c>
      <c r="G6459" s="1">
        <v>40467</v>
      </c>
      <c r="H6459" s="1">
        <v>40870</v>
      </c>
      <c r="I6459" t="s">
        <v>12</v>
      </c>
      <c r="J6459" t="s">
        <v>17229</v>
      </c>
    </row>
    <row r="6460" spans="1:10" x14ac:dyDescent="0.25">
      <c r="A6460">
        <v>634204</v>
      </c>
      <c r="B6460" t="s">
        <v>6792</v>
      </c>
      <c r="C6460" t="str">
        <f>"9781607090298"</f>
        <v>9781607090298</v>
      </c>
      <c r="D6460" t="str">
        <f>"9781607090304"</f>
        <v>9781607090304</v>
      </c>
      <c r="E6460" t="s">
        <v>6076</v>
      </c>
      <c r="F6460" t="s">
        <v>6076</v>
      </c>
      <c r="G6460" s="1">
        <v>40498</v>
      </c>
      <c r="H6460" s="1">
        <v>40876</v>
      </c>
      <c r="I6460" t="s">
        <v>12</v>
      </c>
      <c r="J6460" t="s">
        <v>17230</v>
      </c>
    </row>
    <row r="6461" spans="1:10" x14ac:dyDescent="0.25">
      <c r="A6461">
        <v>634205</v>
      </c>
      <c r="B6461" t="s">
        <v>6793</v>
      </c>
      <c r="C6461" t="str">
        <f>"9781607094593"</f>
        <v>9781607094593</v>
      </c>
      <c r="D6461" t="str">
        <f>"9781607094609"</f>
        <v>9781607094609</v>
      </c>
      <c r="E6461" t="s">
        <v>6076</v>
      </c>
      <c r="F6461" t="s">
        <v>6076</v>
      </c>
      <c r="G6461" s="1">
        <v>40467</v>
      </c>
      <c r="H6461" s="1">
        <v>40876</v>
      </c>
      <c r="I6461" t="s">
        <v>12</v>
      </c>
      <c r="J6461" t="s">
        <v>17231</v>
      </c>
    </row>
    <row r="6462" spans="1:10" x14ac:dyDescent="0.25">
      <c r="A6462">
        <v>634280</v>
      </c>
      <c r="B6462" t="s">
        <v>6794</v>
      </c>
      <c r="C6462" t="str">
        <f>"9780810874367"</f>
        <v>9780810874367</v>
      </c>
      <c r="D6462" t="str">
        <f>"9780810874374"</f>
        <v>9780810874374</v>
      </c>
      <c r="E6462" t="s">
        <v>6074</v>
      </c>
      <c r="F6462" t="s">
        <v>6074</v>
      </c>
      <c r="G6462" s="1">
        <v>40441</v>
      </c>
      <c r="H6462" s="1">
        <v>42341</v>
      </c>
      <c r="I6462" t="s">
        <v>12</v>
      </c>
      <c r="J6462" t="s">
        <v>17232</v>
      </c>
    </row>
    <row r="6463" spans="1:10" x14ac:dyDescent="0.25">
      <c r="A6463">
        <v>634283</v>
      </c>
      <c r="B6463" t="s">
        <v>6795</v>
      </c>
      <c r="C6463" t="str">
        <f>"9780810858473"</f>
        <v>9780810858473</v>
      </c>
      <c r="D6463" t="str">
        <f>"9780810874992"</f>
        <v>9780810874992</v>
      </c>
      <c r="E6463" t="s">
        <v>6074</v>
      </c>
      <c r="F6463" t="s">
        <v>6074</v>
      </c>
      <c r="G6463" s="1">
        <v>40446</v>
      </c>
      <c r="H6463" s="1">
        <v>40876</v>
      </c>
      <c r="I6463" t="s">
        <v>12</v>
      </c>
      <c r="J6463" t="s">
        <v>17233</v>
      </c>
    </row>
    <row r="6464" spans="1:10" x14ac:dyDescent="0.25">
      <c r="A6464">
        <v>634286</v>
      </c>
      <c r="B6464" t="s">
        <v>6796</v>
      </c>
      <c r="C6464" t="str">
        <f>"9780810876972"</f>
        <v>9780810876972</v>
      </c>
      <c r="D6464" t="str">
        <f>"9780810876989"</f>
        <v>9780810876989</v>
      </c>
      <c r="E6464" t="s">
        <v>6074</v>
      </c>
      <c r="F6464" t="s">
        <v>6074</v>
      </c>
      <c r="G6464" s="1">
        <v>40498</v>
      </c>
      <c r="H6464" s="1">
        <v>40876</v>
      </c>
      <c r="I6464" t="s">
        <v>12</v>
      </c>
      <c r="J6464" t="s">
        <v>17234</v>
      </c>
    </row>
    <row r="6465" spans="1:10" x14ac:dyDescent="0.25">
      <c r="A6465">
        <v>634319</v>
      </c>
      <c r="B6465" t="s">
        <v>6797</v>
      </c>
      <c r="C6465" t="str">
        <f>"9781442207479"</f>
        <v>9781442207479</v>
      </c>
      <c r="D6465" t="str">
        <f>"9781442207493"</f>
        <v>9781442207493</v>
      </c>
      <c r="E6465" t="s">
        <v>6253</v>
      </c>
      <c r="F6465" t="s">
        <v>6253</v>
      </c>
      <c r="G6465" s="1">
        <v>40498</v>
      </c>
      <c r="H6465" s="1">
        <v>40876</v>
      </c>
      <c r="I6465" t="s">
        <v>12</v>
      </c>
      <c r="J6465" t="s">
        <v>17235</v>
      </c>
    </row>
    <row r="6466" spans="1:10" x14ac:dyDescent="0.25">
      <c r="A6466">
        <v>634557</v>
      </c>
      <c r="B6466" t="s">
        <v>6798</v>
      </c>
      <c r="C6466" t="str">
        <f>"9781441101662"</f>
        <v>9781441101662</v>
      </c>
      <c r="D6466" t="str">
        <f>"9781441153128"</f>
        <v>9781441153128</v>
      </c>
      <c r="E6466" t="s">
        <v>4180</v>
      </c>
      <c r="F6466" t="s">
        <v>4180</v>
      </c>
      <c r="G6466" s="1">
        <v>40591</v>
      </c>
      <c r="H6466" s="1">
        <v>42326</v>
      </c>
      <c r="I6466" t="s">
        <v>12</v>
      </c>
      <c r="J6466" t="s">
        <v>17236</v>
      </c>
    </row>
    <row r="6467" spans="1:10" x14ac:dyDescent="0.25">
      <c r="A6467">
        <v>634558</v>
      </c>
      <c r="B6467" t="s">
        <v>6799</v>
      </c>
      <c r="C6467" t="str">
        <f>"9781441166005"</f>
        <v>9781441166005</v>
      </c>
      <c r="D6467" t="str">
        <f>"9781441139108"</f>
        <v>9781441139108</v>
      </c>
      <c r="E6467" t="s">
        <v>4180</v>
      </c>
      <c r="F6467" t="s">
        <v>4180</v>
      </c>
      <c r="G6467" s="1">
        <v>41268</v>
      </c>
      <c r="H6467" s="1">
        <v>42326</v>
      </c>
      <c r="I6467" t="s">
        <v>12</v>
      </c>
      <c r="J6467" t="s">
        <v>17237</v>
      </c>
    </row>
    <row r="6468" spans="1:10" x14ac:dyDescent="0.25">
      <c r="A6468">
        <v>634571</v>
      </c>
      <c r="B6468" t="s">
        <v>6800</v>
      </c>
      <c r="C6468" t="str">
        <f>"9781441117328"</f>
        <v>9781441117328</v>
      </c>
      <c r="D6468" t="str">
        <f>"9781441193698"</f>
        <v>9781441193698</v>
      </c>
      <c r="E6468" t="s">
        <v>4180</v>
      </c>
      <c r="F6468" t="s">
        <v>4180</v>
      </c>
      <c r="G6468" s="1">
        <v>41179</v>
      </c>
      <c r="H6468" s="1">
        <v>42326</v>
      </c>
      <c r="I6468" t="s">
        <v>12</v>
      </c>
      <c r="J6468" t="s">
        <v>17238</v>
      </c>
    </row>
    <row r="6469" spans="1:10" x14ac:dyDescent="0.25">
      <c r="A6469">
        <v>634575</v>
      </c>
      <c r="B6469" t="s">
        <v>6801</v>
      </c>
      <c r="C6469" t="str">
        <f>"9781441186119"</f>
        <v>9781441186119</v>
      </c>
      <c r="D6469" t="str">
        <f>"9781441196644"</f>
        <v>9781441196644</v>
      </c>
      <c r="E6469" t="s">
        <v>4180</v>
      </c>
      <c r="F6469" t="s">
        <v>4180</v>
      </c>
      <c r="G6469" s="1">
        <v>40577</v>
      </c>
      <c r="H6469" s="1">
        <v>42326</v>
      </c>
      <c r="I6469" t="s">
        <v>12</v>
      </c>
      <c r="J6469" t="s">
        <v>17239</v>
      </c>
    </row>
    <row r="6470" spans="1:10" x14ac:dyDescent="0.25">
      <c r="A6470">
        <v>647640</v>
      </c>
      <c r="B6470" t="s">
        <v>6802</v>
      </c>
      <c r="C6470" t="str">
        <f>"9780566087332"</f>
        <v>9780566087332</v>
      </c>
      <c r="D6470" t="str">
        <f>"9780754683100"</f>
        <v>9780754683100</v>
      </c>
      <c r="E6470" t="s">
        <v>15</v>
      </c>
      <c r="F6470" t="s">
        <v>5573</v>
      </c>
      <c r="G6470" s="1">
        <v>40575</v>
      </c>
      <c r="H6470" s="1">
        <v>40577</v>
      </c>
      <c r="I6470" t="s">
        <v>12</v>
      </c>
      <c r="J6470" t="s">
        <v>17240</v>
      </c>
    </row>
    <row r="6471" spans="1:10" x14ac:dyDescent="0.25">
      <c r="A6471">
        <v>647693</v>
      </c>
      <c r="B6471" t="s">
        <v>6803</v>
      </c>
      <c r="C6471" t="str">
        <f>"9781933864525"</f>
        <v>9781933864525</v>
      </c>
      <c r="D6471" t="str">
        <f>"9781935281580"</f>
        <v>9781935281580</v>
      </c>
      <c r="E6471" t="s">
        <v>5872</v>
      </c>
      <c r="F6471" t="s">
        <v>5675</v>
      </c>
      <c r="G6471" s="1">
        <v>40421</v>
      </c>
      <c r="H6471" s="1">
        <v>40577</v>
      </c>
      <c r="I6471" t="s">
        <v>12</v>
      </c>
      <c r="J6471" t="s">
        <v>17241</v>
      </c>
    </row>
    <row r="6472" spans="1:10" x14ac:dyDescent="0.25">
      <c r="A6472">
        <v>648102</v>
      </c>
      <c r="B6472" t="s">
        <v>6804</v>
      </c>
      <c r="C6472" t="str">
        <f>"9780816645961"</f>
        <v>9780816645961</v>
      </c>
      <c r="D6472" t="str">
        <f>"9780816675098"</f>
        <v>9780816675098</v>
      </c>
      <c r="E6472" t="s">
        <v>3970</v>
      </c>
      <c r="F6472" t="s">
        <v>3970</v>
      </c>
      <c r="G6472" s="1">
        <v>40513</v>
      </c>
      <c r="H6472" s="1">
        <v>40578</v>
      </c>
      <c r="I6472" t="s">
        <v>12</v>
      </c>
      <c r="J6472" t="s">
        <v>17242</v>
      </c>
    </row>
    <row r="6473" spans="1:10" x14ac:dyDescent="0.25">
      <c r="A6473">
        <v>648105</v>
      </c>
      <c r="B6473" t="s">
        <v>6805</v>
      </c>
      <c r="C6473" t="str">
        <f>"9780816669738"</f>
        <v>9780816669738</v>
      </c>
      <c r="D6473" t="str">
        <f>"9780816675340"</f>
        <v>9780816675340</v>
      </c>
      <c r="E6473" t="s">
        <v>3970</v>
      </c>
      <c r="F6473" t="s">
        <v>3970</v>
      </c>
      <c r="G6473" s="1">
        <v>40564</v>
      </c>
      <c r="H6473" s="1">
        <v>40578</v>
      </c>
      <c r="I6473" t="s">
        <v>12</v>
      </c>
      <c r="J6473" t="s">
        <v>17243</v>
      </c>
    </row>
    <row r="6474" spans="1:10" x14ac:dyDescent="0.25">
      <c r="A6474">
        <v>648124</v>
      </c>
      <c r="B6474" t="s">
        <v>6806</v>
      </c>
      <c r="C6474" t="str">
        <f>"9780226028552"</f>
        <v>9780226028552</v>
      </c>
      <c r="D6474" t="str">
        <f>"9780226028576"</f>
        <v>9780226028576</v>
      </c>
      <c r="E6474" t="s">
        <v>5187</v>
      </c>
      <c r="F6474" t="s">
        <v>5187</v>
      </c>
      <c r="G6474" s="1">
        <v>40558</v>
      </c>
      <c r="H6474" s="1">
        <v>40578</v>
      </c>
      <c r="I6474" t="s">
        <v>12</v>
      </c>
      <c r="J6474" t="s">
        <v>17244</v>
      </c>
    </row>
    <row r="6475" spans="1:10" x14ac:dyDescent="0.25">
      <c r="A6475">
        <v>653594</v>
      </c>
      <c r="B6475" t="s">
        <v>6807</v>
      </c>
      <c r="C6475" t="str">
        <f>"9789027222572"</f>
        <v>9789027222572</v>
      </c>
      <c r="D6475" t="str">
        <f>"9789027287458"</f>
        <v>9789027287458</v>
      </c>
      <c r="E6475" t="s">
        <v>6670</v>
      </c>
      <c r="F6475" t="s">
        <v>6670</v>
      </c>
      <c r="G6475" s="1">
        <v>40558</v>
      </c>
      <c r="H6475" s="1">
        <v>40604</v>
      </c>
      <c r="I6475" t="s">
        <v>12</v>
      </c>
      <c r="J6475" t="s">
        <v>17245</v>
      </c>
    </row>
    <row r="6476" spans="1:10" x14ac:dyDescent="0.25">
      <c r="A6476">
        <v>655488</v>
      </c>
      <c r="B6476" t="s">
        <v>6808</v>
      </c>
      <c r="C6476" t="str">
        <f>"9780826421371"</f>
        <v>9780826421371</v>
      </c>
      <c r="D6476" t="str">
        <f>"9781441177193"</f>
        <v>9781441177193</v>
      </c>
      <c r="E6476" t="s">
        <v>4180</v>
      </c>
      <c r="F6476" t="s">
        <v>4180</v>
      </c>
      <c r="G6476" s="1">
        <v>40633</v>
      </c>
      <c r="H6476" s="1">
        <v>42326</v>
      </c>
      <c r="I6476" t="s">
        <v>12</v>
      </c>
      <c r="J6476" t="s">
        <v>17246</v>
      </c>
    </row>
    <row r="6477" spans="1:10" x14ac:dyDescent="0.25">
      <c r="A6477">
        <v>655490</v>
      </c>
      <c r="B6477" t="s">
        <v>6809</v>
      </c>
      <c r="C6477" t="str">
        <f>"9781441190130"</f>
        <v>9781441190130</v>
      </c>
      <c r="D6477" t="str">
        <f>"9781441104403"</f>
        <v>9781441104403</v>
      </c>
      <c r="E6477" t="s">
        <v>6601</v>
      </c>
      <c r="F6477" t="s">
        <v>6578</v>
      </c>
      <c r="G6477" s="1">
        <v>41487</v>
      </c>
      <c r="H6477" s="1">
        <v>41845</v>
      </c>
      <c r="I6477" t="s">
        <v>12</v>
      </c>
      <c r="J6477" t="s">
        <v>17247</v>
      </c>
    </row>
    <row r="6478" spans="1:10" x14ac:dyDescent="0.25">
      <c r="A6478">
        <v>655494</v>
      </c>
      <c r="B6478" t="s">
        <v>6810</v>
      </c>
      <c r="C6478" t="str">
        <f>"9781441175175"</f>
        <v>9781441175175</v>
      </c>
      <c r="D6478" t="str">
        <f>"9781441146656"</f>
        <v>9781441146656</v>
      </c>
      <c r="E6478" t="s">
        <v>4180</v>
      </c>
      <c r="F6478" t="s">
        <v>4180</v>
      </c>
      <c r="G6478" s="1">
        <v>41395</v>
      </c>
      <c r="H6478" s="1">
        <v>42326</v>
      </c>
      <c r="I6478" t="s">
        <v>12</v>
      </c>
      <c r="J6478" t="s">
        <v>17248</v>
      </c>
    </row>
    <row r="6479" spans="1:10" x14ac:dyDescent="0.25">
      <c r="A6479">
        <v>655497</v>
      </c>
      <c r="B6479" t="s">
        <v>6811</v>
      </c>
      <c r="C6479" t="str">
        <f>"9781441133267"</f>
        <v>9781441133267</v>
      </c>
      <c r="D6479" t="str">
        <f>"9781441174833"</f>
        <v>9781441174833</v>
      </c>
      <c r="E6479" t="s">
        <v>4180</v>
      </c>
      <c r="F6479" t="s">
        <v>4180</v>
      </c>
      <c r="G6479" s="1">
        <v>40626</v>
      </c>
      <c r="H6479" s="1">
        <v>42326</v>
      </c>
      <c r="I6479" t="s">
        <v>12</v>
      </c>
      <c r="J6479" t="s">
        <v>17249</v>
      </c>
    </row>
    <row r="6480" spans="1:10" x14ac:dyDescent="0.25">
      <c r="A6480">
        <v>655499</v>
      </c>
      <c r="B6480" t="s">
        <v>6812</v>
      </c>
      <c r="C6480" t="str">
        <f>"9781441162670"</f>
        <v>9781441162670</v>
      </c>
      <c r="D6480" t="str">
        <f>"9781441144249"</f>
        <v>9781441144249</v>
      </c>
      <c r="E6480" t="s">
        <v>4180</v>
      </c>
      <c r="F6480" t="s">
        <v>4180</v>
      </c>
      <c r="G6480" s="1">
        <v>40626</v>
      </c>
      <c r="H6480" s="1">
        <v>42326</v>
      </c>
      <c r="I6480" t="s">
        <v>12</v>
      </c>
      <c r="J6480" t="s">
        <v>17250</v>
      </c>
    </row>
    <row r="6481" spans="1:10" x14ac:dyDescent="0.25">
      <c r="A6481">
        <v>655507</v>
      </c>
      <c r="B6481" t="s">
        <v>6813</v>
      </c>
      <c r="C6481" t="str">
        <f>"9781441182937"</f>
        <v>9781441182937</v>
      </c>
      <c r="D6481" t="str">
        <f>"9781441175571"</f>
        <v>9781441175571</v>
      </c>
      <c r="E6481" t="s">
        <v>4180</v>
      </c>
      <c r="F6481" t="s">
        <v>4180</v>
      </c>
      <c r="G6481" s="1">
        <v>40619</v>
      </c>
      <c r="H6481" s="1">
        <v>42326</v>
      </c>
      <c r="I6481" t="s">
        <v>12</v>
      </c>
      <c r="J6481" t="s">
        <v>17251</v>
      </c>
    </row>
    <row r="6482" spans="1:10" x14ac:dyDescent="0.25">
      <c r="A6482">
        <v>655520</v>
      </c>
      <c r="B6482" t="s">
        <v>6814</v>
      </c>
      <c r="C6482" t="str">
        <f>"9781441149985"</f>
        <v>9781441149985</v>
      </c>
      <c r="D6482" t="str">
        <f>"9781441177261"</f>
        <v>9781441177261</v>
      </c>
      <c r="E6482" t="s">
        <v>6601</v>
      </c>
      <c r="F6482" t="s">
        <v>6578</v>
      </c>
      <c r="G6482" s="1">
        <v>40563</v>
      </c>
      <c r="H6482" s="1">
        <v>41845</v>
      </c>
      <c r="I6482" t="s">
        <v>12</v>
      </c>
      <c r="J6482" t="s">
        <v>17252</v>
      </c>
    </row>
    <row r="6483" spans="1:10" x14ac:dyDescent="0.25">
      <c r="A6483">
        <v>655796</v>
      </c>
      <c r="B6483" t="s">
        <v>6815</v>
      </c>
      <c r="C6483" t="str">
        <f>"9780226050423"</f>
        <v>9780226050423</v>
      </c>
      <c r="D6483" t="str">
        <f>"9780226050447"</f>
        <v>9780226050447</v>
      </c>
      <c r="E6483" t="s">
        <v>5187</v>
      </c>
      <c r="F6483" t="s">
        <v>5187</v>
      </c>
      <c r="G6483" s="1">
        <v>40558</v>
      </c>
      <c r="H6483" s="1">
        <v>40585</v>
      </c>
      <c r="I6483" t="s">
        <v>12</v>
      </c>
      <c r="J6483" t="s">
        <v>17253</v>
      </c>
    </row>
    <row r="6484" spans="1:10" x14ac:dyDescent="0.25">
      <c r="A6484">
        <v>660542</v>
      </c>
      <c r="B6484" t="s">
        <v>6816</v>
      </c>
      <c r="C6484" t="str">
        <f>"9780226768373"</f>
        <v>9780226768373</v>
      </c>
      <c r="D6484" t="str">
        <f>"9780226768397"</f>
        <v>9780226768397</v>
      </c>
      <c r="E6484" t="s">
        <v>5187</v>
      </c>
      <c r="F6484" t="s">
        <v>5187</v>
      </c>
      <c r="G6484" s="1">
        <v>40558</v>
      </c>
      <c r="H6484" s="1">
        <v>40602</v>
      </c>
      <c r="I6484" t="s">
        <v>12</v>
      </c>
      <c r="J6484" t="s">
        <v>17254</v>
      </c>
    </row>
    <row r="6485" spans="1:10" x14ac:dyDescent="0.25">
      <c r="A6485">
        <v>661021</v>
      </c>
      <c r="B6485" t="s">
        <v>6817</v>
      </c>
      <c r="C6485" t="str">
        <f>"9781441175663"</f>
        <v>9781441175663</v>
      </c>
      <c r="D6485" t="str">
        <f>"9781441101334"</f>
        <v>9781441101334</v>
      </c>
      <c r="E6485" t="s">
        <v>4180</v>
      </c>
      <c r="F6485" t="s">
        <v>4180</v>
      </c>
      <c r="G6485" s="1">
        <v>41267</v>
      </c>
      <c r="H6485" s="1">
        <v>40605</v>
      </c>
      <c r="I6485" t="s">
        <v>12</v>
      </c>
      <c r="J6485" t="s">
        <v>17255</v>
      </c>
    </row>
    <row r="6486" spans="1:10" x14ac:dyDescent="0.25">
      <c r="A6486">
        <v>661022</v>
      </c>
      <c r="B6486" t="s">
        <v>6818</v>
      </c>
      <c r="C6486" t="str">
        <f>"9781441112750"</f>
        <v>9781441112750</v>
      </c>
      <c r="D6486" t="str">
        <f>"9781441188403"</f>
        <v>9781441188403</v>
      </c>
      <c r="E6486" t="s">
        <v>1400</v>
      </c>
      <c r="F6486" t="s">
        <v>1401</v>
      </c>
      <c r="G6486" s="1">
        <v>40591</v>
      </c>
      <c r="H6486" s="1">
        <v>40602</v>
      </c>
      <c r="I6486" t="s">
        <v>12</v>
      </c>
      <c r="J6486" t="s">
        <v>17256</v>
      </c>
    </row>
    <row r="6487" spans="1:10" x14ac:dyDescent="0.25">
      <c r="A6487">
        <v>661028</v>
      </c>
      <c r="B6487" t="s">
        <v>6819</v>
      </c>
      <c r="C6487" t="str">
        <f>"9781441191724"</f>
        <v>9781441191724</v>
      </c>
      <c r="D6487" t="str">
        <f>"9781441141682"</f>
        <v>9781441141682</v>
      </c>
      <c r="E6487" t="s">
        <v>4180</v>
      </c>
      <c r="F6487" t="s">
        <v>4180</v>
      </c>
      <c r="G6487" s="1">
        <v>40654</v>
      </c>
      <c r="H6487" s="1">
        <v>41844</v>
      </c>
      <c r="I6487" t="s">
        <v>12</v>
      </c>
      <c r="J6487" t="s">
        <v>17257</v>
      </c>
    </row>
    <row r="6488" spans="1:10" x14ac:dyDescent="0.25">
      <c r="A6488">
        <v>661034</v>
      </c>
      <c r="B6488" t="s">
        <v>6820</v>
      </c>
      <c r="C6488" t="str">
        <f>"9781441130280"</f>
        <v>9781441130280</v>
      </c>
      <c r="D6488" t="str">
        <f>"9781441188878"</f>
        <v>9781441188878</v>
      </c>
      <c r="E6488" t="s">
        <v>4180</v>
      </c>
      <c r="F6488" t="s">
        <v>4180</v>
      </c>
      <c r="G6488" s="1">
        <v>40654</v>
      </c>
      <c r="H6488" s="1">
        <v>42326</v>
      </c>
      <c r="I6488" t="s">
        <v>12</v>
      </c>
      <c r="J6488" t="s">
        <v>17258</v>
      </c>
    </row>
    <row r="6489" spans="1:10" x14ac:dyDescent="0.25">
      <c r="A6489">
        <v>661035</v>
      </c>
      <c r="B6489" t="s">
        <v>6821</v>
      </c>
      <c r="C6489" t="str">
        <f>"9781441160522"</f>
        <v>9781441160522</v>
      </c>
      <c r="D6489" t="str">
        <f>"9781441192257"</f>
        <v>9781441192257</v>
      </c>
      <c r="E6489" t="s">
        <v>4180</v>
      </c>
      <c r="F6489" t="s">
        <v>4180</v>
      </c>
      <c r="G6489" s="1">
        <v>41334</v>
      </c>
      <c r="H6489" s="1">
        <v>42326</v>
      </c>
      <c r="I6489" t="s">
        <v>12</v>
      </c>
      <c r="J6489" t="s">
        <v>17259</v>
      </c>
    </row>
    <row r="6490" spans="1:10" x14ac:dyDescent="0.25">
      <c r="A6490">
        <v>661040</v>
      </c>
      <c r="B6490" t="s">
        <v>6822</v>
      </c>
      <c r="C6490" t="str">
        <f>"9780826431882"</f>
        <v>9780826431882</v>
      </c>
      <c r="D6490" t="str">
        <f>"9781441121295"</f>
        <v>9781441121295</v>
      </c>
      <c r="E6490" t="s">
        <v>4180</v>
      </c>
      <c r="F6490" t="s">
        <v>4180</v>
      </c>
      <c r="G6490" s="1">
        <v>40661</v>
      </c>
      <c r="H6490" s="1">
        <v>41844</v>
      </c>
      <c r="I6490" t="s">
        <v>12</v>
      </c>
      <c r="J6490" t="s">
        <v>17260</v>
      </c>
    </row>
    <row r="6491" spans="1:10" x14ac:dyDescent="0.25">
      <c r="A6491">
        <v>661042</v>
      </c>
      <c r="B6491" t="s">
        <v>6823</v>
      </c>
      <c r="C6491" t="str">
        <f>"9781441195326"</f>
        <v>9781441195326</v>
      </c>
      <c r="D6491" t="str">
        <f>"9781441123114"</f>
        <v>9781441123114</v>
      </c>
      <c r="E6491" t="s">
        <v>4180</v>
      </c>
      <c r="F6491" t="s">
        <v>4180</v>
      </c>
      <c r="G6491" s="1">
        <v>41362</v>
      </c>
      <c r="H6491" s="1">
        <v>41844</v>
      </c>
      <c r="I6491" t="s">
        <v>12</v>
      </c>
      <c r="J6491" t="s">
        <v>17261</v>
      </c>
    </row>
    <row r="6492" spans="1:10" x14ac:dyDescent="0.25">
      <c r="A6492">
        <v>661049</v>
      </c>
      <c r="B6492" t="s">
        <v>6824</v>
      </c>
      <c r="C6492" t="str">
        <f>"9781441172686"</f>
        <v>9781441172686</v>
      </c>
      <c r="D6492" t="str">
        <f>"9781441137340"</f>
        <v>9781441137340</v>
      </c>
      <c r="E6492" t="s">
        <v>4180</v>
      </c>
      <c r="F6492" t="s">
        <v>4180</v>
      </c>
      <c r="G6492" s="1">
        <v>40654</v>
      </c>
      <c r="H6492" s="1">
        <v>42326</v>
      </c>
      <c r="I6492" t="s">
        <v>12</v>
      </c>
      <c r="J6492" t="s">
        <v>17262</v>
      </c>
    </row>
    <row r="6493" spans="1:10" x14ac:dyDescent="0.25">
      <c r="A6493">
        <v>661054</v>
      </c>
      <c r="B6493" t="s">
        <v>6825</v>
      </c>
      <c r="C6493" t="str">
        <f>"9781441150363"</f>
        <v>9781441150363</v>
      </c>
      <c r="D6493" t="str">
        <f>"9781441108890"</f>
        <v>9781441108890</v>
      </c>
      <c r="E6493" t="s">
        <v>1400</v>
      </c>
      <c r="F6493" t="s">
        <v>1401</v>
      </c>
      <c r="G6493" s="1">
        <v>40619</v>
      </c>
      <c r="H6493" s="1">
        <v>40602</v>
      </c>
      <c r="I6493" t="s">
        <v>12</v>
      </c>
      <c r="J6493" t="s">
        <v>17263</v>
      </c>
    </row>
    <row r="6494" spans="1:10" x14ac:dyDescent="0.25">
      <c r="A6494">
        <v>661300</v>
      </c>
      <c r="B6494" t="s">
        <v>6826</v>
      </c>
      <c r="C6494" t="str">
        <f>"9789264089891"</f>
        <v>9789264089891</v>
      </c>
      <c r="D6494" t="str">
        <f>"9789264089907"</f>
        <v>9789264089907</v>
      </c>
      <c r="E6494" t="s">
        <v>1185</v>
      </c>
      <c r="F6494" t="s">
        <v>1186</v>
      </c>
      <c r="G6494" s="1">
        <v>40577</v>
      </c>
      <c r="H6494" s="1">
        <v>40603</v>
      </c>
      <c r="I6494" t="s">
        <v>12</v>
      </c>
      <c r="J6494" t="s">
        <v>17264</v>
      </c>
    </row>
    <row r="6495" spans="1:10" x14ac:dyDescent="0.25">
      <c r="A6495">
        <v>661301</v>
      </c>
      <c r="B6495" t="s">
        <v>6827</v>
      </c>
      <c r="C6495" t="str">
        <f>"9789264090095"</f>
        <v>9789264090095</v>
      </c>
      <c r="D6495" t="str">
        <f>"9789264090101"</f>
        <v>9789264090101</v>
      </c>
      <c r="E6495" t="s">
        <v>1185</v>
      </c>
      <c r="F6495" t="s">
        <v>1186</v>
      </c>
      <c r="G6495" s="1">
        <v>40577</v>
      </c>
      <c r="H6495" s="1">
        <v>40603</v>
      </c>
      <c r="I6495" t="s">
        <v>12</v>
      </c>
      <c r="J6495" t="s">
        <v>17265</v>
      </c>
    </row>
    <row r="6496" spans="1:10" x14ac:dyDescent="0.25">
      <c r="A6496">
        <v>661948</v>
      </c>
      <c r="B6496" t="s">
        <v>6828</v>
      </c>
      <c r="C6496" t="str">
        <f>"9781571134912"</f>
        <v>9781571134912</v>
      </c>
      <c r="D6496" t="str">
        <f>"9781571137616"</f>
        <v>9781571137616</v>
      </c>
      <c r="E6496" t="s">
        <v>6829</v>
      </c>
      <c r="F6496" t="s">
        <v>6830</v>
      </c>
      <c r="G6496" s="1">
        <v>40634</v>
      </c>
      <c r="H6496" s="1">
        <v>40605</v>
      </c>
      <c r="I6496" t="s">
        <v>12</v>
      </c>
      <c r="J6496" t="s">
        <v>17266</v>
      </c>
    </row>
    <row r="6497" spans="1:10" x14ac:dyDescent="0.25">
      <c r="A6497">
        <v>662186</v>
      </c>
      <c r="B6497" t="s">
        <v>6831</v>
      </c>
      <c r="C6497" t="str">
        <f>"9780739143070"</f>
        <v>9780739143070</v>
      </c>
      <c r="D6497" t="str">
        <f>"9780739143094"</f>
        <v>9780739143094</v>
      </c>
      <c r="E6497" t="s">
        <v>6256</v>
      </c>
      <c r="F6497" t="s">
        <v>6256</v>
      </c>
      <c r="G6497" s="1">
        <v>40280</v>
      </c>
      <c r="H6497" s="1">
        <v>40605</v>
      </c>
      <c r="I6497" t="s">
        <v>12</v>
      </c>
      <c r="J6497" t="s">
        <v>17267</v>
      </c>
    </row>
    <row r="6498" spans="1:10" x14ac:dyDescent="0.25">
      <c r="A6498">
        <v>662222</v>
      </c>
      <c r="B6498" t="s">
        <v>6832</v>
      </c>
      <c r="C6498" t="str">
        <f>"9780739134283"</f>
        <v>9780739134283</v>
      </c>
      <c r="D6498" t="str">
        <f>"9780739134306"</f>
        <v>9780739134306</v>
      </c>
      <c r="E6498" t="s">
        <v>6256</v>
      </c>
      <c r="F6498" t="s">
        <v>6256</v>
      </c>
      <c r="G6498" s="1">
        <v>40255</v>
      </c>
      <c r="H6498" s="1">
        <v>40605</v>
      </c>
      <c r="I6498" t="s">
        <v>12</v>
      </c>
      <c r="J6498" t="s">
        <v>17268</v>
      </c>
    </row>
    <row r="6499" spans="1:10" x14ac:dyDescent="0.25">
      <c r="A6499">
        <v>662223</v>
      </c>
      <c r="B6499" t="s">
        <v>6833</v>
      </c>
      <c r="C6499" t="str">
        <f>"9780739132999"</f>
        <v>9780739132999</v>
      </c>
      <c r="D6499" t="str">
        <f>"9780739147948"</f>
        <v>9780739147948</v>
      </c>
      <c r="E6499" t="s">
        <v>6256</v>
      </c>
      <c r="F6499" t="s">
        <v>6256</v>
      </c>
      <c r="G6499" s="1">
        <v>40492</v>
      </c>
      <c r="H6499" s="1">
        <v>40605</v>
      </c>
      <c r="I6499" t="s">
        <v>12</v>
      </c>
      <c r="J6499" t="s">
        <v>17269</v>
      </c>
    </row>
    <row r="6500" spans="1:10" x14ac:dyDescent="0.25">
      <c r="A6500">
        <v>662256</v>
      </c>
      <c r="B6500" t="s">
        <v>6834</v>
      </c>
      <c r="C6500" t="str">
        <f>"9781607092964"</f>
        <v>9781607092964</v>
      </c>
      <c r="D6500" t="str">
        <f>"9781607092971"</f>
        <v>9781607092971</v>
      </c>
      <c r="E6500" t="s">
        <v>6076</v>
      </c>
      <c r="F6500" t="s">
        <v>6076</v>
      </c>
      <c r="G6500" s="1">
        <v>40467</v>
      </c>
      <c r="H6500" s="1">
        <v>42341</v>
      </c>
      <c r="I6500" t="s">
        <v>12</v>
      </c>
      <c r="J6500" t="s">
        <v>17270</v>
      </c>
    </row>
    <row r="6501" spans="1:10" x14ac:dyDescent="0.25">
      <c r="A6501">
        <v>662270</v>
      </c>
      <c r="B6501" t="s">
        <v>6835</v>
      </c>
      <c r="C6501" t="str">
        <f>"9780810869158"</f>
        <v>9780810869158</v>
      </c>
      <c r="D6501" t="str">
        <f>"9780810869165"</f>
        <v>9780810869165</v>
      </c>
      <c r="E6501" t="s">
        <v>6074</v>
      </c>
      <c r="F6501" t="s">
        <v>6074</v>
      </c>
      <c r="G6501" s="1">
        <v>40402</v>
      </c>
      <c r="H6501" s="1">
        <v>40605</v>
      </c>
      <c r="I6501" t="s">
        <v>12</v>
      </c>
      <c r="J6501" t="s">
        <v>17271</v>
      </c>
    </row>
    <row r="6502" spans="1:10" x14ac:dyDescent="0.25">
      <c r="A6502">
        <v>662289</v>
      </c>
      <c r="B6502" t="s">
        <v>6836</v>
      </c>
      <c r="C6502" t="str">
        <f>"9780810882218"</f>
        <v>9780810882218</v>
      </c>
      <c r="D6502" t="str">
        <f>"9780810869929"</f>
        <v>9780810869929</v>
      </c>
      <c r="E6502" t="s">
        <v>6074</v>
      </c>
      <c r="F6502" t="s">
        <v>6074</v>
      </c>
      <c r="G6502" s="1">
        <v>40417</v>
      </c>
      <c r="H6502" s="1">
        <v>40605</v>
      </c>
      <c r="I6502" t="s">
        <v>12</v>
      </c>
      <c r="J6502" t="s">
        <v>17272</v>
      </c>
    </row>
    <row r="6503" spans="1:10" x14ac:dyDescent="0.25">
      <c r="A6503">
        <v>664794</v>
      </c>
      <c r="B6503" t="s">
        <v>6837</v>
      </c>
      <c r="C6503" t="str">
        <f>"9780691145853"</f>
        <v>9780691145853</v>
      </c>
      <c r="D6503" t="str">
        <f>"9781400834822"</f>
        <v>9781400834822</v>
      </c>
      <c r="E6503" t="s">
        <v>5831</v>
      </c>
      <c r="F6503" t="s">
        <v>5831</v>
      </c>
      <c r="G6503" s="1">
        <v>40287</v>
      </c>
      <c r="H6503" s="1">
        <v>40624</v>
      </c>
      <c r="I6503" t="s">
        <v>12</v>
      </c>
      <c r="J6503" t="s">
        <v>17273</v>
      </c>
    </row>
    <row r="6504" spans="1:10" x14ac:dyDescent="0.25">
      <c r="A6504">
        <v>665704</v>
      </c>
      <c r="B6504" t="s">
        <v>6838</v>
      </c>
      <c r="C6504" t="str">
        <f>"9780226240701"</f>
        <v>9780226240701</v>
      </c>
      <c r="D6504" t="str">
        <f>"9780226240800"</f>
        <v>9780226240800</v>
      </c>
      <c r="E6504" t="s">
        <v>5187</v>
      </c>
      <c r="F6504" t="s">
        <v>5187</v>
      </c>
      <c r="G6504" s="1">
        <v>33463</v>
      </c>
      <c r="H6504" s="1">
        <v>40610</v>
      </c>
      <c r="I6504" t="s">
        <v>12</v>
      </c>
      <c r="J6504" t="s">
        <v>17274</v>
      </c>
    </row>
    <row r="6505" spans="1:10" x14ac:dyDescent="0.25">
      <c r="A6505">
        <v>667626</v>
      </c>
      <c r="B6505" t="s">
        <v>6839</v>
      </c>
      <c r="C6505" t="str">
        <f>"9780521849104"</f>
        <v>9780521849104</v>
      </c>
      <c r="D6505" t="str">
        <f>"9780511294136"</f>
        <v>9780511294136</v>
      </c>
      <c r="E6505" t="s">
        <v>18</v>
      </c>
      <c r="F6505" t="s">
        <v>18</v>
      </c>
      <c r="G6505" s="1">
        <v>39234</v>
      </c>
      <c r="H6505" s="1">
        <v>40610</v>
      </c>
      <c r="I6505" t="s">
        <v>12</v>
      </c>
      <c r="J6505" t="s">
        <v>17275</v>
      </c>
    </row>
    <row r="6506" spans="1:10" x14ac:dyDescent="0.25">
      <c r="A6506">
        <v>668120</v>
      </c>
      <c r="B6506" t="s">
        <v>6840</v>
      </c>
      <c r="C6506" t="str">
        <f>"9780230580084"</f>
        <v>9780230580084</v>
      </c>
      <c r="D6506" t="str">
        <f>"9780230523883"</f>
        <v>9780230523883</v>
      </c>
      <c r="E6506" t="s">
        <v>875</v>
      </c>
      <c r="F6506" t="s">
        <v>875</v>
      </c>
      <c r="G6506" s="1">
        <v>38702</v>
      </c>
      <c r="H6506" s="1">
        <v>40611</v>
      </c>
      <c r="I6506" t="s">
        <v>12</v>
      </c>
      <c r="J6506" t="s">
        <v>17276</v>
      </c>
    </row>
    <row r="6507" spans="1:10" x14ac:dyDescent="0.25">
      <c r="A6507">
        <v>668961</v>
      </c>
      <c r="B6507" t="s">
        <v>6841</v>
      </c>
      <c r="C6507" t="str">
        <f>"9789042032286"</f>
        <v>9789042032286</v>
      </c>
      <c r="D6507" t="str">
        <f>"9789042032293"</f>
        <v>9789042032293</v>
      </c>
      <c r="E6507" t="s">
        <v>1447</v>
      </c>
      <c r="F6507" t="s">
        <v>6409</v>
      </c>
      <c r="G6507" s="1">
        <v>40544</v>
      </c>
      <c r="H6507" s="1">
        <v>40611</v>
      </c>
      <c r="I6507" t="s">
        <v>12</v>
      </c>
      <c r="J6507" t="s">
        <v>17277</v>
      </c>
    </row>
    <row r="6508" spans="1:10" x14ac:dyDescent="0.25">
      <c r="A6508">
        <v>668966</v>
      </c>
      <c r="B6508" t="s">
        <v>6842</v>
      </c>
      <c r="C6508" t="str">
        <f>"9789042032576"</f>
        <v>9789042032576</v>
      </c>
      <c r="D6508" t="str">
        <f>"9789042032583"</f>
        <v>9789042032583</v>
      </c>
      <c r="E6508" t="s">
        <v>1447</v>
      </c>
      <c r="F6508" t="s">
        <v>6409</v>
      </c>
      <c r="G6508" s="1">
        <v>40544</v>
      </c>
      <c r="H6508" s="1">
        <v>40611</v>
      </c>
      <c r="I6508" t="s">
        <v>12</v>
      </c>
      <c r="J6508" t="s">
        <v>17278</v>
      </c>
    </row>
    <row r="6509" spans="1:10" x14ac:dyDescent="0.25">
      <c r="A6509">
        <v>668968</v>
      </c>
      <c r="B6509" t="s">
        <v>6843</v>
      </c>
      <c r="C6509" t="str">
        <f>"9789042032736"</f>
        <v>9789042032736</v>
      </c>
      <c r="D6509" t="str">
        <f>"9789042032743"</f>
        <v>9789042032743</v>
      </c>
      <c r="E6509" t="s">
        <v>1447</v>
      </c>
      <c r="F6509" t="s">
        <v>6409</v>
      </c>
      <c r="G6509" s="1">
        <v>40544</v>
      </c>
      <c r="H6509" s="1">
        <v>40611</v>
      </c>
      <c r="I6509" t="s">
        <v>12</v>
      </c>
      <c r="J6509" t="s">
        <v>17279</v>
      </c>
    </row>
    <row r="6510" spans="1:10" x14ac:dyDescent="0.25">
      <c r="A6510">
        <v>669007</v>
      </c>
      <c r="B6510" t="s">
        <v>6844</v>
      </c>
      <c r="C6510" t="str">
        <f>"9789027219985"</f>
        <v>9789027219985</v>
      </c>
      <c r="D6510" t="str">
        <f>"9789027287359"</f>
        <v>9789027287359</v>
      </c>
      <c r="E6510" t="s">
        <v>6670</v>
      </c>
      <c r="F6510" t="s">
        <v>6670</v>
      </c>
      <c r="G6510" s="1">
        <v>40589</v>
      </c>
      <c r="H6510" s="1">
        <v>40638</v>
      </c>
      <c r="I6510" t="s">
        <v>12</v>
      </c>
      <c r="J6510" t="s">
        <v>17280</v>
      </c>
    </row>
    <row r="6511" spans="1:10" x14ac:dyDescent="0.25">
      <c r="A6511">
        <v>670197</v>
      </c>
      <c r="B6511" t="s">
        <v>6845</v>
      </c>
      <c r="C6511" t="str">
        <f>"9781844895267"</f>
        <v>9781844895267</v>
      </c>
      <c r="D6511" t="str">
        <f>"9781444119664"</f>
        <v>9781444119664</v>
      </c>
      <c r="E6511" t="s">
        <v>6846</v>
      </c>
      <c r="F6511" t="s">
        <v>6847</v>
      </c>
      <c r="G6511" s="1">
        <v>39199</v>
      </c>
      <c r="H6511" s="1">
        <v>40613</v>
      </c>
      <c r="I6511" t="s">
        <v>12</v>
      </c>
      <c r="J6511" t="s">
        <v>17281</v>
      </c>
    </row>
    <row r="6512" spans="1:10" x14ac:dyDescent="0.25">
      <c r="A6512">
        <v>670240</v>
      </c>
      <c r="B6512" t="s">
        <v>6848</v>
      </c>
      <c r="C6512" t="str">
        <f>"9789027213013"</f>
        <v>9789027213013</v>
      </c>
      <c r="D6512" t="str">
        <f>"9789027286925"</f>
        <v>9789027286925</v>
      </c>
      <c r="E6512" t="s">
        <v>6670</v>
      </c>
      <c r="F6512" t="s">
        <v>6670</v>
      </c>
      <c r="G6512" s="1">
        <v>40626</v>
      </c>
      <c r="H6512" s="1">
        <v>40638</v>
      </c>
      <c r="I6512" t="s">
        <v>12</v>
      </c>
      <c r="J6512" t="s">
        <v>17282</v>
      </c>
    </row>
    <row r="6513" spans="1:10" x14ac:dyDescent="0.25">
      <c r="A6513">
        <v>670244</v>
      </c>
      <c r="B6513" t="s">
        <v>6849</v>
      </c>
      <c r="C6513" t="str">
        <f>"9789027255570"</f>
        <v>9789027255570</v>
      </c>
      <c r="D6513" t="str">
        <f>"9789027287199"</f>
        <v>9789027287199</v>
      </c>
      <c r="E6513" t="s">
        <v>6670</v>
      </c>
      <c r="F6513" t="s">
        <v>6670</v>
      </c>
      <c r="G6513" s="1">
        <v>40617</v>
      </c>
      <c r="H6513" s="1">
        <v>40638</v>
      </c>
      <c r="I6513" t="s">
        <v>12</v>
      </c>
      <c r="J6513" t="s">
        <v>17283</v>
      </c>
    </row>
    <row r="6514" spans="1:10" x14ac:dyDescent="0.25">
      <c r="A6514">
        <v>672740</v>
      </c>
      <c r="B6514" t="s">
        <v>6850</v>
      </c>
      <c r="C6514" t="str">
        <f>"9781605096001"</f>
        <v>9781605096001</v>
      </c>
      <c r="D6514" t="str">
        <f>"9781605096018"</f>
        <v>9781605096018</v>
      </c>
      <c r="E6514" t="s">
        <v>4158</v>
      </c>
      <c r="F6514" t="s">
        <v>4158</v>
      </c>
      <c r="G6514" s="1">
        <v>40637</v>
      </c>
      <c r="H6514" s="1">
        <v>40631</v>
      </c>
      <c r="I6514" t="s">
        <v>12</v>
      </c>
      <c r="J6514" t="s">
        <v>17284</v>
      </c>
    </row>
    <row r="6515" spans="1:10" x14ac:dyDescent="0.25">
      <c r="A6515">
        <v>674914</v>
      </c>
      <c r="B6515" t="s">
        <v>6851</v>
      </c>
      <c r="C6515" t="str">
        <f>"9781441134301"</f>
        <v>9781441134301</v>
      </c>
      <c r="D6515" t="str">
        <f>"9781441174109"</f>
        <v>9781441174109</v>
      </c>
      <c r="E6515" t="s">
        <v>4180</v>
      </c>
      <c r="F6515" t="s">
        <v>4180</v>
      </c>
      <c r="G6515" s="1">
        <v>41298</v>
      </c>
      <c r="H6515" s="1">
        <v>42326</v>
      </c>
      <c r="I6515" t="s">
        <v>12</v>
      </c>
      <c r="J6515" t="s">
        <v>17285</v>
      </c>
    </row>
    <row r="6516" spans="1:10" x14ac:dyDescent="0.25">
      <c r="A6516">
        <v>674921</v>
      </c>
      <c r="B6516" t="s">
        <v>6852</v>
      </c>
      <c r="C6516" t="str">
        <f>"9780567573247"</f>
        <v>9780567573247</v>
      </c>
      <c r="D6516" t="str">
        <f>"9780567464903"</f>
        <v>9780567464903</v>
      </c>
      <c r="E6516" t="s">
        <v>4180</v>
      </c>
      <c r="F6516" t="s">
        <v>6548</v>
      </c>
      <c r="G6516" s="1">
        <v>40682</v>
      </c>
      <c r="H6516" s="1">
        <v>42326</v>
      </c>
      <c r="I6516" t="s">
        <v>12</v>
      </c>
      <c r="J6516" t="s">
        <v>17286</v>
      </c>
    </row>
    <row r="6517" spans="1:10" x14ac:dyDescent="0.25">
      <c r="A6517">
        <v>674927</v>
      </c>
      <c r="B6517" t="s">
        <v>6853</v>
      </c>
      <c r="C6517" t="str">
        <f>"9781441102973"</f>
        <v>9781441102973</v>
      </c>
      <c r="D6517" t="str">
        <f>"9781441105516"</f>
        <v>9781441105516</v>
      </c>
      <c r="E6517" t="s">
        <v>4180</v>
      </c>
      <c r="F6517" t="s">
        <v>4180</v>
      </c>
      <c r="G6517" s="1">
        <v>41267</v>
      </c>
      <c r="H6517" s="1">
        <v>42326</v>
      </c>
      <c r="I6517" t="s">
        <v>12</v>
      </c>
      <c r="J6517" t="s">
        <v>17287</v>
      </c>
    </row>
    <row r="6518" spans="1:10" x14ac:dyDescent="0.25">
      <c r="A6518">
        <v>674932</v>
      </c>
      <c r="B6518" t="s">
        <v>6854</v>
      </c>
      <c r="C6518" t="str">
        <f>"9781441101365"</f>
        <v>9781441101365</v>
      </c>
      <c r="D6518" t="str">
        <f>"9781441119490"</f>
        <v>9781441119490</v>
      </c>
      <c r="E6518" t="s">
        <v>4180</v>
      </c>
      <c r="F6518" t="s">
        <v>4180</v>
      </c>
      <c r="G6518" s="1">
        <v>40696</v>
      </c>
      <c r="H6518" s="1">
        <v>42326</v>
      </c>
      <c r="I6518" t="s">
        <v>12</v>
      </c>
      <c r="J6518" t="s">
        <v>17288</v>
      </c>
    </row>
    <row r="6519" spans="1:10" x14ac:dyDescent="0.25">
      <c r="A6519">
        <v>674936</v>
      </c>
      <c r="B6519" t="s">
        <v>6855</v>
      </c>
      <c r="C6519" t="str">
        <f>"9781441187802"</f>
        <v>9781441187802</v>
      </c>
      <c r="D6519" t="str">
        <f>"9781441111050"</f>
        <v>9781441111050</v>
      </c>
      <c r="E6519" t="s">
        <v>4180</v>
      </c>
      <c r="F6519" t="s">
        <v>4180</v>
      </c>
      <c r="G6519" s="1">
        <v>41267</v>
      </c>
      <c r="H6519" s="1">
        <v>41844</v>
      </c>
      <c r="I6519" t="s">
        <v>12</v>
      </c>
      <c r="J6519" t="s">
        <v>17289</v>
      </c>
    </row>
    <row r="6520" spans="1:10" x14ac:dyDescent="0.25">
      <c r="A6520">
        <v>674940</v>
      </c>
      <c r="B6520" t="s">
        <v>6856</v>
      </c>
      <c r="C6520" t="str">
        <f>"9781441149268"</f>
        <v>9781441149268</v>
      </c>
      <c r="D6520" t="str">
        <f>"9781441139238"</f>
        <v>9781441139238</v>
      </c>
      <c r="E6520" t="s">
        <v>6601</v>
      </c>
      <c r="F6520" t="s">
        <v>6578</v>
      </c>
      <c r="G6520" s="1">
        <v>41232</v>
      </c>
      <c r="H6520" s="1">
        <v>41845</v>
      </c>
      <c r="I6520" t="s">
        <v>12</v>
      </c>
      <c r="J6520" t="s">
        <v>17290</v>
      </c>
    </row>
    <row r="6521" spans="1:10" x14ac:dyDescent="0.25">
      <c r="A6521">
        <v>674941</v>
      </c>
      <c r="B6521" t="s">
        <v>6857</v>
      </c>
      <c r="C6521" t="str">
        <f>"9780826418609"</f>
        <v>9780826418609</v>
      </c>
      <c r="D6521" t="str">
        <f>"9781441194077"</f>
        <v>9781441194077</v>
      </c>
      <c r="E6521" t="s">
        <v>1400</v>
      </c>
      <c r="F6521" t="s">
        <v>6578</v>
      </c>
      <c r="G6521" s="1">
        <v>40612</v>
      </c>
      <c r="H6521" s="1">
        <v>41928</v>
      </c>
      <c r="I6521" t="s">
        <v>12</v>
      </c>
      <c r="J6521" t="s">
        <v>17291</v>
      </c>
    </row>
    <row r="6522" spans="1:10" x14ac:dyDescent="0.25">
      <c r="A6522">
        <v>675853</v>
      </c>
      <c r="B6522" t="s">
        <v>6858</v>
      </c>
      <c r="C6522" t="str">
        <f>"9780838935934"</f>
        <v>9780838935934</v>
      </c>
      <c r="D6522" t="str">
        <f>"9780838991992"</f>
        <v>9780838991992</v>
      </c>
      <c r="E6522" t="s">
        <v>6859</v>
      </c>
      <c r="F6522" t="s">
        <v>6859</v>
      </c>
      <c r="G6522" s="1">
        <v>40330</v>
      </c>
      <c r="H6522" s="1">
        <v>40648</v>
      </c>
      <c r="I6522" t="s">
        <v>12</v>
      </c>
      <c r="J6522" t="s">
        <v>17292</v>
      </c>
    </row>
    <row r="6523" spans="1:10" x14ac:dyDescent="0.25">
      <c r="A6523">
        <v>676285</v>
      </c>
      <c r="B6523" t="s">
        <v>6860</v>
      </c>
      <c r="C6523" t="str">
        <f>"9781555815127"</f>
        <v>9781555815127</v>
      </c>
      <c r="D6523" t="str">
        <f>"9781555816827"</f>
        <v>9781555816827</v>
      </c>
      <c r="E6523" t="s">
        <v>6141</v>
      </c>
      <c r="F6523" t="s">
        <v>6141</v>
      </c>
      <c r="G6523" s="1">
        <v>40179</v>
      </c>
      <c r="H6523" s="1">
        <v>41521</v>
      </c>
      <c r="I6523" t="s">
        <v>12</v>
      </c>
      <c r="J6523" t="s">
        <v>17293</v>
      </c>
    </row>
    <row r="6524" spans="1:10" x14ac:dyDescent="0.25">
      <c r="A6524">
        <v>676287</v>
      </c>
      <c r="B6524" t="s">
        <v>6861</v>
      </c>
      <c r="C6524" t="str">
        <f>"9781555814571"</f>
        <v>9781555814571</v>
      </c>
      <c r="D6524" t="str">
        <f>"9781555816902"</f>
        <v>9781555816902</v>
      </c>
      <c r="E6524" t="s">
        <v>6141</v>
      </c>
      <c r="F6524" t="s">
        <v>6141</v>
      </c>
      <c r="G6524" s="1">
        <v>40532</v>
      </c>
      <c r="H6524" s="1">
        <v>41521</v>
      </c>
      <c r="I6524" t="s">
        <v>12</v>
      </c>
      <c r="J6524" t="s">
        <v>17294</v>
      </c>
    </row>
    <row r="6525" spans="1:10" x14ac:dyDescent="0.25">
      <c r="A6525">
        <v>676289</v>
      </c>
      <c r="B6525" t="s">
        <v>6862</v>
      </c>
      <c r="C6525" t="str">
        <f>"9781555814977"</f>
        <v>9781555814977</v>
      </c>
      <c r="D6525" t="str">
        <f>"9781555816834"</f>
        <v>9781555816834</v>
      </c>
      <c r="E6525" t="s">
        <v>6141</v>
      </c>
      <c r="F6525" t="s">
        <v>6141</v>
      </c>
      <c r="G6525" s="1">
        <v>40179</v>
      </c>
      <c r="H6525" s="1">
        <v>41521</v>
      </c>
      <c r="I6525" t="s">
        <v>12</v>
      </c>
      <c r="J6525" t="s">
        <v>17295</v>
      </c>
    </row>
    <row r="6526" spans="1:10" x14ac:dyDescent="0.25">
      <c r="A6526">
        <v>676290</v>
      </c>
      <c r="B6526" t="s">
        <v>6863</v>
      </c>
      <c r="C6526" t="str">
        <f>"9781555815141"</f>
        <v>9781555815141</v>
      </c>
      <c r="D6526" t="str">
        <f>"9781555816872"</f>
        <v>9781555816872</v>
      </c>
      <c r="E6526" t="s">
        <v>6141</v>
      </c>
      <c r="F6526" t="s">
        <v>6141</v>
      </c>
      <c r="G6526" s="1">
        <v>40512</v>
      </c>
      <c r="H6526" s="1">
        <v>41521</v>
      </c>
      <c r="I6526" t="s">
        <v>12</v>
      </c>
      <c r="J6526" t="s">
        <v>17296</v>
      </c>
    </row>
    <row r="6527" spans="1:10" x14ac:dyDescent="0.25">
      <c r="A6527">
        <v>676291</v>
      </c>
      <c r="B6527" t="s">
        <v>6864</v>
      </c>
      <c r="C6527" t="str">
        <f>"9781555814182"</f>
        <v>9781555814182</v>
      </c>
      <c r="D6527" t="str">
        <f>"9781555816162"</f>
        <v>9781555816162</v>
      </c>
      <c r="E6527" t="s">
        <v>6141</v>
      </c>
      <c r="F6527" t="s">
        <v>6141</v>
      </c>
      <c r="G6527" s="1">
        <v>40518</v>
      </c>
      <c r="H6527" s="1">
        <v>40748</v>
      </c>
      <c r="I6527" t="s">
        <v>12</v>
      </c>
      <c r="J6527" t="s">
        <v>17297</v>
      </c>
    </row>
    <row r="6528" spans="1:10" x14ac:dyDescent="0.25">
      <c r="A6528">
        <v>676292</v>
      </c>
      <c r="B6528" t="s">
        <v>6865</v>
      </c>
      <c r="C6528" t="str">
        <f>"9781555816216"</f>
        <v>9781555816216</v>
      </c>
      <c r="D6528" t="str">
        <f>"9781555816841"</f>
        <v>9781555816841</v>
      </c>
      <c r="E6528" t="s">
        <v>6141</v>
      </c>
      <c r="F6528" t="s">
        <v>6141</v>
      </c>
      <c r="G6528" s="1">
        <v>40498</v>
      </c>
      <c r="H6528" s="1">
        <v>41521</v>
      </c>
      <c r="I6528" t="s">
        <v>12</v>
      </c>
      <c r="J6528" t="s">
        <v>17298</v>
      </c>
    </row>
    <row r="6529" spans="1:10" x14ac:dyDescent="0.25">
      <c r="A6529">
        <v>676367</v>
      </c>
      <c r="B6529" t="s">
        <v>6866</v>
      </c>
      <c r="C6529" t="str">
        <f>"9781845112189"</f>
        <v>9781845112189</v>
      </c>
      <c r="D6529" t="str">
        <f>"9780857710314"</f>
        <v>9780857710314</v>
      </c>
      <c r="E6529" t="s">
        <v>6867</v>
      </c>
      <c r="F6529" t="s">
        <v>6867</v>
      </c>
      <c r="G6529" s="1">
        <v>38626</v>
      </c>
      <c r="H6529" s="1">
        <v>42346</v>
      </c>
      <c r="I6529" t="s">
        <v>12</v>
      </c>
      <c r="J6529" t="s">
        <v>17299</v>
      </c>
    </row>
    <row r="6530" spans="1:10" x14ac:dyDescent="0.25">
      <c r="A6530">
        <v>676374</v>
      </c>
      <c r="B6530" t="s">
        <v>6868</v>
      </c>
      <c r="C6530" t="str">
        <f>"9781860647505"</f>
        <v>9781860647505</v>
      </c>
      <c r="D6530" t="str">
        <f>"9780857731050"</f>
        <v>9780857731050</v>
      </c>
      <c r="E6530" t="s">
        <v>6867</v>
      </c>
      <c r="F6530" t="s">
        <v>6867</v>
      </c>
      <c r="G6530" s="1">
        <v>41091</v>
      </c>
      <c r="H6530" s="1">
        <v>42346</v>
      </c>
      <c r="I6530" t="s">
        <v>12</v>
      </c>
      <c r="J6530" t="s">
        <v>17300</v>
      </c>
    </row>
    <row r="6531" spans="1:10" x14ac:dyDescent="0.25">
      <c r="A6531">
        <v>676375</v>
      </c>
      <c r="B6531" t="s">
        <v>6869</v>
      </c>
      <c r="C6531" t="str">
        <f>"9781850439387"</f>
        <v>9781850439387</v>
      </c>
      <c r="D6531" t="str">
        <f>"9780857710345"</f>
        <v>9780857710345</v>
      </c>
      <c r="E6531" t="s">
        <v>6867</v>
      </c>
      <c r="F6531" t="s">
        <v>6867</v>
      </c>
      <c r="G6531" s="1">
        <v>38518</v>
      </c>
      <c r="H6531" s="1">
        <v>42346</v>
      </c>
      <c r="I6531" t="s">
        <v>12</v>
      </c>
      <c r="J6531" t="s">
        <v>17301</v>
      </c>
    </row>
    <row r="6532" spans="1:10" x14ac:dyDescent="0.25">
      <c r="A6532">
        <v>676409</v>
      </c>
      <c r="B6532" t="s">
        <v>6870</v>
      </c>
      <c r="C6532" t="str">
        <f>"9781848851313"</f>
        <v>9781848851313</v>
      </c>
      <c r="D6532" t="str">
        <f>"9780857716965"</f>
        <v>9780857716965</v>
      </c>
      <c r="E6532" t="s">
        <v>6867</v>
      </c>
      <c r="F6532" t="s">
        <v>6867</v>
      </c>
      <c r="G6532" s="1">
        <v>40208</v>
      </c>
      <c r="H6532" s="1">
        <v>40633</v>
      </c>
      <c r="I6532" t="s">
        <v>12</v>
      </c>
      <c r="J6532" t="s">
        <v>17302</v>
      </c>
    </row>
    <row r="6533" spans="1:10" x14ac:dyDescent="0.25">
      <c r="A6533">
        <v>676431</v>
      </c>
      <c r="B6533" t="s">
        <v>6871</v>
      </c>
      <c r="C6533" t="str">
        <f>"9781845114800"</f>
        <v>9781845114800</v>
      </c>
      <c r="D6533" t="str">
        <f>"9780857713643"</f>
        <v>9780857713643</v>
      </c>
      <c r="E6533" t="s">
        <v>6867</v>
      </c>
      <c r="F6533" t="s">
        <v>6867</v>
      </c>
      <c r="G6533" s="1">
        <v>39462</v>
      </c>
      <c r="H6533" s="1">
        <v>40633</v>
      </c>
      <c r="I6533" t="s">
        <v>12</v>
      </c>
      <c r="J6533" t="s">
        <v>17303</v>
      </c>
    </row>
    <row r="6534" spans="1:10" x14ac:dyDescent="0.25">
      <c r="A6534">
        <v>676435</v>
      </c>
      <c r="B6534" t="s">
        <v>6872</v>
      </c>
      <c r="C6534" t="str">
        <f>"9781848853010"</f>
        <v>9781848853010</v>
      </c>
      <c r="D6534" t="str">
        <f>"9780857715876"</f>
        <v>9780857715876</v>
      </c>
      <c r="E6534" t="s">
        <v>6867</v>
      </c>
      <c r="F6534" t="s">
        <v>6867</v>
      </c>
      <c r="G6534" s="1">
        <v>40224</v>
      </c>
      <c r="H6534" s="1">
        <v>42346</v>
      </c>
      <c r="I6534" t="s">
        <v>12</v>
      </c>
      <c r="J6534" t="s">
        <v>17304</v>
      </c>
    </row>
    <row r="6535" spans="1:10" x14ac:dyDescent="0.25">
      <c r="A6535">
        <v>676437</v>
      </c>
      <c r="B6535" t="s">
        <v>6873</v>
      </c>
      <c r="C6535" t="str">
        <f>"9781845114053"</f>
        <v>9781845114053</v>
      </c>
      <c r="D6535" t="str">
        <f>"9780857713636"</f>
        <v>9780857713636</v>
      </c>
      <c r="E6535" t="s">
        <v>6867</v>
      </c>
      <c r="F6535" t="s">
        <v>6867</v>
      </c>
      <c r="G6535" s="1">
        <v>39262</v>
      </c>
      <c r="H6535" s="1">
        <v>40633</v>
      </c>
      <c r="I6535" t="s">
        <v>12</v>
      </c>
      <c r="J6535" t="s">
        <v>17305</v>
      </c>
    </row>
    <row r="6536" spans="1:10" x14ac:dyDescent="0.25">
      <c r="A6536">
        <v>676440</v>
      </c>
      <c r="B6536" t="s">
        <v>6874</v>
      </c>
      <c r="C6536" t="str">
        <f>"9781845116545"</f>
        <v>9781845116545</v>
      </c>
      <c r="D6536" t="str">
        <f>"9780857713667"</f>
        <v>9780857713667</v>
      </c>
      <c r="E6536" t="s">
        <v>6867</v>
      </c>
      <c r="F6536" t="s">
        <v>6867</v>
      </c>
      <c r="G6536" s="1">
        <v>39706</v>
      </c>
      <c r="H6536" s="1">
        <v>40633</v>
      </c>
      <c r="I6536" t="s">
        <v>12</v>
      </c>
      <c r="J6536" t="s">
        <v>17306</v>
      </c>
    </row>
    <row r="6537" spans="1:10" x14ac:dyDescent="0.25">
      <c r="A6537">
        <v>676493</v>
      </c>
      <c r="B6537" t="s">
        <v>6875</v>
      </c>
      <c r="C6537" t="str">
        <f>"9781845115319"</f>
        <v>9781845115319</v>
      </c>
      <c r="D6537" t="str">
        <f>"9780857714558"</f>
        <v>9780857714558</v>
      </c>
      <c r="E6537" t="s">
        <v>6867</v>
      </c>
      <c r="F6537" t="s">
        <v>6867</v>
      </c>
      <c r="G6537" s="1">
        <v>39414</v>
      </c>
      <c r="H6537" s="1">
        <v>40633</v>
      </c>
      <c r="I6537" t="s">
        <v>12</v>
      </c>
      <c r="J6537" t="s">
        <v>17307</v>
      </c>
    </row>
    <row r="6538" spans="1:10" x14ac:dyDescent="0.25">
      <c r="A6538">
        <v>676495</v>
      </c>
      <c r="B6538" t="s">
        <v>6876</v>
      </c>
      <c r="C6538" t="str">
        <f>"9781845114497"</f>
        <v>9781845114497</v>
      </c>
      <c r="D6538" t="str">
        <f>"9780857714435"</f>
        <v>9780857714435</v>
      </c>
      <c r="E6538" t="s">
        <v>6867</v>
      </c>
      <c r="F6538" t="s">
        <v>6867</v>
      </c>
      <c r="G6538" s="1">
        <v>39262</v>
      </c>
      <c r="H6538" s="1">
        <v>40633</v>
      </c>
      <c r="I6538" t="s">
        <v>12</v>
      </c>
      <c r="J6538" t="s">
        <v>17308</v>
      </c>
    </row>
    <row r="6539" spans="1:10" x14ac:dyDescent="0.25">
      <c r="A6539">
        <v>676535</v>
      </c>
      <c r="B6539" t="s">
        <v>6877</v>
      </c>
      <c r="C6539" t="str">
        <f>"9781845115203"</f>
        <v>9781845115203</v>
      </c>
      <c r="D6539" t="str">
        <f>"9780857716590"</f>
        <v>9780857716590</v>
      </c>
      <c r="E6539" t="s">
        <v>6867</v>
      </c>
      <c r="F6539" t="s">
        <v>6867</v>
      </c>
      <c r="G6539" s="1">
        <v>39414</v>
      </c>
      <c r="H6539" s="1">
        <v>40633</v>
      </c>
      <c r="I6539" t="s">
        <v>12</v>
      </c>
      <c r="J6539" t="s">
        <v>17309</v>
      </c>
    </row>
    <row r="6540" spans="1:10" x14ac:dyDescent="0.25">
      <c r="A6540">
        <v>676563</v>
      </c>
      <c r="B6540" t="s">
        <v>6878</v>
      </c>
      <c r="C6540" t="str">
        <f>"9781845114282"</f>
        <v>9781845114282</v>
      </c>
      <c r="D6540" t="str">
        <f>"9780857716101"</f>
        <v>9780857716101</v>
      </c>
      <c r="E6540" t="s">
        <v>6867</v>
      </c>
      <c r="F6540" t="s">
        <v>6867</v>
      </c>
      <c r="G6540" s="1">
        <v>39314</v>
      </c>
      <c r="H6540" s="1">
        <v>40633</v>
      </c>
      <c r="I6540" t="s">
        <v>12</v>
      </c>
      <c r="J6540" t="s">
        <v>17310</v>
      </c>
    </row>
    <row r="6541" spans="1:10" x14ac:dyDescent="0.25">
      <c r="A6541">
        <v>676566</v>
      </c>
      <c r="B6541" t="s">
        <v>6879</v>
      </c>
      <c r="C6541" t="str">
        <f>"9781845113988"</f>
        <v>9781845113988</v>
      </c>
      <c r="D6541" t="str">
        <f>"9780857730930"</f>
        <v>9780857730930</v>
      </c>
      <c r="E6541" t="s">
        <v>6867</v>
      </c>
      <c r="F6541" t="s">
        <v>6867</v>
      </c>
      <c r="G6541" s="1">
        <v>39283</v>
      </c>
      <c r="H6541" s="1">
        <v>42346</v>
      </c>
      <c r="I6541" t="s">
        <v>12</v>
      </c>
      <c r="J6541" t="s">
        <v>17311</v>
      </c>
    </row>
    <row r="6542" spans="1:10" x14ac:dyDescent="0.25">
      <c r="A6542">
        <v>676587</v>
      </c>
      <c r="B6542" t="s">
        <v>6880</v>
      </c>
      <c r="C6542" t="str">
        <f>"9781848852631"</f>
        <v>9781848852631</v>
      </c>
      <c r="D6542" t="str">
        <f>"9780857713773"</f>
        <v>9780857713773</v>
      </c>
      <c r="E6542" t="s">
        <v>6867</v>
      </c>
      <c r="F6542" t="s">
        <v>6867</v>
      </c>
      <c r="G6542" s="1">
        <v>40275</v>
      </c>
      <c r="H6542" s="1">
        <v>40633</v>
      </c>
      <c r="I6542" t="s">
        <v>12</v>
      </c>
      <c r="J6542" t="s">
        <v>17312</v>
      </c>
    </row>
    <row r="6543" spans="1:10" x14ac:dyDescent="0.25">
      <c r="A6543">
        <v>676595</v>
      </c>
      <c r="B6543" t="s">
        <v>6881</v>
      </c>
      <c r="C6543" t="str">
        <f>"9781845113414"</f>
        <v>9781845113414</v>
      </c>
      <c r="D6543" t="str">
        <f>"9780857713650"</f>
        <v>9780857713650</v>
      </c>
      <c r="E6543" t="s">
        <v>6867</v>
      </c>
      <c r="F6543" t="s">
        <v>6867</v>
      </c>
      <c r="G6543" s="1">
        <v>39171</v>
      </c>
      <c r="H6543" s="1">
        <v>40669</v>
      </c>
      <c r="I6543" t="s">
        <v>12</v>
      </c>
      <c r="J6543" t="s">
        <v>17313</v>
      </c>
    </row>
    <row r="6544" spans="1:10" x14ac:dyDescent="0.25">
      <c r="A6544">
        <v>676629</v>
      </c>
      <c r="B6544" t="s">
        <v>6882</v>
      </c>
      <c r="C6544" t="str">
        <f>"9781845112363"</f>
        <v>9781845112363</v>
      </c>
      <c r="D6544" t="str">
        <f>"9780857710581"</f>
        <v>9780857710581</v>
      </c>
      <c r="E6544" t="s">
        <v>6867</v>
      </c>
      <c r="F6544" t="s">
        <v>6867</v>
      </c>
      <c r="G6544" s="1">
        <v>39097</v>
      </c>
      <c r="H6544" s="1">
        <v>42346</v>
      </c>
      <c r="I6544" t="s">
        <v>12</v>
      </c>
      <c r="J6544" t="s">
        <v>17314</v>
      </c>
    </row>
    <row r="6545" spans="1:10" x14ac:dyDescent="0.25">
      <c r="A6545">
        <v>676661</v>
      </c>
      <c r="B6545" t="s">
        <v>6883</v>
      </c>
      <c r="C6545" t="str">
        <f>"9781850438151"</f>
        <v>9781850438151</v>
      </c>
      <c r="D6545" t="str">
        <f>"9780857713285"</f>
        <v>9780857713285</v>
      </c>
      <c r="E6545" t="s">
        <v>6867</v>
      </c>
      <c r="F6545" t="s">
        <v>6867</v>
      </c>
      <c r="G6545" s="1">
        <v>38653</v>
      </c>
      <c r="H6545" s="1">
        <v>40633</v>
      </c>
      <c r="I6545" t="s">
        <v>12</v>
      </c>
      <c r="J6545" t="s">
        <v>17315</v>
      </c>
    </row>
    <row r="6546" spans="1:10" x14ac:dyDescent="0.25">
      <c r="A6546">
        <v>676695</v>
      </c>
      <c r="B6546" t="s">
        <v>6884</v>
      </c>
      <c r="C6546" t="str">
        <f>"9781845110253"</f>
        <v>9781845110253</v>
      </c>
      <c r="D6546" t="str">
        <f>"9780857713308"</f>
        <v>9780857713308</v>
      </c>
      <c r="E6546" t="s">
        <v>6867</v>
      </c>
      <c r="F6546" t="s">
        <v>6867</v>
      </c>
      <c r="G6546" s="1">
        <v>38681</v>
      </c>
      <c r="H6546" s="1">
        <v>40633</v>
      </c>
      <c r="I6546" t="s">
        <v>12</v>
      </c>
      <c r="J6546" t="s">
        <v>17316</v>
      </c>
    </row>
    <row r="6547" spans="1:10" x14ac:dyDescent="0.25">
      <c r="A6547">
        <v>676712</v>
      </c>
      <c r="B6547" t="s">
        <v>6885</v>
      </c>
      <c r="C6547" t="str">
        <f>"9781850435839"</f>
        <v>9781850435839</v>
      </c>
      <c r="D6547" t="str">
        <f>"9780857710574"</f>
        <v>9780857710574</v>
      </c>
      <c r="E6547" t="s">
        <v>6867</v>
      </c>
      <c r="F6547" t="s">
        <v>6867</v>
      </c>
      <c r="G6547" s="1">
        <v>38555</v>
      </c>
      <c r="H6547" s="1">
        <v>42346</v>
      </c>
      <c r="I6547" t="s">
        <v>12</v>
      </c>
      <c r="J6547" t="s">
        <v>17317</v>
      </c>
    </row>
    <row r="6548" spans="1:10" x14ac:dyDescent="0.25">
      <c r="A6548">
        <v>676723</v>
      </c>
      <c r="B6548" t="s">
        <v>6886</v>
      </c>
      <c r="C6548" t="str">
        <f>"9781845115883"</f>
        <v>9781845115883</v>
      </c>
      <c r="D6548" t="str">
        <f>"9780857710628"</f>
        <v>9780857710628</v>
      </c>
      <c r="E6548" t="s">
        <v>6867</v>
      </c>
      <c r="F6548" t="s">
        <v>6867</v>
      </c>
      <c r="G6548" s="1">
        <v>39902</v>
      </c>
      <c r="H6548" s="1">
        <v>42346</v>
      </c>
      <c r="I6548" t="s">
        <v>12</v>
      </c>
      <c r="J6548" t="s">
        <v>17318</v>
      </c>
    </row>
    <row r="6549" spans="1:10" x14ac:dyDescent="0.25">
      <c r="A6549">
        <v>676727</v>
      </c>
      <c r="B6549" t="s">
        <v>6887</v>
      </c>
      <c r="C6549" t="str">
        <f>"9781845113957"</f>
        <v>9781845113957</v>
      </c>
      <c r="D6549" t="str">
        <f>"9780857710604"</f>
        <v>9780857710604</v>
      </c>
      <c r="E6549" t="s">
        <v>6867</v>
      </c>
      <c r="F6549" t="s">
        <v>6867</v>
      </c>
      <c r="G6549" s="1">
        <v>39379</v>
      </c>
      <c r="H6549" s="1">
        <v>42346</v>
      </c>
      <c r="I6549" t="s">
        <v>12</v>
      </c>
      <c r="J6549" t="s">
        <v>17319</v>
      </c>
    </row>
    <row r="6550" spans="1:10" x14ac:dyDescent="0.25">
      <c r="A6550">
        <v>676750</v>
      </c>
      <c r="B6550" t="s">
        <v>6888</v>
      </c>
      <c r="C6550" t="str">
        <f>"9781845116194"</f>
        <v>9781845116194</v>
      </c>
      <c r="D6550" t="str">
        <f>"9780857731685"</f>
        <v>9780857731685</v>
      </c>
      <c r="E6550" t="s">
        <v>6867</v>
      </c>
      <c r="F6550" t="s">
        <v>6867</v>
      </c>
      <c r="G6550" s="1">
        <v>39462</v>
      </c>
      <c r="H6550" s="1">
        <v>42346</v>
      </c>
      <c r="I6550" t="s">
        <v>12</v>
      </c>
      <c r="J6550" t="s">
        <v>17320</v>
      </c>
    </row>
    <row r="6551" spans="1:10" x14ac:dyDescent="0.25">
      <c r="A6551">
        <v>676780</v>
      </c>
      <c r="B6551" t="s">
        <v>6889</v>
      </c>
      <c r="C6551" t="str">
        <f>"9781845115623"</f>
        <v>9781845115623</v>
      </c>
      <c r="D6551" t="str">
        <f>"9780857713292"</f>
        <v>9780857713292</v>
      </c>
      <c r="E6551" t="s">
        <v>6867</v>
      </c>
      <c r="F6551" t="s">
        <v>6867</v>
      </c>
      <c r="G6551" s="1">
        <v>39379</v>
      </c>
      <c r="H6551" s="1">
        <v>40633</v>
      </c>
      <c r="I6551" t="s">
        <v>12</v>
      </c>
      <c r="J6551" t="s">
        <v>17321</v>
      </c>
    </row>
    <row r="6552" spans="1:10" x14ac:dyDescent="0.25">
      <c r="A6552">
        <v>676790</v>
      </c>
      <c r="B6552" t="s">
        <v>6890</v>
      </c>
      <c r="C6552" t="str">
        <f>"9781845113308"</f>
        <v>9781845113308</v>
      </c>
      <c r="D6552" t="str">
        <f>"9780857714541"</f>
        <v>9780857714541</v>
      </c>
      <c r="E6552" t="s">
        <v>6867</v>
      </c>
      <c r="F6552" t="s">
        <v>6867</v>
      </c>
      <c r="G6552" s="1">
        <v>39199</v>
      </c>
      <c r="H6552" s="1">
        <v>40633</v>
      </c>
      <c r="I6552" t="s">
        <v>12</v>
      </c>
      <c r="J6552" t="s">
        <v>17322</v>
      </c>
    </row>
    <row r="6553" spans="1:10" x14ac:dyDescent="0.25">
      <c r="A6553">
        <v>676804</v>
      </c>
      <c r="B6553" t="s">
        <v>6891</v>
      </c>
      <c r="C6553" t="str">
        <f>"9781845110062"</f>
        <v>9781845110062</v>
      </c>
      <c r="D6553" t="str">
        <f>"9780857731340"</f>
        <v>9780857731340</v>
      </c>
      <c r="E6553" t="s">
        <v>6867</v>
      </c>
      <c r="F6553" t="s">
        <v>6867</v>
      </c>
      <c r="G6553" s="1">
        <v>39045</v>
      </c>
      <c r="H6553" s="1">
        <v>42346</v>
      </c>
      <c r="I6553" t="s">
        <v>12</v>
      </c>
      <c r="J6553" t="s">
        <v>17323</v>
      </c>
    </row>
    <row r="6554" spans="1:10" x14ac:dyDescent="0.25">
      <c r="A6554">
        <v>676807</v>
      </c>
      <c r="B6554" t="s">
        <v>6892</v>
      </c>
      <c r="C6554" t="str">
        <f>"9781845112196"</f>
        <v>9781845112196</v>
      </c>
      <c r="D6554" t="str">
        <f>"9780857730480"</f>
        <v>9780857730480</v>
      </c>
      <c r="E6554" t="s">
        <v>6867</v>
      </c>
      <c r="F6554" t="s">
        <v>6867</v>
      </c>
      <c r="G6554" s="1">
        <v>38863</v>
      </c>
      <c r="H6554" s="1">
        <v>42346</v>
      </c>
      <c r="I6554" t="s">
        <v>12</v>
      </c>
      <c r="J6554" t="s">
        <v>17324</v>
      </c>
    </row>
    <row r="6555" spans="1:10" x14ac:dyDescent="0.25">
      <c r="A6555">
        <v>676815</v>
      </c>
      <c r="B6555" t="s">
        <v>6893</v>
      </c>
      <c r="C6555" t="str">
        <f>"9781860647482"</f>
        <v>9781860647482</v>
      </c>
      <c r="D6555" t="str">
        <f>"9780857712196"</f>
        <v>9780857712196</v>
      </c>
      <c r="E6555" t="s">
        <v>6867</v>
      </c>
      <c r="F6555" t="s">
        <v>6867</v>
      </c>
      <c r="G6555" s="1">
        <v>37736</v>
      </c>
      <c r="H6555" s="1">
        <v>40633</v>
      </c>
      <c r="I6555" t="s">
        <v>12</v>
      </c>
      <c r="J6555" t="s">
        <v>17325</v>
      </c>
    </row>
    <row r="6556" spans="1:10" x14ac:dyDescent="0.25">
      <c r="A6556">
        <v>676829</v>
      </c>
      <c r="B6556" t="s">
        <v>6894</v>
      </c>
      <c r="C6556" t="str">
        <f>"9781845112387"</f>
        <v>9781845112387</v>
      </c>
      <c r="D6556" t="str">
        <f>"9780857711724"</f>
        <v>9780857711724</v>
      </c>
      <c r="E6556" t="s">
        <v>6867</v>
      </c>
      <c r="F6556" t="s">
        <v>6867</v>
      </c>
      <c r="G6556" s="1">
        <v>39017</v>
      </c>
      <c r="H6556" s="1">
        <v>40633</v>
      </c>
      <c r="I6556" t="s">
        <v>12</v>
      </c>
      <c r="J6556" t="s">
        <v>17326</v>
      </c>
    </row>
    <row r="6557" spans="1:10" x14ac:dyDescent="0.25">
      <c r="A6557">
        <v>676857</v>
      </c>
      <c r="B6557" t="s">
        <v>6895</v>
      </c>
      <c r="C6557" t="str">
        <f>"9781845111922"</f>
        <v>9781845111922</v>
      </c>
      <c r="D6557" t="str">
        <f>"9780857712653"</f>
        <v>9780857712653</v>
      </c>
      <c r="E6557" t="s">
        <v>6867</v>
      </c>
      <c r="F6557" t="s">
        <v>6867</v>
      </c>
      <c r="G6557" s="1">
        <v>38989</v>
      </c>
      <c r="H6557" s="1">
        <v>40633</v>
      </c>
      <c r="I6557" t="s">
        <v>12</v>
      </c>
      <c r="J6557" t="s">
        <v>17327</v>
      </c>
    </row>
    <row r="6558" spans="1:10" x14ac:dyDescent="0.25">
      <c r="A6558">
        <v>676871</v>
      </c>
      <c r="B6558" t="s">
        <v>6896</v>
      </c>
      <c r="C6558" t="str">
        <f>"9781848853355"</f>
        <v>9781848853355</v>
      </c>
      <c r="D6558" t="str">
        <f>"9780857711106"</f>
        <v>9780857711106</v>
      </c>
      <c r="E6558" t="s">
        <v>6867</v>
      </c>
      <c r="F6558" t="s">
        <v>6867</v>
      </c>
      <c r="G6558" s="1">
        <v>40389</v>
      </c>
      <c r="H6558" s="1">
        <v>42346</v>
      </c>
      <c r="I6558" t="s">
        <v>12</v>
      </c>
      <c r="J6558" t="s">
        <v>17328</v>
      </c>
    </row>
    <row r="6559" spans="1:10" x14ac:dyDescent="0.25">
      <c r="A6559">
        <v>676898</v>
      </c>
      <c r="B6559" t="s">
        <v>6897</v>
      </c>
      <c r="C6559" t="str">
        <f>"9781845115401"</f>
        <v>9781845115401</v>
      </c>
      <c r="D6559" t="str">
        <f>"9780857710826"</f>
        <v>9780857710826</v>
      </c>
      <c r="E6559" t="s">
        <v>6867</v>
      </c>
      <c r="F6559" t="s">
        <v>6867</v>
      </c>
      <c r="G6559" s="1">
        <v>39414</v>
      </c>
      <c r="H6559" s="1">
        <v>42346</v>
      </c>
      <c r="I6559" t="s">
        <v>12</v>
      </c>
      <c r="J6559" t="s">
        <v>17329</v>
      </c>
    </row>
    <row r="6560" spans="1:10" x14ac:dyDescent="0.25">
      <c r="A6560">
        <v>676931</v>
      </c>
      <c r="B6560" t="s">
        <v>6898</v>
      </c>
      <c r="C6560" t="str">
        <f>"9781845112349"</f>
        <v>9781845112349</v>
      </c>
      <c r="D6560" t="str">
        <f>"9780857710567"</f>
        <v>9780857710567</v>
      </c>
      <c r="E6560" t="s">
        <v>6867</v>
      </c>
      <c r="F6560" t="s">
        <v>6867</v>
      </c>
      <c r="G6560" s="1">
        <v>39045</v>
      </c>
      <c r="H6560" s="1">
        <v>42346</v>
      </c>
      <c r="I6560" t="s">
        <v>12</v>
      </c>
      <c r="J6560" t="s">
        <v>17330</v>
      </c>
    </row>
    <row r="6561" spans="1:10" x14ac:dyDescent="0.25">
      <c r="A6561">
        <v>676950</v>
      </c>
      <c r="B6561" t="s">
        <v>6899</v>
      </c>
      <c r="C6561" t="str">
        <f>"9781845115609"</f>
        <v>9781845115609</v>
      </c>
      <c r="D6561" t="str">
        <f>"9780857712356"</f>
        <v>9780857712356</v>
      </c>
      <c r="E6561" t="s">
        <v>6867</v>
      </c>
      <c r="F6561" t="s">
        <v>6867</v>
      </c>
      <c r="G6561" s="1">
        <v>39751</v>
      </c>
      <c r="H6561" s="1">
        <v>40633</v>
      </c>
      <c r="I6561" t="s">
        <v>12</v>
      </c>
      <c r="J6561" t="s">
        <v>17331</v>
      </c>
    </row>
    <row r="6562" spans="1:10" x14ac:dyDescent="0.25">
      <c r="A6562">
        <v>676954</v>
      </c>
      <c r="B6562" t="s">
        <v>6900</v>
      </c>
      <c r="C6562" t="str">
        <f>"9781845113056"</f>
        <v>9781845113056</v>
      </c>
      <c r="D6562" t="str">
        <f>"9780857717450"</f>
        <v>9780857717450</v>
      </c>
      <c r="E6562" t="s">
        <v>6867</v>
      </c>
      <c r="F6562" t="s">
        <v>6867</v>
      </c>
      <c r="G6562" s="1">
        <v>39340</v>
      </c>
      <c r="H6562" s="1">
        <v>42346</v>
      </c>
      <c r="I6562" t="s">
        <v>12</v>
      </c>
      <c r="J6562" t="s">
        <v>17332</v>
      </c>
    </row>
    <row r="6563" spans="1:10" x14ac:dyDescent="0.25">
      <c r="A6563">
        <v>676992</v>
      </c>
      <c r="B6563" t="s">
        <v>6901</v>
      </c>
      <c r="C6563" t="str">
        <f>"9781850439028"</f>
        <v>9781850439028</v>
      </c>
      <c r="D6563" t="str">
        <f>"9780857711267"</f>
        <v>9780857711267</v>
      </c>
      <c r="E6563" t="s">
        <v>6867</v>
      </c>
      <c r="F6563" t="s">
        <v>6867</v>
      </c>
      <c r="G6563" s="1">
        <v>39522</v>
      </c>
      <c r="H6563" s="1">
        <v>42346</v>
      </c>
      <c r="I6563" t="s">
        <v>12</v>
      </c>
      <c r="J6563" t="s">
        <v>17333</v>
      </c>
    </row>
    <row r="6564" spans="1:10" x14ac:dyDescent="0.25">
      <c r="A6564">
        <v>677017</v>
      </c>
      <c r="B6564" t="s">
        <v>6902</v>
      </c>
      <c r="C6564" t="str">
        <f>"9781845115180"</f>
        <v>9781845115180</v>
      </c>
      <c r="D6564" t="str">
        <f>"9780857713209"</f>
        <v>9780857713209</v>
      </c>
      <c r="E6564" t="s">
        <v>6867</v>
      </c>
      <c r="F6564" t="s">
        <v>6867</v>
      </c>
      <c r="G6564" s="1">
        <v>39379</v>
      </c>
      <c r="H6564" s="1">
        <v>40633</v>
      </c>
      <c r="I6564" t="s">
        <v>12</v>
      </c>
      <c r="J6564" t="s">
        <v>17334</v>
      </c>
    </row>
    <row r="6565" spans="1:10" x14ac:dyDescent="0.25">
      <c r="A6565">
        <v>677023</v>
      </c>
      <c r="B6565" t="s">
        <v>6903</v>
      </c>
      <c r="C6565" t="str">
        <f>"9781845111465"</f>
        <v>9781845111465</v>
      </c>
      <c r="D6565" t="str">
        <f>"9780857713704"</f>
        <v>9780857713704</v>
      </c>
      <c r="E6565" t="s">
        <v>6867</v>
      </c>
      <c r="F6565" t="s">
        <v>6867</v>
      </c>
      <c r="G6565" s="1">
        <v>38989</v>
      </c>
      <c r="H6565" s="1">
        <v>40633</v>
      </c>
      <c r="I6565" t="s">
        <v>12</v>
      </c>
      <c r="J6565" t="s">
        <v>17335</v>
      </c>
    </row>
    <row r="6566" spans="1:10" x14ac:dyDescent="0.25">
      <c r="A6566">
        <v>677060</v>
      </c>
      <c r="B6566" t="s">
        <v>6904</v>
      </c>
      <c r="C6566" t="str">
        <f>"9781845118839"</f>
        <v>9781845118839</v>
      </c>
      <c r="D6566" t="str">
        <f>"9780857710321"</f>
        <v>9780857710321</v>
      </c>
      <c r="E6566" t="s">
        <v>6867</v>
      </c>
      <c r="F6566" t="s">
        <v>6867</v>
      </c>
      <c r="G6566" s="1">
        <v>40208</v>
      </c>
      <c r="H6566" s="1">
        <v>42346</v>
      </c>
      <c r="I6566" t="s">
        <v>12</v>
      </c>
      <c r="J6566" t="s">
        <v>17336</v>
      </c>
    </row>
    <row r="6567" spans="1:10" x14ac:dyDescent="0.25">
      <c r="A6567">
        <v>677063</v>
      </c>
      <c r="B6567" t="s">
        <v>6905</v>
      </c>
      <c r="C6567" t="str">
        <f>"9781845115166"</f>
        <v>9781845115166</v>
      </c>
      <c r="D6567" t="str">
        <f>"9780857712554"</f>
        <v>9780857712554</v>
      </c>
      <c r="E6567" t="s">
        <v>6867</v>
      </c>
      <c r="F6567" t="s">
        <v>6867</v>
      </c>
      <c r="G6567" s="1">
        <v>39537</v>
      </c>
      <c r="H6567" s="1">
        <v>40633</v>
      </c>
      <c r="I6567" t="s">
        <v>12</v>
      </c>
      <c r="J6567" t="s">
        <v>17337</v>
      </c>
    </row>
    <row r="6568" spans="1:10" x14ac:dyDescent="0.25">
      <c r="A6568">
        <v>677079</v>
      </c>
      <c r="B6568" t="s">
        <v>6906</v>
      </c>
      <c r="C6568" t="str">
        <f>"9781845110468"</f>
        <v>9781845110468</v>
      </c>
      <c r="D6568" t="str">
        <f>"9780857710932"</f>
        <v>9780857710932</v>
      </c>
      <c r="E6568" t="s">
        <v>6867</v>
      </c>
      <c r="F6568" t="s">
        <v>6867</v>
      </c>
      <c r="G6568" s="1">
        <v>38685</v>
      </c>
      <c r="H6568" s="1">
        <v>42346</v>
      </c>
      <c r="I6568" t="s">
        <v>12</v>
      </c>
      <c r="J6568" t="s">
        <v>17338</v>
      </c>
    </row>
    <row r="6569" spans="1:10" x14ac:dyDescent="0.25">
      <c r="A6569">
        <v>677113</v>
      </c>
      <c r="B6569" t="s">
        <v>6907</v>
      </c>
      <c r="C6569" t="str">
        <f>"9781845114244"</f>
        <v>9781845114244</v>
      </c>
      <c r="D6569" t="str">
        <f>"9780857712400"</f>
        <v>9780857712400</v>
      </c>
      <c r="E6569" t="s">
        <v>6867</v>
      </c>
      <c r="F6569" t="s">
        <v>6867</v>
      </c>
      <c r="G6569" s="1">
        <v>39136</v>
      </c>
      <c r="H6569" s="1">
        <v>42346</v>
      </c>
      <c r="I6569" t="s">
        <v>12</v>
      </c>
      <c r="J6569" t="s">
        <v>17339</v>
      </c>
    </row>
    <row r="6570" spans="1:10" x14ac:dyDescent="0.25">
      <c r="A6570">
        <v>677139</v>
      </c>
      <c r="B6570" t="s">
        <v>6908</v>
      </c>
      <c r="C6570" t="str">
        <f>"9781780760322"</f>
        <v>9781780760322</v>
      </c>
      <c r="D6570" t="str">
        <f>"9780857710635"</f>
        <v>9780857710635</v>
      </c>
      <c r="E6570" t="s">
        <v>6867</v>
      </c>
      <c r="F6570" t="s">
        <v>6867</v>
      </c>
      <c r="G6570" s="1">
        <v>38681</v>
      </c>
      <c r="H6570" s="1">
        <v>42346</v>
      </c>
      <c r="I6570" t="s">
        <v>12</v>
      </c>
      <c r="J6570" t="s">
        <v>17340</v>
      </c>
    </row>
    <row r="6571" spans="1:10" x14ac:dyDescent="0.25">
      <c r="A6571">
        <v>677141</v>
      </c>
      <c r="B6571" t="s">
        <v>6909</v>
      </c>
      <c r="C6571" t="str">
        <f>"9781845111885"</f>
        <v>9781845111885</v>
      </c>
      <c r="D6571" t="str">
        <f>"9780857716392"</f>
        <v>9780857716392</v>
      </c>
      <c r="E6571" t="s">
        <v>6867</v>
      </c>
      <c r="F6571" t="s">
        <v>6867</v>
      </c>
      <c r="G6571" s="1">
        <v>39379</v>
      </c>
      <c r="H6571" s="1">
        <v>40633</v>
      </c>
      <c r="I6571" t="s">
        <v>12</v>
      </c>
      <c r="J6571" t="s">
        <v>17341</v>
      </c>
    </row>
    <row r="6572" spans="1:10" x14ac:dyDescent="0.25">
      <c r="A6572">
        <v>677150</v>
      </c>
      <c r="B6572" t="s">
        <v>6910</v>
      </c>
      <c r="C6572" t="str">
        <f>"9781845113186"</f>
        <v>9781845113186</v>
      </c>
      <c r="D6572" t="str">
        <f>"9780857713155"</f>
        <v>9780857713155</v>
      </c>
      <c r="E6572" t="s">
        <v>6867</v>
      </c>
      <c r="F6572" t="s">
        <v>6867</v>
      </c>
      <c r="G6572" s="1">
        <v>39379</v>
      </c>
      <c r="H6572" s="1">
        <v>42346</v>
      </c>
      <c r="I6572" t="s">
        <v>12</v>
      </c>
      <c r="J6572" t="s">
        <v>17342</v>
      </c>
    </row>
    <row r="6573" spans="1:10" x14ac:dyDescent="0.25">
      <c r="A6573">
        <v>677159</v>
      </c>
      <c r="B6573" t="s">
        <v>6911</v>
      </c>
      <c r="C6573" t="str">
        <f>"9781850437598"</f>
        <v>9781850437598</v>
      </c>
      <c r="D6573" t="str">
        <f>"9780857716286"</f>
        <v>9780857716286</v>
      </c>
      <c r="E6573" t="s">
        <v>6867</v>
      </c>
      <c r="F6573" t="s">
        <v>6867</v>
      </c>
      <c r="G6573" s="1">
        <v>39017</v>
      </c>
      <c r="H6573" s="1">
        <v>40633</v>
      </c>
      <c r="I6573" t="s">
        <v>12</v>
      </c>
      <c r="J6573" t="s">
        <v>17343</v>
      </c>
    </row>
    <row r="6574" spans="1:10" x14ac:dyDescent="0.25">
      <c r="A6574">
        <v>677173</v>
      </c>
      <c r="B6574" t="s">
        <v>6912</v>
      </c>
      <c r="C6574" t="str">
        <f>"9781848852716"</f>
        <v>9781848852716</v>
      </c>
      <c r="D6574" t="str">
        <f>"9780857718075"</f>
        <v>9780857718075</v>
      </c>
      <c r="E6574" t="s">
        <v>6867</v>
      </c>
      <c r="F6574" t="s">
        <v>6867</v>
      </c>
      <c r="G6574" s="1">
        <v>40436</v>
      </c>
      <c r="H6574" s="1">
        <v>42346</v>
      </c>
      <c r="I6574" t="s">
        <v>12</v>
      </c>
      <c r="J6574" t="s">
        <v>17344</v>
      </c>
    </row>
    <row r="6575" spans="1:10" x14ac:dyDescent="0.25">
      <c r="A6575">
        <v>677174</v>
      </c>
      <c r="B6575" t="s">
        <v>6913</v>
      </c>
      <c r="C6575" t="str">
        <f>"9781860649585"</f>
        <v>9781860649585</v>
      </c>
      <c r="D6575" t="str">
        <f>"9780857730541"</f>
        <v>9780857730541</v>
      </c>
      <c r="E6575" t="s">
        <v>6867</v>
      </c>
      <c r="F6575" t="s">
        <v>6867</v>
      </c>
      <c r="G6575" s="1">
        <v>38234</v>
      </c>
      <c r="H6575" s="1">
        <v>42346</v>
      </c>
      <c r="I6575" t="s">
        <v>12</v>
      </c>
      <c r="J6575" t="s">
        <v>17345</v>
      </c>
    </row>
    <row r="6576" spans="1:10" x14ac:dyDescent="0.25">
      <c r="A6576">
        <v>677446</v>
      </c>
      <c r="B6576" t="s">
        <v>6914</v>
      </c>
      <c r="C6576" t="str">
        <f>"9789622099319"</f>
        <v>9789622099319</v>
      </c>
      <c r="D6576" t="str">
        <f>"9789888052158"</f>
        <v>9789888052158</v>
      </c>
      <c r="E6576" t="s">
        <v>6915</v>
      </c>
      <c r="F6576" t="s">
        <v>6915</v>
      </c>
      <c r="G6576" s="1">
        <v>39814</v>
      </c>
      <c r="H6576" s="1">
        <v>40638</v>
      </c>
      <c r="I6576" t="s">
        <v>12</v>
      </c>
      <c r="J6576" t="s">
        <v>17346</v>
      </c>
    </row>
    <row r="6577" spans="1:10" x14ac:dyDescent="0.25">
      <c r="A6577">
        <v>677767</v>
      </c>
      <c r="B6577" t="s">
        <v>6916</v>
      </c>
      <c r="C6577" t="str">
        <f>"9781598743210"</f>
        <v>9781598743210</v>
      </c>
      <c r="D6577" t="str">
        <f>"9781598747348"</f>
        <v>9781598747348</v>
      </c>
      <c r="E6577" t="s">
        <v>15</v>
      </c>
      <c r="F6577" t="s">
        <v>16</v>
      </c>
      <c r="G6577" s="1">
        <v>39583</v>
      </c>
      <c r="H6577" s="1">
        <v>40634</v>
      </c>
      <c r="I6577" t="s">
        <v>12</v>
      </c>
      <c r="J6577" t="s">
        <v>17347</v>
      </c>
    </row>
    <row r="6578" spans="1:10" x14ac:dyDescent="0.25">
      <c r="A6578">
        <v>677795</v>
      </c>
      <c r="B6578" t="s">
        <v>6917</v>
      </c>
      <c r="C6578" t="str">
        <f>"9781598741902"</f>
        <v>9781598741902</v>
      </c>
      <c r="D6578" t="str">
        <f>"9781598746532"</f>
        <v>9781598746532</v>
      </c>
      <c r="E6578" t="s">
        <v>15</v>
      </c>
      <c r="F6578" t="s">
        <v>16</v>
      </c>
      <c r="G6578" s="1">
        <v>39401</v>
      </c>
      <c r="H6578" s="1">
        <v>40634</v>
      </c>
      <c r="I6578" t="s">
        <v>12</v>
      </c>
      <c r="J6578" t="s">
        <v>17348</v>
      </c>
    </row>
    <row r="6579" spans="1:10" x14ac:dyDescent="0.25">
      <c r="A6579">
        <v>677796</v>
      </c>
      <c r="B6579" t="s">
        <v>6918</v>
      </c>
      <c r="C6579" t="str">
        <f>"9781598743883"</f>
        <v>9781598743883</v>
      </c>
      <c r="D6579" t="str">
        <f>"9781598746617"</f>
        <v>9781598746617</v>
      </c>
      <c r="E6579" t="s">
        <v>15</v>
      </c>
      <c r="F6579" t="s">
        <v>16</v>
      </c>
      <c r="G6579" s="1">
        <v>40497</v>
      </c>
      <c r="H6579" s="1">
        <v>40634</v>
      </c>
      <c r="I6579" t="s">
        <v>12</v>
      </c>
      <c r="J6579" t="s">
        <v>17349</v>
      </c>
    </row>
    <row r="6580" spans="1:10" x14ac:dyDescent="0.25">
      <c r="A6580">
        <v>677805</v>
      </c>
      <c r="B6580" t="s">
        <v>6919</v>
      </c>
      <c r="C6580" t="str">
        <f>"9781598745740"</f>
        <v>9781598745740</v>
      </c>
      <c r="D6580" t="str">
        <f>"9781598745764"</f>
        <v>9781598745764</v>
      </c>
      <c r="E6580" t="s">
        <v>15</v>
      </c>
      <c r="F6580" t="s">
        <v>16</v>
      </c>
      <c r="G6580" s="1">
        <v>40422</v>
      </c>
      <c r="H6580" s="1">
        <v>40634</v>
      </c>
      <c r="I6580" t="s">
        <v>12</v>
      </c>
      <c r="J6580" t="s">
        <v>17350</v>
      </c>
    </row>
    <row r="6581" spans="1:10" x14ac:dyDescent="0.25">
      <c r="A6581">
        <v>677836</v>
      </c>
      <c r="B6581" t="s">
        <v>6920</v>
      </c>
      <c r="C6581" t="str">
        <f>"9781598743746"</f>
        <v>9781598743746</v>
      </c>
      <c r="D6581" t="str">
        <f>"9781598746570"</f>
        <v>9781598746570</v>
      </c>
      <c r="E6581" t="s">
        <v>15</v>
      </c>
      <c r="F6581" t="s">
        <v>16</v>
      </c>
      <c r="G6581" s="1">
        <v>40344</v>
      </c>
      <c r="H6581" s="1">
        <v>40634</v>
      </c>
      <c r="I6581" t="s">
        <v>12</v>
      </c>
      <c r="J6581" t="s">
        <v>17351</v>
      </c>
    </row>
    <row r="6582" spans="1:10" x14ac:dyDescent="0.25">
      <c r="A6582">
        <v>678003</v>
      </c>
      <c r="B6582" t="s">
        <v>6921</v>
      </c>
      <c r="C6582" t="str">
        <f>"9781845645069"</f>
        <v>9781845645069</v>
      </c>
      <c r="D6582" t="str">
        <f>"9781845645076"</f>
        <v>9781845645076</v>
      </c>
      <c r="E6582" t="s">
        <v>6474</v>
      </c>
      <c r="F6582" t="s">
        <v>6474</v>
      </c>
      <c r="G6582" s="1">
        <v>40575</v>
      </c>
      <c r="H6582" s="1">
        <v>40634</v>
      </c>
      <c r="I6582" t="s">
        <v>12</v>
      </c>
      <c r="J6582" t="s">
        <v>17352</v>
      </c>
    </row>
    <row r="6583" spans="1:10" x14ac:dyDescent="0.25">
      <c r="A6583">
        <v>678632</v>
      </c>
      <c r="B6583" t="s">
        <v>6922</v>
      </c>
      <c r="C6583" t="str">
        <f>"9789264014299"</f>
        <v>9789264014299</v>
      </c>
      <c r="D6583" t="str">
        <f>"9789264096226"</f>
        <v>9789264096226</v>
      </c>
      <c r="E6583" t="s">
        <v>1185</v>
      </c>
      <c r="F6583" t="s">
        <v>1186</v>
      </c>
      <c r="G6583" s="1">
        <v>40619</v>
      </c>
      <c r="H6583" s="1">
        <v>40638</v>
      </c>
      <c r="I6583" t="s">
        <v>12</v>
      </c>
      <c r="J6583" t="s">
        <v>17353</v>
      </c>
    </row>
    <row r="6584" spans="1:10" x14ac:dyDescent="0.25">
      <c r="A6584">
        <v>678660</v>
      </c>
      <c r="B6584" t="s">
        <v>6923</v>
      </c>
      <c r="C6584" t="str">
        <f>"9780816665754"</f>
        <v>9780816665754</v>
      </c>
      <c r="D6584" t="str">
        <f>"9780816675173"</f>
        <v>9780816675173</v>
      </c>
      <c r="E6584" t="s">
        <v>3970</v>
      </c>
      <c r="F6584" t="s">
        <v>3970</v>
      </c>
      <c r="G6584" s="1">
        <v>40562</v>
      </c>
      <c r="H6584" s="1">
        <v>40638</v>
      </c>
      <c r="I6584" t="s">
        <v>12</v>
      </c>
      <c r="J6584" t="s">
        <v>17354</v>
      </c>
    </row>
    <row r="6585" spans="1:10" x14ac:dyDescent="0.25">
      <c r="A6585">
        <v>678722</v>
      </c>
      <c r="B6585" t="s">
        <v>6924</v>
      </c>
      <c r="C6585" t="str">
        <f>"9780814417447"</f>
        <v>9780814417447</v>
      </c>
      <c r="D6585" t="str">
        <f>"9780814417454"</f>
        <v>9780814417454</v>
      </c>
      <c r="E6585" t="s">
        <v>1080</v>
      </c>
      <c r="F6585" t="s">
        <v>1080</v>
      </c>
      <c r="G6585" s="1">
        <v>40653</v>
      </c>
      <c r="H6585" s="1">
        <v>40652</v>
      </c>
      <c r="I6585" t="s">
        <v>12</v>
      </c>
      <c r="J6585" t="s">
        <v>17355</v>
      </c>
    </row>
    <row r="6586" spans="1:10" x14ac:dyDescent="0.25">
      <c r="A6586">
        <v>679993</v>
      </c>
      <c r="B6586" t="s">
        <v>6925</v>
      </c>
      <c r="C6586" t="str">
        <f>"9780813344348"</f>
        <v>9780813344348</v>
      </c>
      <c r="D6586" t="str">
        <f>"9780813391649"</f>
        <v>9780813391649</v>
      </c>
      <c r="E6586" t="s">
        <v>6926</v>
      </c>
      <c r="F6586" t="s">
        <v>6926</v>
      </c>
      <c r="G6586" s="1">
        <v>40022</v>
      </c>
      <c r="H6586" s="1">
        <v>40639</v>
      </c>
      <c r="I6586" t="s">
        <v>12</v>
      </c>
      <c r="J6586" t="s">
        <v>17356</v>
      </c>
    </row>
    <row r="6587" spans="1:10" x14ac:dyDescent="0.25">
      <c r="A6587">
        <v>680010</v>
      </c>
      <c r="B6587" t="s">
        <v>6927</v>
      </c>
      <c r="C6587" t="str">
        <f>"9781586486839"</f>
        <v>9781586486839</v>
      </c>
      <c r="D6587" t="str">
        <f>"9781586486846"</f>
        <v>9781586486846</v>
      </c>
      <c r="E6587" t="s">
        <v>6247</v>
      </c>
      <c r="F6587" t="s">
        <v>6247</v>
      </c>
      <c r="G6587" s="1">
        <v>39574</v>
      </c>
      <c r="H6587" s="1">
        <v>40639</v>
      </c>
      <c r="I6587" t="s">
        <v>12</v>
      </c>
      <c r="J6587" t="s">
        <v>17357</v>
      </c>
    </row>
    <row r="6588" spans="1:10" x14ac:dyDescent="0.25">
      <c r="A6588">
        <v>680099</v>
      </c>
      <c r="B6588" t="s">
        <v>6928</v>
      </c>
      <c r="C6588" t="str">
        <f>"9781844453030"</f>
        <v>9781844453030</v>
      </c>
      <c r="D6588" t="str">
        <f>"9780857255914"</f>
        <v>9780857255914</v>
      </c>
      <c r="E6588" t="s">
        <v>1569</v>
      </c>
      <c r="F6588" t="s">
        <v>6929</v>
      </c>
      <c r="G6588" s="1">
        <v>40330</v>
      </c>
      <c r="H6588" s="1">
        <v>40640</v>
      </c>
      <c r="I6588" t="s">
        <v>12</v>
      </c>
      <c r="J6588" t="s">
        <v>17358</v>
      </c>
    </row>
    <row r="6589" spans="1:10" x14ac:dyDescent="0.25">
      <c r="A6589">
        <v>680104</v>
      </c>
      <c r="B6589" t="s">
        <v>6930</v>
      </c>
      <c r="C6589" t="str">
        <f>"9781844453689"</f>
        <v>9781844453689</v>
      </c>
      <c r="D6589" t="str">
        <f>"9780857255822"</f>
        <v>9780857255822</v>
      </c>
      <c r="E6589" t="s">
        <v>1569</v>
      </c>
      <c r="F6589" t="s">
        <v>6929</v>
      </c>
      <c r="G6589" s="1">
        <v>40308</v>
      </c>
      <c r="H6589" s="1">
        <v>40639</v>
      </c>
      <c r="I6589" t="s">
        <v>12</v>
      </c>
      <c r="J6589" t="s">
        <v>17359</v>
      </c>
    </row>
    <row r="6590" spans="1:10" x14ac:dyDescent="0.25">
      <c r="A6590">
        <v>680106</v>
      </c>
      <c r="B6590" t="s">
        <v>6931</v>
      </c>
      <c r="C6590" t="str">
        <f>"9781844453740"</f>
        <v>9781844453740</v>
      </c>
      <c r="D6590" t="str">
        <f>"9780857255983"</f>
        <v>9780857255983</v>
      </c>
      <c r="E6590" t="s">
        <v>1569</v>
      </c>
      <c r="F6590" t="s">
        <v>6929</v>
      </c>
      <c r="G6590" s="1">
        <v>40351</v>
      </c>
      <c r="H6590" s="1">
        <v>40639</v>
      </c>
      <c r="I6590" t="s">
        <v>12</v>
      </c>
      <c r="J6590" t="s">
        <v>17360</v>
      </c>
    </row>
    <row r="6591" spans="1:10" x14ac:dyDescent="0.25">
      <c r="A6591">
        <v>680107</v>
      </c>
      <c r="B6591" t="s">
        <v>6932</v>
      </c>
      <c r="C6591" t="str">
        <f>"9781844453665"</f>
        <v>9781844453665</v>
      </c>
      <c r="D6591" t="str">
        <f>"9780857255877"</f>
        <v>9780857255877</v>
      </c>
      <c r="E6591" t="s">
        <v>1569</v>
      </c>
      <c r="F6591" t="s">
        <v>6929</v>
      </c>
      <c r="G6591" s="1">
        <v>40316</v>
      </c>
      <c r="H6591" s="1">
        <v>40639</v>
      </c>
      <c r="I6591" t="s">
        <v>12</v>
      </c>
      <c r="J6591" t="s">
        <v>17361</v>
      </c>
    </row>
    <row r="6592" spans="1:10" x14ac:dyDescent="0.25">
      <c r="A6592">
        <v>680111</v>
      </c>
      <c r="B6592" t="s">
        <v>6933</v>
      </c>
      <c r="C6592" t="str">
        <f>"9781844453733"</f>
        <v>9781844453733</v>
      </c>
      <c r="D6592" t="str">
        <f>"9780857255990"</f>
        <v>9780857255990</v>
      </c>
      <c r="E6592" t="s">
        <v>1569</v>
      </c>
      <c r="F6592" t="s">
        <v>6929</v>
      </c>
      <c r="G6592" s="1">
        <v>40351</v>
      </c>
      <c r="H6592" s="1">
        <v>40640</v>
      </c>
      <c r="I6592" t="s">
        <v>12</v>
      </c>
      <c r="J6592" t="s">
        <v>17362</v>
      </c>
    </row>
    <row r="6593" spans="1:10" x14ac:dyDescent="0.25">
      <c r="A6593">
        <v>680116</v>
      </c>
      <c r="B6593" t="s">
        <v>6934</v>
      </c>
      <c r="C6593" t="str">
        <f>"9781844454747"</f>
        <v>9781844454747</v>
      </c>
      <c r="D6593" t="str">
        <f>"9780857255945"</f>
        <v>9780857255945</v>
      </c>
      <c r="E6593" t="s">
        <v>1569</v>
      </c>
      <c r="F6593" t="s">
        <v>6929</v>
      </c>
      <c r="G6593" s="1">
        <v>40340</v>
      </c>
      <c r="H6593" s="1">
        <v>40640</v>
      </c>
      <c r="I6593" t="s">
        <v>12</v>
      </c>
      <c r="J6593" t="s">
        <v>17363</v>
      </c>
    </row>
    <row r="6594" spans="1:10" x14ac:dyDescent="0.25">
      <c r="A6594">
        <v>680117</v>
      </c>
      <c r="B6594" t="s">
        <v>6935</v>
      </c>
      <c r="C6594" t="str">
        <f>"9781844452620"</f>
        <v>9781844452620</v>
      </c>
      <c r="D6594" t="str">
        <f>"9780857255587"</f>
        <v>9780857255587</v>
      </c>
      <c r="E6594" t="s">
        <v>1569</v>
      </c>
      <c r="F6594" t="s">
        <v>6929</v>
      </c>
      <c r="G6594" s="1">
        <v>40553</v>
      </c>
      <c r="H6594" s="1">
        <v>40639</v>
      </c>
      <c r="I6594" t="s">
        <v>12</v>
      </c>
      <c r="J6594" t="s">
        <v>17364</v>
      </c>
    </row>
    <row r="6595" spans="1:10" x14ac:dyDescent="0.25">
      <c r="A6595">
        <v>680122</v>
      </c>
      <c r="B6595" t="s">
        <v>6936</v>
      </c>
      <c r="C6595" t="str">
        <f>"9781844453832"</f>
        <v>9781844453832</v>
      </c>
      <c r="D6595" t="str">
        <f>"9780857255693"</f>
        <v>9780857255693</v>
      </c>
      <c r="E6595" t="s">
        <v>1569</v>
      </c>
      <c r="F6595" t="s">
        <v>6929</v>
      </c>
      <c r="G6595" s="1">
        <v>40261</v>
      </c>
      <c r="H6595" s="1">
        <v>40639</v>
      </c>
      <c r="I6595" t="s">
        <v>12</v>
      </c>
      <c r="J6595" t="s">
        <v>17365</v>
      </c>
    </row>
    <row r="6596" spans="1:10" x14ac:dyDescent="0.25">
      <c r="A6596">
        <v>680124</v>
      </c>
      <c r="B6596" t="s">
        <v>6937</v>
      </c>
      <c r="C6596" t="str">
        <f>"9781844453566"</f>
        <v>9781844453566</v>
      </c>
      <c r="D6596" t="str">
        <f>"9780857255761"</f>
        <v>9780857255761</v>
      </c>
      <c r="E6596" t="s">
        <v>1569</v>
      </c>
      <c r="F6596" t="s">
        <v>6929</v>
      </c>
      <c r="G6596" s="1">
        <v>40290</v>
      </c>
      <c r="H6596" s="1">
        <v>40640</v>
      </c>
      <c r="I6596" t="s">
        <v>12</v>
      </c>
      <c r="J6596" t="s">
        <v>17366</v>
      </c>
    </row>
    <row r="6597" spans="1:10" x14ac:dyDescent="0.25">
      <c r="A6597">
        <v>680125</v>
      </c>
      <c r="B6597" t="s">
        <v>6938</v>
      </c>
      <c r="C6597" t="str">
        <f>"9781844451906"</f>
        <v>9781844451906</v>
      </c>
      <c r="D6597" t="str">
        <f>"9780857255464"</f>
        <v>9780857255464</v>
      </c>
      <c r="E6597" t="s">
        <v>1569</v>
      </c>
      <c r="F6597" t="s">
        <v>6929</v>
      </c>
      <c r="G6597" s="1">
        <v>39821</v>
      </c>
      <c r="H6597" s="1">
        <v>40639</v>
      </c>
      <c r="I6597" t="s">
        <v>12</v>
      </c>
      <c r="J6597" t="s">
        <v>17367</v>
      </c>
    </row>
    <row r="6598" spans="1:10" x14ac:dyDescent="0.25">
      <c r="A6598">
        <v>680126</v>
      </c>
      <c r="B6598" t="s">
        <v>6939</v>
      </c>
      <c r="C6598" t="str">
        <f>"9781844451623"</f>
        <v>9781844451623</v>
      </c>
      <c r="D6598" t="str">
        <f>"9780857253521"</f>
        <v>9780857253521</v>
      </c>
      <c r="E6598" t="s">
        <v>1569</v>
      </c>
      <c r="F6598" t="s">
        <v>6929</v>
      </c>
      <c r="G6598" s="1">
        <v>40024</v>
      </c>
      <c r="H6598" s="1">
        <v>40639</v>
      </c>
      <c r="I6598" t="s">
        <v>12</v>
      </c>
      <c r="J6598" t="s">
        <v>17368</v>
      </c>
    </row>
    <row r="6599" spans="1:10" x14ac:dyDescent="0.25">
      <c r="A6599">
        <v>680129</v>
      </c>
      <c r="B6599" t="s">
        <v>6940</v>
      </c>
      <c r="C6599" t="str">
        <f>"9781844451647"</f>
        <v>9781844451647</v>
      </c>
      <c r="D6599" t="str">
        <f>"9780857255884"</f>
        <v>9780857255884</v>
      </c>
      <c r="E6599" t="s">
        <v>1569</v>
      </c>
      <c r="F6599" t="s">
        <v>6929</v>
      </c>
      <c r="G6599" s="1">
        <v>40318</v>
      </c>
      <c r="H6599" s="1">
        <v>40639</v>
      </c>
      <c r="I6599" t="s">
        <v>12</v>
      </c>
      <c r="J6599" t="s">
        <v>17369</v>
      </c>
    </row>
    <row r="6600" spans="1:10" x14ac:dyDescent="0.25">
      <c r="A6600">
        <v>680136</v>
      </c>
      <c r="B6600" t="s">
        <v>6941</v>
      </c>
      <c r="C6600" t="str">
        <f>"9781844452613"</f>
        <v>9781844452613</v>
      </c>
      <c r="D6600" t="str">
        <f>"9780857255679"</f>
        <v>9780857255679</v>
      </c>
      <c r="E6600" t="s">
        <v>1569</v>
      </c>
      <c r="F6600" t="s">
        <v>6929</v>
      </c>
      <c r="G6600" s="1">
        <v>40249</v>
      </c>
      <c r="H6600" s="1">
        <v>40639</v>
      </c>
      <c r="I6600" t="s">
        <v>12</v>
      </c>
      <c r="J6600" t="s">
        <v>17370</v>
      </c>
    </row>
    <row r="6601" spans="1:10" x14ac:dyDescent="0.25">
      <c r="A6601">
        <v>680141</v>
      </c>
      <c r="B6601" t="s">
        <v>6942</v>
      </c>
      <c r="C6601" t="str">
        <f>"9781844452019"</f>
        <v>9781844452019</v>
      </c>
      <c r="D6601" t="str">
        <f>"9780857255471"</f>
        <v>9780857255471</v>
      </c>
      <c r="E6601" t="s">
        <v>1569</v>
      </c>
      <c r="F6601" t="s">
        <v>6929</v>
      </c>
      <c r="G6601" s="1">
        <v>39882</v>
      </c>
      <c r="H6601" s="1">
        <v>40639</v>
      </c>
      <c r="I6601" t="s">
        <v>12</v>
      </c>
      <c r="J6601" t="s">
        <v>17371</v>
      </c>
    </row>
    <row r="6602" spans="1:10" x14ac:dyDescent="0.25">
      <c r="A6602">
        <v>680146</v>
      </c>
      <c r="B6602" t="s">
        <v>6943</v>
      </c>
      <c r="C6602" t="str">
        <f>"9781844454648"</f>
        <v>9781844454648</v>
      </c>
      <c r="D6602" t="str">
        <f>"9780857255891"</f>
        <v>9780857255891</v>
      </c>
      <c r="E6602" t="s">
        <v>1569</v>
      </c>
      <c r="F6602" t="s">
        <v>6929</v>
      </c>
      <c r="G6602" s="1">
        <v>40553</v>
      </c>
      <c r="H6602" s="1">
        <v>40640</v>
      </c>
      <c r="I6602" t="s">
        <v>12</v>
      </c>
      <c r="J6602" t="s">
        <v>17372</v>
      </c>
    </row>
    <row r="6603" spans="1:10" x14ac:dyDescent="0.25">
      <c r="A6603">
        <v>680149</v>
      </c>
      <c r="B6603" t="s">
        <v>6944</v>
      </c>
      <c r="C6603" t="str">
        <f>"9781844454020"</f>
        <v>9781844454020</v>
      </c>
      <c r="D6603" t="str">
        <f>"9780857255976"</f>
        <v>9780857255976</v>
      </c>
      <c r="E6603" t="s">
        <v>1569</v>
      </c>
      <c r="F6603" t="s">
        <v>6929</v>
      </c>
      <c r="G6603" s="1">
        <v>40351</v>
      </c>
      <c r="H6603" s="1">
        <v>40640</v>
      </c>
      <c r="I6603" t="s">
        <v>12</v>
      </c>
      <c r="J6603" t="s">
        <v>17373</v>
      </c>
    </row>
    <row r="6604" spans="1:10" x14ac:dyDescent="0.25">
      <c r="A6604">
        <v>680154</v>
      </c>
      <c r="B6604" t="s">
        <v>6945</v>
      </c>
      <c r="C6604" t="str">
        <f>"9781844452705"</f>
        <v>9781844452705</v>
      </c>
      <c r="D6604" t="str">
        <f>"9780857255563"</f>
        <v>9780857255563</v>
      </c>
      <c r="E6604" t="s">
        <v>1569</v>
      </c>
      <c r="F6604" t="s">
        <v>6929</v>
      </c>
      <c r="G6604" s="1">
        <v>40022</v>
      </c>
      <c r="H6604" s="1">
        <v>40639</v>
      </c>
      <c r="I6604" t="s">
        <v>12</v>
      </c>
      <c r="J6604" t="s">
        <v>17374</v>
      </c>
    </row>
    <row r="6605" spans="1:10" x14ac:dyDescent="0.25">
      <c r="A6605">
        <v>680185</v>
      </c>
      <c r="B6605" t="s">
        <v>6946</v>
      </c>
      <c r="C6605" t="str">
        <f>"9789027255587"</f>
        <v>9789027255587</v>
      </c>
      <c r="D6605" t="str">
        <f>"9789027287151"</f>
        <v>9789027287151</v>
      </c>
      <c r="E6605" t="s">
        <v>6670</v>
      </c>
      <c r="F6605" t="s">
        <v>6670</v>
      </c>
      <c r="G6605" s="1">
        <v>40648</v>
      </c>
      <c r="H6605" s="1">
        <v>40647</v>
      </c>
      <c r="I6605" t="s">
        <v>12</v>
      </c>
      <c r="J6605" t="s">
        <v>17375</v>
      </c>
    </row>
    <row r="6606" spans="1:10" x14ac:dyDescent="0.25">
      <c r="A6606">
        <v>680375</v>
      </c>
      <c r="B6606" t="s">
        <v>6947</v>
      </c>
      <c r="C6606" t="str">
        <f>"9789027223180"</f>
        <v>9789027223180</v>
      </c>
      <c r="D6606" t="str">
        <f>"9789027287267"</f>
        <v>9789027287267</v>
      </c>
      <c r="E6606" t="s">
        <v>6670</v>
      </c>
      <c r="F6606" t="s">
        <v>6670</v>
      </c>
      <c r="G6606" s="1">
        <v>40648</v>
      </c>
      <c r="H6606" s="1">
        <v>40647</v>
      </c>
      <c r="I6606" t="s">
        <v>12</v>
      </c>
      <c r="J6606" t="s">
        <v>17376</v>
      </c>
    </row>
    <row r="6607" spans="1:10" x14ac:dyDescent="0.25">
      <c r="A6607">
        <v>680703</v>
      </c>
      <c r="B6607" t="s">
        <v>6948</v>
      </c>
      <c r="C6607" t="str">
        <f>"9780226310091"</f>
        <v>9780226310091</v>
      </c>
      <c r="D6607" t="str">
        <f>"9780226310107"</f>
        <v>9780226310107</v>
      </c>
      <c r="E6607" t="s">
        <v>5187</v>
      </c>
      <c r="F6607" t="s">
        <v>5187</v>
      </c>
      <c r="G6607" s="1">
        <v>40648</v>
      </c>
      <c r="H6607" s="1">
        <v>40647</v>
      </c>
      <c r="I6607" t="s">
        <v>12</v>
      </c>
      <c r="J6607" t="s">
        <v>17377</v>
      </c>
    </row>
    <row r="6608" spans="1:10" x14ac:dyDescent="0.25">
      <c r="A6608">
        <v>682430</v>
      </c>
      <c r="B6608" t="s">
        <v>6949</v>
      </c>
      <c r="C6608" t="str">
        <f>"9789042032941"</f>
        <v>9789042032941</v>
      </c>
      <c r="D6608" t="str">
        <f>"9789042032958"</f>
        <v>9789042032958</v>
      </c>
      <c r="E6608" t="s">
        <v>1447</v>
      </c>
      <c r="F6608" t="s">
        <v>6409</v>
      </c>
      <c r="G6608" s="1">
        <v>40544</v>
      </c>
      <c r="H6608" s="1">
        <v>40648</v>
      </c>
      <c r="I6608" t="s">
        <v>12</v>
      </c>
      <c r="J6608" t="s">
        <v>17378</v>
      </c>
    </row>
    <row r="6609" spans="1:10" x14ac:dyDescent="0.25">
      <c r="A6609">
        <v>683249</v>
      </c>
      <c r="B6609" t="s">
        <v>6950</v>
      </c>
      <c r="C6609" t="str">
        <f>"9780804771504"</f>
        <v>9780804771504</v>
      </c>
      <c r="D6609" t="str">
        <f>"9780804777230"</f>
        <v>9780804777230</v>
      </c>
      <c r="E6609" t="s">
        <v>6225</v>
      </c>
      <c r="F6609" t="s">
        <v>6225</v>
      </c>
      <c r="G6609" s="1">
        <v>40563</v>
      </c>
      <c r="H6609" s="1">
        <v>40648</v>
      </c>
      <c r="I6609" t="s">
        <v>12</v>
      </c>
      <c r="J6609" t="s">
        <v>17379</v>
      </c>
    </row>
    <row r="6610" spans="1:10" x14ac:dyDescent="0.25">
      <c r="A6610">
        <v>683284</v>
      </c>
      <c r="B6610" t="s">
        <v>6951</v>
      </c>
      <c r="C6610" t="str">
        <f>"9780804772624"</f>
        <v>9780804772624</v>
      </c>
      <c r="D6610" t="str">
        <f>"9780804777209"</f>
        <v>9780804777209</v>
      </c>
      <c r="E6610" t="s">
        <v>6225</v>
      </c>
      <c r="F6610" t="s">
        <v>6952</v>
      </c>
      <c r="G6610" s="1">
        <v>40633</v>
      </c>
      <c r="H6610" s="1">
        <v>40648</v>
      </c>
      <c r="I6610" t="s">
        <v>12</v>
      </c>
      <c r="J6610" t="s">
        <v>17380</v>
      </c>
    </row>
    <row r="6611" spans="1:10" x14ac:dyDescent="0.25">
      <c r="A6611">
        <v>683305</v>
      </c>
      <c r="B6611" t="s">
        <v>6953</v>
      </c>
      <c r="C6611" t="str">
        <f>"9780838910863"</f>
        <v>9780838910863</v>
      </c>
      <c r="D6611" t="str">
        <f>"9780838992753"</f>
        <v>9780838992753</v>
      </c>
      <c r="E6611" t="s">
        <v>6859</v>
      </c>
      <c r="F6611" t="s">
        <v>6859</v>
      </c>
      <c r="G6611" s="1">
        <v>40627</v>
      </c>
      <c r="H6611" s="1">
        <v>40648</v>
      </c>
      <c r="I6611" t="s">
        <v>12</v>
      </c>
      <c r="J6611" t="s">
        <v>17381</v>
      </c>
    </row>
    <row r="6612" spans="1:10" x14ac:dyDescent="0.25">
      <c r="A6612">
        <v>683403</v>
      </c>
      <c r="B6612" t="s">
        <v>6954</v>
      </c>
      <c r="C6612" t="str">
        <f>"9780567546203"</f>
        <v>9780567546203</v>
      </c>
      <c r="D6612" t="str">
        <f>"9780567333520"</f>
        <v>9780567333520</v>
      </c>
      <c r="E6612" t="s">
        <v>6601</v>
      </c>
      <c r="F6612" t="s">
        <v>6548</v>
      </c>
      <c r="G6612" s="1">
        <v>40472</v>
      </c>
      <c r="H6612" s="1">
        <v>41845</v>
      </c>
      <c r="I6612" t="s">
        <v>12</v>
      </c>
      <c r="J6612" t="s">
        <v>17382</v>
      </c>
    </row>
    <row r="6613" spans="1:10" x14ac:dyDescent="0.25">
      <c r="A6613">
        <v>683404</v>
      </c>
      <c r="B6613" t="s">
        <v>6955</v>
      </c>
      <c r="C6613" t="str">
        <f>"9781441182111"</f>
        <v>9781441182111</v>
      </c>
      <c r="D6613" t="str">
        <f>"9781441112026"</f>
        <v>9781441112026</v>
      </c>
      <c r="E6613" t="s">
        <v>4180</v>
      </c>
      <c r="F6613" t="s">
        <v>4180</v>
      </c>
      <c r="G6613" s="1">
        <v>41176</v>
      </c>
      <c r="H6613" s="1">
        <v>41844</v>
      </c>
      <c r="I6613" t="s">
        <v>12</v>
      </c>
      <c r="J6613" t="s">
        <v>17383</v>
      </c>
    </row>
    <row r="6614" spans="1:10" x14ac:dyDescent="0.25">
      <c r="A6614">
        <v>683406</v>
      </c>
      <c r="B6614" t="s">
        <v>6956</v>
      </c>
      <c r="C6614" t="str">
        <f>"9781441156181"</f>
        <v>9781441156181</v>
      </c>
      <c r="D6614" t="str">
        <f>"9781441132598"</f>
        <v>9781441132598</v>
      </c>
      <c r="E6614" t="s">
        <v>4180</v>
      </c>
      <c r="F6614" t="s">
        <v>4180</v>
      </c>
      <c r="G6614" s="1">
        <v>41267</v>
      </c>
      <c r="H6614" s="1">
        <v>42326</v>
      </c>
      <c r="I6614" t="s">
        <v>12</v>
      </c>
      <c r="J6614" t="s">
        <v>17384</v>
      </c>
    </row>
    <row r="6615" spans="1:10" x14ac:dyDescent="0.25">
      <c r="A6615">
        <v>683407</v>
      </c>
      <c r="B6615" t="s">
        <v>6957</v>
      </c>
      <c r="C6615" t="str">
        <f>"9781441137876"</f>
        <v>9781441137876</v>
      </c>
      <c r="D6615" t="str">
        <f>"9781441106513"</f>
        <v>9781441106513</v>
      </c>
      <c r="E6615" t="s">
        <v>4180</v>
      </c>
      <c r="F6615" t="s">
        <v>4180</v>
      </c>
      <c r="G6615" s="1">
        <v>41329</v>
      </c>
      <c r="H6615" s="1">
        <v>42326</v>
      </c>
      <c r="I6615" t="s">
        <v>12</v>
      </c>
      <c r="J6615" t="s">
        <v>17385</v>
      </c>
    </row>
    <row r="6616" spans="1:10" x14ac:dyDescent="0.25">
      <c r="A6616">
        <v>683409</v>
      </c>
      <c r="B6616" t="s">
        <v>6958</v>
      </c>
      <c r="C6616" t="str">
        <f>"9780826441690"</f>
        <v>9780826441690</v>
      </c>
      <c r="D6616" t="str">
        <f>"9781441179432"</f>
        <v>9781441179432</v>
      </c>
      <c r="E6616" t="s">
        <v>4180</v>
      </c>
      <c r="F6616" t="s">
        <v>4180</v>
      </c>
      <c r="G6616" s="1">
        <v>40710</v>
      </c>
      <c r="H6616" s="1">
        <v>41845</v>
      </c>
      <c r="I6616" t="s">
        <v>12</v>
      </c>
      <c r="J6616" t="s">
        <v>17386</v>
      </c>
    </row>
    <row r="6617" spans="1:10" x14ac:dyDescent="0.25">
      <c r="A6617">
        <v>683449</v>
      </c>
      <c r="B6617" t="s">
        <v>6959</v>
      </c>
      <c r="C6617" t="str">
        <f>"9780226903378"</f>
        <v>9780226903378</v>
      </c>
      <c r="D6617" t="str">
        <f>"9780226903385"</f>
        <v>9780226903385</v>
      </c>
      <c r="E6617" t="s">
        <v>5187</v>
      </c>
      <c r="F6617" t="s">
        <v>5187</v>
      </c>
      <c r="G6617" s="1">
        <v>40648</v>
      </c>
      <c r="H6617" s="1">
        <v>40648</v>
      </c>
      <c r="I6617" t="s">
        <v>12</v>
      </c>
      <c r="J6617" t="s">
        <v>17387</v>
      </c>
    </row>
    <row r="6618" spans="1:10" x14ac:dyDescent="0.25">
      <c r="A6618">
        <v>684529</v>
      </c>
      <c r="B6618" t="s">
        <v>6960</v>
      </c>
      <c r="C6618" t="str">
        <f>"9781598745436"</f>
        <v>9781598745436</v>
      </c>
      <c r="D6618" t="str">
        <f>"9781598746686"</f>
        <v>9781598746686</v>
      </c>
      <c r="E6618" t="s">
        <v>15</v>
      </c>
      <c r="F6618" t="s">
        <v>16</v>
      </c>
      <c r="G6618" s="1">
        <v>40575</v>
      </c>
      <c r="H6618" s="1">
        <v>40653</v>
      </c>
      <c r="I6618" t="s">
        <v>12</v>
      </c>
      <c r="J6618" t="s">
        <v>17388</v>
      </c>
    </row>
    <row r="6619" spans="1:10" x14ac:dyDescent="0.25">
      <c r="A6619">
        <v>684602</v>
      </c>
      <c r="B6619" t="s">
        <v>6961</v>
      </c>
      <c r="C6619" t="str">
        <f>"9780192893178"</f>
        <v>9780192893178</v>
      </c>
      <c r="D6619" t="str">
        <f>"9780191586392"</f>
        <v>9780191586392</v>
      </c>
      <c r="E6619" t="s">
        <v>1268</v>
      </c>
      <c r="F6619" t="s">
        <v>1268</v>
      </c>
      <c r="G6619" s="1">
        <v>36671</v>
      </c>
      <c r="H6619" s="1">
        <v>40653</v>
      </c>
      <c r="I6619" t="s">
        <v>12</v>
      </c>
      <c r="J6619" t="s">
        <v>17389</v>
      </c>
    </row>
    <row r="6620" spans="1:10" x14ac:dyDescent="0.25">
      <c r="A6620">
        <v>684639</v>
      </c>
      <c r="B6620" t="s">
        <v>6962</v>
      </c>
      <c r="C6620" t="str">
        <f>"9789241563505"</f>
        <v>9789241563505</v>
      </c>
      <c r="D6620" t="str">
        <f>"9789240686274"</f>
        <v>9789240686274</v>
      </c>
      <c r="E6620" t="s">
        <v>2717</v>
      </c>
      <c r="F6620" t="s">
        <v>2717</v>
      </c>
      <c r="G6620" s="1">
        <v>39385</v>
      </c>
      <c r="H6620" s="1">
        <v>40653</v>
      </c>
      <c r="I6620" t="s">
        <v>12</v>
      </c>
      <c r="J6620" t="s">
        <v>17390</v>
      </c>
    </row>
    <row r="6621" spans="1:10" x14ac:dyDescent="0.25">
      <c r="A6621">
        <v>685530</v>
      </c>
      <c r="B6621" t="s">
        <v>6963</v>
      </c>
      <c r="C6621" t="str">
        <f>"9780889205079"</f>
        <v>9780889205079</v>
      </c>
      <c r="D6621" t="str">
        <f>"9781554580729"</f>
        <v>9781554580729</v>
      </c>
      <c r="E6621" t="s">
        <v>6964</v>
      </c>
      <c r="F6621" t="s">
        <v>6964</v>
      </c>
      <c r="G6621" s="1">
        <v>39198</v>
      </c>
      <c r="H6621" s="1">
        <v>40799</v>
      </c>
      <c r="I6621" t="s">
        <v>12</v>
      </c>
      <c r="J6621" t="s">
        <v>17391</v>
      </c>
    </row>
    <row r="6622" spans="1:10" x14ac:dyDescent="0.25">
      <c r="A6622">
        <v>685566</v>
      </c>
      <c r="B6622" t="s">
        <v>6965</v>
      </c>
      <c r="C6622" t="str">
        <f>"9780889203808"</f>
        <v>9780889203808</v>
      </c>
      <c r="D6622" t="str">
        <f>"9780889208568"</f>
        <v>9780889208568</v>
      </c>
      <c r="E6622" t="s">
        <v>6964</v>
      </c>
      <c r="F6622" t="s">
        <v>6964</v>
      </c>
      <c r="G6622" s="1">
        <v>37033</v>
      </c>
      <c r="H6622" s="1">
        <v>40800</v>
      </c>
      <c r="I6622" t="s">
        <v>12</v>
      </c>
      <c r="J6622" t="s">
        <v>17392</v>
      </c>
    </row>
    <row r="6623" spans="1:10" x14ac:dyDescent="0.25">
      <c r="A6623">
        <v>685680</v>
      </c>
      <c r="B6623" t="s">
        <v>6966</v>
      </c>
      <c r="C6623" t="str">
        <f>"9781554580033"</f>
        <v>9781554580033</v>
      </c>
      <c r="D6623" t="str">
        <f>"9781554581009"</f>
        <v>9781554581009</v>
      </c>
      <c r="E6623" t="s">
        <v>6964</v>
      </c>
      <c r="F6623" t="s">
        <v>6964</v>
      </c>
      <c r="G6623" s="1">
        <v>39248</v>
      </c>
      <c r="H6623" s="1">
        <v>40799</v>
      </c>
      <c r="I6623" t="s">
        <v>12</v>
      </c>
      <c r="J6623" t="s">
        <v>17393</v>
      </c>
    </row>
    <row r="6624" spans="1:10" x14ac:dyDescent="0.25">
      <c r="A6624">
        <v>685719</v>
      </c>
      <c r="B6624" t="s">
        <v>6967</v>
      </c>
      <c r="C6624" t="str">
        <f>"9780889203921"</f>
        <v>9780889203921</v>
      </c>
      <c r="D6624" t="str">
        <f>"9780889207394"</f>
        <v>9780889207394</v>
      </c>
      <c r="E6624" t="s">
        <v>6964</v>
      </c>
      <c r="F6624" t="s">
        <v>6968</v>
      </c>
      <c r="G6624" s="1">
        <v>37622</v>
      </c>
      <c r="H6624" s="1">
        <v>40800</v>
      </c>
      <c r="I6624" t="s">
        <v>12</v>
      </c>
      <c r="J6624" t="s">
        <v>17394</v>
      </c>
    </row>
    <row r="6625" spans="1:10" x14ac:dyDescent="0.25">
      <c r="A6625">
        <v>685753</v>
      </c>
      <c r="B6625" t="s">
        <v>6969</v>
      </c>
      <c r="C6625" t="str">
        <f>"9781554580071"</f>
        <v>9781554580071</v>
      </c>
      <c r="D6625" t="str">
        <f>"9781554581108"</f>
        <v>9781554581108</v>
      </c>
      <c r="E6625" t="s">
        <v>6964</v>
      </c>
      <c r="F6625" t="s">
        <v>6964</v>
      </c>
      <c r="G6625" s="1">
        <v>39244</v>
      </c>
      <c r="H6625" s="1">
        <v>40800</v>
      </c>
      <c r="I6625" t="s">
        <v>12</v>
      </c>
      <c r="J6625" t="s">
        <v>17395</v>
      </c>
    </row>
    <row r="6626" spans="1:10" x14ac:dyDescent="0.25">
      <c r="A6626">
        <v>685925</v>
      </c>
      <c r="B6626" t="s">
        <v>6970</v>
      </c>
      <c r="C6626" t="str">
        <f>"9780889203518"</f>
        <v>9780889203518</v>
      </c>
      <c r="D6626" t="str">
        <f>"9780889205895"</f>
        <v>9780889205895</v>
      </c>
      <c r="E6626" t="s">
        <v>6964</v>
      </c>
      <c r="F6626" t="s">
        <v>6964</v>
      </c>
      <c r="G6626" s="1">
        <v>36719</v>
      </c>
      <c r="H6626" s="1">
        <v>40800</v>
      </c>
      <c r="I6626" t="s">
        <v>12</v>
      </c>
      <c r="J6626" t="s">
        <v>17396</v>
      </c>
    </row>
    <row r="6627" spans="1:10" x14ac:dyDescent="0.25">
      <c r="A6627">
        <v>686261</v>
      </c>
      <c r="B6627" t="s">
        <v>6971</v>
      </c>
      <c r="C6627" t="str">
        <f>"9780226709802"</f>
        <v>9780226709802</v>
      </c>
      <c r="D6627" t="str">
        <f>"9780226709826"</f>
        <v>9780226709826</v>
      </c>
      <c r="E6627" t="s">
        <v>5187</v>
      </c>
      <c r="F6627" t="s">
        <v>5187</v>
      </c>
      <c r="G6627" s="1">
        <v>40648</v>
      </c>
      <c r="H6627" s="1">
        <v>40665</v>
      </c>
      <c r="I6627" t="s">
        <v>12</v>
      </c>
      <c r="J6627" t="s">
        <v>17397</v>
      </c>
    </row>
    <row r="6628" spans="1:10" x14ac:dyDescent="0.25">
      <c r="A6628">
        <v>686265</v>
      </c>
      <c r="B6628" t="s">
        <v>6972</v>
      </c>
      <c r="C6628" t="str">
        <f>"9780226038308"</f>
        <v>9780226038308</v>
      </c>
      <c r="D6628" t="str">
        <f>"9780226038322"</f>
        <v>9780226038322</v>
      </c>
      <c r="E6628" t="s">
        <v>5187</v>
      </c>
      <c r="F6628" t="s">
        <v>5187</v>
      </c>
      <c r="G6628" s="1">
        <v>40648</v>
      </c>
      <c r="H6628" s="1">
        <v>40665</v>
      </c>
      <c r="I6628" t="s">
        <v>12</v>
      </c>
      <c r="J6628" t="s">
        <v>17398</v>
      </c>
    </row>
    <row r="6629" spans="1:10" x14ac:dyDescent="0.25">
      <c r="A6629">
        <v>686435</v>
      </c>
      <c r="B6629" t="s">
        <v>6973</v>
      </c>
      <c r="C6629" t="str">
        <f>"9781844451982"</f>
        <v>9781844451982</v>
      </c>
      <c r="D6629" t="str">
        <f>"9780857253439"</f>
        <v>9780857253439</v>
      </c>
      <c r="E6629" t="s">
        <v>6929</v>
      </c>
      <c r="F6629" t="s">
        <v>6929</v>
      </c>
      <c r="G6629" s="1">
        <v>40380</v>
      </c>
      <c r="H6629" s="1">
        <v>40893</v>
      </c>
      <c r="I6629" t="s">
        <v>12</v>
      </c>
      <c r="J6629" t="s">
        <v>17399</v>
      </c>
    </row>
    <row r="6630" spans="1:10" x14ac:dyDescent="0.25">
      <c r="A6630">
        <v>686437</v>
      </c>
      <c r="B6630" t="s">
        <v>6974</v>
      </c>
      <c r="C6630" t="str">
        <f>"9781844452163"</f>
        <v>9781844452163</v>
      </c>
      <c r="D6630" t="str">
        <f>"9781844458264"</f>
        <v>9781844458264</v>
      </c>
      <c r="E6630" t="s">
        <v>1569</v>
      </c>
      <c r="F6630" t="s">
        <v>6929</v>
      </c>
      <c r="G6630" s="1">
        <v>39920</v>
      </c>
      <c r="H6630" s="1">
        <v>40665</v>
      </c>
      <c r="I6630" t="s">
        <v>12</v>
      </c>
      <c r="J6630" t="s">
        <v>17400</v>
      </c>
    </row>
    <row r="6631" spans="1:10" x14ac:dyDescent="0.25">
      <c r="A6631">
        <v>686441</v>
      </c>
      <c r="B6631" t="s">
        <v>6975</v>
      </c>
      <c r="C6631" t="str">
        <f>"9781844452002"</f>
        <v>9781844452002</v>
      </c>
      <c r="D6631" t="str">
        <f>"9781844458226"</f>
        <v>9781844458226</v>
      </c>
      <c r="E6631" t="s">
        <v>1569</v>
      </c>
      <c r="F6631" t="s">
        <v>6929</v>
      </c>
      <c r="G6631" s="1">
        <v>39951</v>
      </c>
      <c r="H6631" s="1">
        <v>40665</v>
      </c>
      <c r="I6631" t="s">
        <v>12</v>
      </c>
      <c r="J6631" t="s">
        <v>17401</v>
      </c>
    </row>
    <row r="6632" spans="1:10" x14ac:dyDescent="0.25">
      <c r="A6632">
        <v>686446</v>
      </c>
      <c r="B6632" t="s">
        <v>6976</v>
      </c>
      <c r="C6632" t="str">
        <f>"9781844452736"</f>
        <v>9781844452736</v>
      </c>
      <c r="D6632" t="str">
        <f>"9780857253453"</f>
        <v>9780857253453</v>
      </c>
      <c r="E6632" t="s">
        <v>1569</v>
      </c>
      <c r="F6632" t="s">
        <v>6929</v>
      </c>
      <c r="G6632" s="1">
        <v>40380</v>
      </c>
      <c r="H6632" s="1">
        <v>40665</v>
      </c>
      <c r="I6632" t="s">
        <v>12</v>
      </c>
      <c r="J6632" t="s">
        <v>17402</v>
      </c>
    </row>
    <row r="6633" spans="1:10" x14ac:dyDescent="0.25">
      <c r="A6633">
        <v>686458</v>
      </c>
      <c r="B6633" t="s">
        <v>6977</v>
      </c>
      <c r="C6633" t="str">
        <f>"9781844451883"</f>
        <v>9781844451883</v>
      </c>
      <c r="D6633" t="str">
        <f>"9781844458196"</f>
        <v>9781844458196</v>
      </c>
      <c r="E6633" t="s">
        <v>1569</v>
      </c>
      <c r="F6633" t="s">
        <v>6929</v>
      </c>
      <c r="G6633" s="1">
        <v>39822</v>
      </c>
      <c r="H6633" s="1">
        <v>40665</v>
      </c>
      <c r="I6633" t="s">
        <v>12</v>
      </c>
      <c r="J6633" t="s">
        <v>17403</v>
      </c>
    </row>
    <row r="6634" spans="1:10" x14ac:dyDescent="0.25">
      <c r="A6634">
        <v>686471</v>
      </c>
      <c r="B6634" t="s">
        <v>6978</v>
      </c>
      <c r="C6634" t="str">
        <f>"9781844452149"</f>
        <v>9781844452149</v>
      </c>
      <c r="D6634" t="str">
        <f>"9780857253484"</f>
        <v>9780857253484</v>
      </c>
      <c r="E6634" t="s">
        <v>1569</v>
      </c>
      <c r="F6634" t="s">
        <v>6929</v>
      </c>
      <c r="G6634" s="1">
        <v>40214</v>
      </c>
      <c r="H6634" s="1">
        <v>40665</v>
      </c>
      <c r="I6634" t="s">
        <v>12</v>
      </c>
      <c r="J6634" t="s">
        <v>17404</v>
      </c>
    </row>
    <row r="6635" spans="1:10" x14ac:dyDescent="0.25">
      <c r="A6635">
        <v>686475</v>
      </c>
      <c r="B6635" t="s">
        <v>6979</v>
      </c>
      <c r="C6635" t="str">
        <f>"9781844451913"</f>
        <v>9781844451913</v>
      </c>
      <c r="D6635" t="str">
        <f>"9780857253330"</f>
        <v>9780857253330</v>
      </c>
      <c r="E6635" t="s">
        <v>1569</v>
      </c>
      <c r="F6635" t="s">
        <v>6929</v>
      </c>
      <c r="G6635" s="1">
        <v>39960</v>
      </c>
      <c r="H6635" s="1">
        <v>40665</v>
      </c>
      <c r="I6635" t="s">
        <v>12</v>
      </c>
      <c r="J6635" t="s">
        <v>17405</v>
      </c>
    </row>
    <row r="6636" spans="1:10" x14ac:dyDescent="0.25">
      <c r="A6636">
        <v>686481</v>
      </c>
      <c r="B6636" t="s">
        <v>6980</v>
      </c>
      <c r="C6636" t="str">
        <f>"9781844452040"</f>
        <v>9781844452040</v>
      </c>
      <c r="D6636" t="str">
        <f>"9780857253514"</f>
        <v>9780857253514</v>
      </c>
      <c r="E6636" t="s">
        <v>1569</v>
      </c>
      <c r="F6636" t="s">
        <v>6929</v>
      </c>
      <c r="G6636" s="1">
        <v>39938</v>
      </c>
      <c r="H6636" s="1">
        <v>40665</v>
      </c>
      <c r="I6636" t="s">
        <v>12</v>
      </c>
      <c r="J6636" t="s">
        <v>17406</v>
      </c>
    </row>
    <row r="6637" spans="1:10" x14ac:dyDescent="0.25">
      <c r="A6637">
        <v>686909</v>
      </c>
      <c r="B6637" t="s">
        <v>6981</v>
      </c>
      <c r="C6637" t="str">
        <f>"9781441101730"</f>
        <v>9781441101730</v>
      </c>
      <c r="D6637" t="str">
        <f>"9781441130310"</f>
        <v>9781441130310</v>
      </c>
      <c r="E6637" t="s">
        <v>6601</v>
      </c>
      <c r="F6637" t="s">
        <v>6578</v>
      </c>
      <c r="G6637" s="1">
        <v>40654</v>
      </c>
      <c r="H6637" s="1">
        <v>41845</v>
      </c>
      <c r="I6637" t="s">
        <v>12</v>
      </c>
      <c r="J6637" t="s">
        <v>17407</v>
      </c>
    </row>
    <row r="6638" spans="1:10" x14ac:dyDescent="0.25">
      <c r="A6638">
        <v>686921</v>
      </c>
      <c r="B6638" t="s">
        <v>6982</v>
      </c>
      <c r="C6638" t="str">
        <f>"9780826435255"</f>
        <v>9780826435255</v>
      </c>
      <c r="D6638" t="str">
        <f>"9781441183453"</f>
        <v>9781441183453</v>
      </c>
      <c r="E6638" t="s">
        <v>4180</v>
      </c>
      <c r="F6638" t="s">
        <v>4180</v>
      </c>
      <c r="G6638" s="1">
        <v>40703</v>
      </c>
      <c r="H6638" s="1">
        <v>41845</v>
      </c>
      <c r="I6638" t="s">
        <v>12</v>
      </c>
      <c r="J6638" t="s">
        <v>17408</v>
      </c>
    </row>
    <row r="6639" spans="1:10" x14ac:dyDescent="0.25">
      <c r="A6639">
        <v>686924</v>
      </c>
      <c r="B6639" t="s">
        <v>6983</v>
      </c>
      <c r="C6639" t="str">
        <f>"9781847062574"</f>
        <v>9781847062574</v>
      </c>
      <c r="D6639" t="str">
        <f>"9781441157447"</f>
        <v>9781441157447</v>
      </c>
      <c r="E6639" t="s">
        <v>4180</v>
      </c>
      <c r="F6639" t="s">
        <v>4180</v>
      </c>
      <c r="G6639" s="1">
        <v>40696</v>
      </c>
      <c r="H6639" s="1">
        <v>42326</v>
      </c>
      <c r="I6639" t="s">
        <v>12</v>
      </c>
      <c r="J6639" t="s">
        <v>17409</v>
      </c>
    </row>
    <row r="6640" spans="1:10" x14ac:dyDescent="0.25">
      <c r="A6640">
        <v>686930</v>
      </c>
      <c r="B6640" t="s">
        <v>6984</v>
      </c>
      <c r="C6640" t="str">
        <f>"9781441124708"</f>
        <v>9781441124708</v>
      </c>
      <c r="D6640" t="str">
        <f>"9781441146687"</f>
        <v>9781441146687</v>
      </c>
      <c r="E6640" t="s">
        <v>4180</v>
      </c>
      <c r="F6640" t="s">
        <v>4180</v>
      </c>
      <c r="G6640" s="1">
        <v>41235</v>
      </c>
      <c r="H6640" s="1">
        <v>42326</v>
      </c>
      <c r="I6640" t="s">
        <v>12</v>
      </c>
      <c r="J6640" t="s">
        <v>17410</v>
      </c>
    </row>
    <row r="6641" spans="1:10" x14ac:dyDescent="0.25">
      <c r="A6641">
        <v>686936</v>
      </c>
      <c r="B6641" t="s">
        <v>6985</v>
      </c>
      <c r="C6641" t="str">
        <f>"9781441176141"</f>
        <v>9781441176141</v>
      </c>
      <c r="D6641" t="str">
        <f>"9781441133328"</f>
        <v>9781441133328</v>
      </c>
      <c r="E6641" t="s">
        <v>6601</v>
      </c>
      <c r="F6641" t="s">
        <v>6578</v>
      </c>
      <c r="G6641" s="1">
        <v>40647</v>
      </c>
      <c r="H6641" s="1">
        <v>41845</v>
      </c>
      <c r="I6641" t="s">
        <v>12</v>
      </c>
      <c r="J6641" t="s">
        <v>17411</v>
      </c>
    </row>
    <row r="6642" spans="1:10" x14ac:dyDescent="0.25">
      <c r="A6642">
        <v>687014</v>
      </c>
      <c r="B6642" t="s">
        <v>6986</v>
      </c>
      <c r="C6642" t="str">
        <f>"9780786449859"</f>
        <v>9780786449859</v>
      </c>
      <c r="D6642" t="str">
        <f>"9780786486120"</f>
        <v>9780786486120</v>
      </c>
      <c r="E6642" t="s">
        <v>6269</v>
      </c>
      <c r="F6642" t="s">
        <v>6269</v>
      </c>
      <c r="G6642" s="1">
        <v>40645</v>
      </c>
      <c r="H6642" s="1">
        <v>40665</v>
      </c>
      <c r="I6642" t="s">
        <v>12</v>
      </c>
      <c r="J6642" t="s">
        <v>17412</v>
      </c>
    </row>
    <row r="6643" spans="1:10" x14ac:dyDescent="0.25">
      <c r="A6643">
        <v>687028</v>
      </c>
      <c r="B6643" t="s">
        <v>6987</v>
      </c>
      <c r="C6643" t="str">
        <f>"9789264097438"</f>
        <v>9789264097438</v>
      </c>
      <c r="D6643" t="str">
        <f>"9789264097445"</f>
        <v>9789264097445</v>
      </c>
      <c r="E6643" t="s">
        <v>1185</v>
      </c>
      <c r="F6643" t="s">
        <v>1186</v>
      </c>
      <c r="G6643" s="1">
        <v>40630</v>
      </c>
      <c r="H6643" s="1">
        <v>40665</v>
      </c>
      <c r="I6643" t="s">
        <v>12</v>
      </c>
      <c r="J6643" t="s">
        <v>17413</v>
      </c>
    </row>
    <row r="6644" spans="1:10" x14ac:dyDescent="0.25">
      <c r="A6644">
        <v>687037</v>
      </c>
      <c r="B6644" t="s">
        <v>6988</v>
      </c>
      <c r="C6644" t="str">
        <f>"9789264098893"</f>
        <v>9789264098893</v>
      </c>
      <c r="D6644" t="str">
        <f>"9789264098909"</f>
        <v>9789264098909</v>
      </c>
      <c r="E6644" t="s">
        <v>1185</v>
      </c>
      <c r="F6644" t="s">
        <v>1186</v>
      </c>
      <c r="G6644" s="1">
        <v>40638</v>
      </c>
      <c r="H6644" s="1">
        <v>40665</v>
      </c>
      <c r="I6644" t="s">
        <v>12</v>
      </c>
      <c r="J6644" t="s">
        <v>17414</v>
      </c>
    </row>
    <row r="6645" spans="1:10" x14ac:dyDescent="0.25">
      <c r="A6645">
        <v>688259</v>
      </c>
      <c r="B6645" t="s">
        <v>6989</v>
      </c>
      <c r="C6645" t="str">
        <f>"9781780765617"</f>
        <v>9781780765617</v>
      </c>
      <c r="D6645" t="str">
        <f>"9780857718815"</f>
        <v>9780857718815</v>
      </c>
      <c r="E6645" t="s">
        <v>6867</v>
      </c>
      <c r="F6645" t="s">
        <v>6867</v>
      </c>
      <c r="G6645" s="1">
        <v>40512</v>
      </c>
      <c r="H6645" s="1">
        <v>42346</v>
      </c>
      <c r="I6645" t="s">
        <v>12</v>
      </c>
      <c r="J6645" t="s">
        <v>17415</v>
      </c>
    </row>
    <row r="6646" spans="1:10" x14ac:dyDescent="0.25">
      <c r="A6646">
        <v>688269</v>
      </c>
      <c r="B6646" t="s">
        <v>6990</v>
      </c>
      <c r="C6646" t="str">
        <f>"9781848855601"</f>
        <v>9781848855601</v>
      </c>
      <c r="D6646" t="str">
        <f>"9780857731197"</f>
        <v>9780857731197</v>
      </c>
      <c r="E6646" t="s">
        <v>6867</v>
      </c>
      <c r="F6646" t="s">
        <v>6867</v>
      </c>
      <c r="G6646" s="1">
        <v>40512</v>
      </c>
      <c r="H6646" s="1">
        <v>42346</v>
      </c>
      <c r="I6646" t="s">
        <v>12</v>
      </c>
      <c r="J6646" t="s">
        <v>17416</v>
      </c>
    </row>
    <row r="6647" spans="1:10" x14ac:dyDescent="0.25">
      <c r="A6647">
        <v>688301</v>
      </c>
      <c r="B6647" t="s">
        <v>6991</v>
      </c>
      <c r="C6647" t="str">
        <f>"9781848854680"</f>
        <v>9781848854680</v>
      </c>
      <c r="D6647" t="str">
        <f>"9780857719102"</f>
        <v>9780857719102</v>
      </c>
      <c r="E6647" t="s">
        <v>6867</v>
      </c>
      <c r="F6647" t="s">
        <v>6867</v>
      </c>
      <c r="G6647" s="1">
        <v>40481</v>
      </c>
      <c r="H6647" s="1">
        <v>40667</v>
      </c>
      <c r="I6647" t="s">
        <v>12</v>
      </c>
      <c r="J6647" t="s">
        <v>17417</v>
      </c>
    </row>
    <row r="6648" spans="1:10" x14ac:dyDescent="0.25">
      <c r="A6648">
        <v>688314</v>
      </c>
      <c r="B6648" t="s">
        <v>6992</v>
      </c>
      <c r="C6648" t="str">
        <f>"9781848855694"</f>
        <v>9781848855694</v>
      </c>
      <c r="D6648" t="str">
        <f>"9780857719010"</f>
        <v>9780857719010</v>
      </c>
      <c r="E6648" t="s">
        <v>6867</v>
      </c>
      <c r="F6648" t="s">
        <v>6867</v>
      </c>
      <c r="G6648" s="1">
        <v>40530</v>
      </c>
      <c r="H6648" s="1">
        <v>40667</v>
      </c>
      <c r="I6648" t="s">
        <v>12</v>
      </c>
      <c r="J6648" t="s">
        <v>17418</v>
      </c>
    </row>
    <row r="6649" spans="1:10" x14ac:dyDescent="0.25">
      <c r="A6649">
        <v>688316</v>
      </c>
      <c r="B6649" t="s">
        <v>6993</v>
      </c>
      <c r="C6649" t="str">
        <f>"9781845114657"</f>
        <v>9781845114657</v>
      </c>
      <c r="D6649" t="str">
        <f>"9780857731470"</f>
        <v>9780857731470</v>
      </c>
      <c r="E6649" t="s">
        <v>6867</v>
      </c>
      <c r="F6649" t="s">
        <v>6867</v>
      </c>
      <c r="G6649" s="1">
        <v>40481</v>
      </c>
      <c r="H6649" s="1">
        <v>42346</v>
      </c>
      <c r="I6649" t="s">
        <v>12</v>
      </c>
      <c r="J6649" t="s">
        <v>17419</v>
      </c>
    </row>
    <row r="6650" spans="1:10" x14ac:dyDescent="0.25">
      <c r="A6650">
        <v>688325</v>
      </c>
      <c r="B6650" t="s">
        <v>6994</v>
      </c>
      <c r="C6650" t="str">
        <f>"9781846314827"</f>
        <v>9781846314827</v>
      </c>
      <c r="D6650" t="str">
        <f>"9781781388181"</f>
        <v>9781781388181</v>
      </c>
      <c r="E6650" t="s">
        <v>6995</v>
      </c>
      <c r="F6650" t="s">
        <v>6995</v>
      </c>
      <c r="G6650" s="1">
        <v>40511</v>
      </c>
      <c r="H6650" s="1">
        <v>40723</v>
      </c>
      <c r="I6650" t="s">
        <v>12</v>
      </c>
      <c r="J6650" t="s">
        <v>17420</v>
      </c>
    </row>
    <row r="6651" spans="1:10" x14ac:dyDescent="0.25">
      <c r="A6651">
        <v>688554</v>
      </c>
      <c r="B6651" t="s">
        <v>6996</v>
      </c>
      <c r="C6651" t="str">
        <f>"9781848134874"</f>
        <v>9781848134874</v>
      </c>
      <c r="D6651" t="str">
        <f>"9781848134881"</f>
        <v>9781848134881</v>
      </c>
      <c r="E6651" t="s">
        <v>4626</v>
      </c>
      <c r="F6651" t="s">
        <v>4626</v>
      </c>
      <c r="G6651" s="1">
        <v>40532</v>
      </c>
      <c r="H6651" s="1">
        <v>40667</v>
      </c>
      <c r="I6651" t="s">
        <v>12</v>
      </c>
      <c r="J6651" t="s">
        <v>17421</v>
      </c>
    </row>
    <row r="6652" spans="1:10" x14ac:dyDescent="0.25">
      <c r="A6652">
        <v>688564</v>
      </c>
      <c r="B6652" t="s">
        <v>6997</v>
      </c>
      <c r="C6652" t="str">
        <f>"9781848138629"</f>
        <v>9781848138629</v>
      </c>
      <c r="D6652" t="str">
        <f>"9781848138643"</f>
        <v>9781848138643</v>
      </c>
      <c r="E6652" t="s">
        <v>4626</v>
      </c>
      <c r="F6652" t="s">
        <v>4626</v>
      </c>
      <c r="G6652" s="1">
        <v>40556</v>
      </c>
      <c r="H6652" s="1">
        <v>40667</v>
      </c>
      <c r="I6652" t="s">
        <v>12</v>
      </c>
      <c r="J6652" t="s">
        <v>17422</v>
      </c>
    </row>
    <row r="6653" spans="1:10" x14ac:dyDescent="0.25">
      <c r="A6653">
        <v>688670</v>
      </c>
      <c r="B6653" t="s">
        <v>6998</v>
      </c>
      <c r="C6653" t="str">
        <f>"9781571132901"</f>
        <v>9781571132901</v>
      </c>
      <c r="D6653" t="str">
        <f>"9781571137661"</f>
        <v>9781571137661</v>
      </c>
      <c r="E6653" t="s">
        <v>6829</v>
      </c>
      <c r="F6653" t="s">
        <v>6830</v>
      </c>
      <c r="G6653" s="1">
        <v>40683</v>
      </c>
      <c r="H6653" s="1">
        <v>40667</v>
      </c>
      <c r="I6653" t="s">
        <v>12</v>
      </c>
      <c r="J6653" t="s">
        <v>17423</v>
      </c>
    </row>
    <row r="6654" spans="1:10" x14ac:dyDescent="0.25">
      <c r="A6654">
        <v>688905</v>
      </c>
      <c r="B6654" t="s">
        <v>6999</v>
      </c>
      <c r="C6654" t="str">
        <f>"9789027256119"</f>
        <v>9789027256119</v>
      </c>
      <c r="D6654" t="str">
        <f>"9789027286802"</f>
        <v>9789027286802</v>
      </c>
      <c r="E6654" t="s">
        <v>6670</v>
      </c>
      <c r="F6654" t="s">
        <v>6670</v>
      </c>
      <c r="G6654" s="1">
        <v>40678</v>
      </c>
      <c r="H6654" s="1">
        <v>40677</v>
      </c>
      <c r="I6654" t="s">
        <v>12</v>
      </c>
      <c r="J6654" t="s">
        <v>17424</v>
      </c>
    </row>
    <row r="6655" spans="1:10" x14ac:dyDescent="0.25">
      <c r="A6655">
        <v>689605</v>
      </c>
      <c r="B6655" t="s">
        <v>7000</v>
      </c>
      <c r="C6655" t="str">
        <f>"9781416604228"</f>
        <v>9781416604228</v>
      </c>
      <c r="D6655" t="str">
        <f>"9781416605904"</f>
        <v>9781416605904</v>
      </c>
      <c r="E6655" t="s">
        <v>2492</v>
      </c>
      <c r="F6655" t="s">
        <v>2492</v>
      </c>
      <c r="G6655" s="1">
        <v>39066</v>
      </c>
      <c r="H6655" s="1">
        <v>40680</v>
      </c>
      <c r="I6655" t="s">
        <v>12</v>
      </c>
      <c r="J6655" t="s">
        <v>17425</v>
      </c>
    </row>
    <row r="6656" spans="1:10" x14ac:dyDescent="0.25">
      <c r="A6656">
        <v>689607</v>
      </c>
      <c r="B6656" t="s">
        <v>7001</v>
      </c>
      <c r="C6656" t="str">
        <f>"9781416606482"</f>
        <v>9781416606482</v>
      </c>
      <c r="D6656" t="str">
        <f>"9781416607502"</f>
        <v>9781416607502</v>
      </c>
      <c r="E6656" t="s">
        <v>2492</v>
      </c>
      <c r="F6656" t="s">
        <v>2492</v>
      </c>
      <c r="G6656" s="1">
        <v>39448</v>
      </c>
      <c r="H6656" s="1">
        <v>40680</v>
      </c>
      <c r="I6656" t="s">
        <v>12</v>
      </c>
      <c r="J6656" t="s">
        <v>17426</v>
      </c>
    </row>
    <row r="6657" spans="1:10" x14ac:dyDescent="0.25">
      <c r="A6657">
        <v>689863</v>
      </c>
      <c r="B6657" t="s">
        <v>7002</v>
      </c>
      <c r="C6657" t="str">
        <f>"9781855756007"</f>
        <v>9781855756007</v>
      </c>
      <c r="D6657" t="str">
        <f>"9781849407229"</f>
        <v>9781849407229</v>
      </c>
      <c r="E6657" t="s">
        <v>15</v>
      </c>
      <c r="F6657" t="s">
        <v>16</v>
      </c>
      <c r="G6657" s="1">
        <v>40543</v>
      </c>
      <c r="H6657" s="1">
        <v>40672</v>
      </c>
      <c r="I6657" t="s">
        <v>12</v>
      </c>
      <c r="J6657" t="s">
        <v>17427</v>
      </c>
    </row>
    <row r="6658" spans="1:10" x14ac:dyDescent="0.25">
      <c r="A6658">
        <v>689872</v>
      </c>
      <c r="B6658" t="s">
        <v>7003</v>
      </c>
      <c r="C6658" t="str">
        <f>"9781855757769"</f>
        <v>9781855757769</v>
      </c>
      <c r="D6658" t="str">
        <f>"9781849407700"</f>
        <v>9781849407700</v>
      </c>
      <c r="E6658" t="s">
        <v>15</v>
      </c>
      <c r="F6658" t="s">
        <v>16</v>
      </c>
      <c r="G6658" s="1">
        <v>40389</v>
      </c>
      <c r="H6658" s="1">
        <v>40672</v>
      </c>
      <c r="I6658" t="s">
        <v>12</v>
      </c>
      <c r="J6658" t="s">
        <v>17428</v>
      </c>
    </row>
    <row r="6659" spans="1:10" x14ac:dyDescent="0.25">
      <c r="A6659">
        <v>689899</v>
      </c>
      <c r="B6659" t="s">
        <v>7004</v>
      </c>
      <c r="C6659" t="str">
        <f>"9781855758759"</f>
        <v>9781855758759</v>
      </c>
      <c r="D6659" t="str">
        <f>"9781849408622"</f>
        <v>9781849408622</v>
      </c>
      <c r="E6659" t="s">
        <v>15</v>
      </c>
      <c r="F6659" t="s">
        <v>16</v>
      </c>
      <c r="G6659" s="1">
        <v>40434</v>
      </c>
      <c r="H6659" s="1">
        <v>40672</v>
      </c>
      <c r="I6659" t="s">
        <v>12</v>
      </c>
      <c r="J6659" t="s">
        <v>17429</v>
      </c>
    </row>
    <row r="6660" spans="1:10" x14ac:dyDescent="0.25">
      <c r="A6660">
        <v>689904</v>
      </c>
      <c r="B6660" t="s">
        <v>7005</v>
      </c>
      <c r="C6660" t="str">
        <f>"9781855756366"</f>
        <v>9781855756366</v>
      </c>
      <c r="D6660" t="str">
        <f>"9781849407274"</f>
        <v>9781849407274</v>
      </c>
      <c r="E6660" t="s">
        <v>15</v>
      </c>
      <c r="F6660" t="s">
        <v>16</v>
      </c>
      <c r="G6660" s="1">
        <v>40266</v>
      </c>
      <c r="H6660" s="1">
        <v>40672</v>
      </c>
      <c r="I6660" t="s">
        <v>12</v>
      </c>
      <c r="J6660" t="s">
        <v>17430</v>
      </c>
    </row>
    <row r="6661" spans="1:10" x14ac:dyDescent="0.25">
      <c r="A6661">
        <v>689909</v>
      </c>
      <c r="B6661" t="s">
        <v>7006</v>
      </c>
      <c r="C6661" t="str">
        <f>"9781855757103"</f>
        <v>9781855757103</v>
      </c>
      <c r="D6661" t="str">
        <f>"9781849407335"</f>
        <v>9781849407335</v>
      </c>
      <c r="E6661" t="s">
        <v>15</v>
      </c>
      <c r="F6661" t="s">
        <v>16</v>
      </c>
      <c r="G6661" s="1">
        <v>40550</v>
      </c>
      <c r="H6661" s="1">
        <v>40763</v>
      </c>
      <c r="I6661" t="s">
        <v>12</v>
      </c>
      <c r="J6661" t="s">
        <v>17431</v>
      </c>
    </row>
    <row r="6662" spans="1:10" x14ac:dyDescent="0.25">
      <c r="A6662">
        <v>689919</v>
      </c>
      <c r="B6662" t="s">
        <v>7007</v>
      </c>
      <c r="C6662" t="str">
        <f>"9781855755826"</f>
        <v>9781855755826</v>
      </c>
      <c r="D6662" t="str">
        <f>"9781849407496"</f>
        <v>9781849407496</v>
      </c>
      <c r="E6662" t="s">
        <v>15</v>
      </c>
      <c r="F6662" t="s">
        <v>16</v>
      </c>
      <c r="G6662" s="1">
        <v>40543</v>
      </c>
      <c r="H6662" s="1">
        <v>40672</v>
      </c>
      <c r="I6662" t="s">
        <v>12</v>
      </c>
      <c r="J6662" t="s">
        <v>17432</v>
      </c>
    </row>
    <row r="6663" spans="1:10" x14ac:dyDescent="0.25">
      <c r="A6663">
        <v>689921</v>
      </c>
      <c r="B6663" t="s">
        <v>7008</v>
      </c>
      <c r="C6663" t="str">
        <f>"9781855758506"</f>
        <v>9781855758506</v>
      </c>
      <c r="D6663" t="str">
        <f>"9781849407519"</f>
        <v>9781849407519</v>
      </c>
      <c r="E6663" t="s">
        <v>15</v>
      </c>
      <c r="F6663" t="s">
        <v>16</v>
      </c>
      <c r="G6663" s="1">
        <v>40543</v>
      </c>
      <c r="H6663" s="1">
        <v>40672</v>
      </c>
      <c r="I6663" t="s">
        <v>12</v>
      </c>
      <c r="J6663" t="s">
        <v>17433</v>
      </c>
    </row>
    <row r="6664" spans="1:10" x14ac:dyDescent="0.25">
      <c r="A6664">
        <v>689923</v>
      </c>
      <c r="B6664" t="s">
        <v>7009</v>
      </c>
      <c r="C6664" t="str">
        <f>"9781855757158"</f>
        <v>9781855757158</v>
      </c>
      <c r="D6664" t="str">
        <f>"9781849407540"</f>
        <v>9781849407540</v>
      </c>
      <c r="E6664" t="s">
        <v>15</v>
      </c>
      <c r="F6664" t="s">
        <v>16</v>
      </c>
      <c r="G6664" s="1">
        <v>40908</v>
      </c>
      <c r="H6664" s="1">
        <v>40907</v>
      </c>
      <c r="I6664" t="s">
        <v>12</v>
      </c>
      <c r="J6664" t="s">
        <v>17434</v>
      </c>
    </row>
    <row r="6665" spans="1:10" x14ac:dyDescent="0.25">
      <c r="A6665">
        <v>689929</v>
      </c>
      <c r="B6665" t="s">
        <v>7010</v>
      </c>
      <c r="C6665" t="str">
        <f>"9781855756922"</f>
        <v>9781855756922</v>
      </c>
      <c r="D6665" t="str">
        <f>"9781849407670"</f>
        <v>9781849407670</v>
      </c>
      <c r="E6665" t="s">
        <v>15</v>
      </c>
      <c r="F6665" t="s">
        <v>16</v>
      </c>
      <c r="G6665" s="1">
        <v>40262</v>
      </c>
      <c r="H6665" s="1">
        <v>40672</v>
      </c>
      <c r="I6665" t="s">
        <v>12</v>
      </c>
      <c r="J6665" t="s">
        <v>17435</v>
      </c>
    </row>
    <row r="6666" spans="1:10" x14ac:dyDescent="0.25">
      <c r="A6666">
        <v>689930</v>
      </c>
      <c r="B6666" t="s">
        <v>7011</v>
      </c>
      <c r="C6666" t="str">
        <f>"9781855755017"</f>
        <v>9781855755017</v>
      </c>
      <c r="D6666" t="str">
        <f>"9781849408660"</f>
        <v>9781849408660</v>
      </c>
      <c r="E6666" t="s">
        <v>15</v>
      </c>
      <c r="F6666" t="s">
        <v>16</v>
      </c>
      <c r="G6666" s="1">
        <v>40908</v>
      </c>
      <c r="H6666" s="1">
        <v>40907</v>
      </c>
      <c r="I6666" t="s">
        <v>12</v>
      </c>
      <c r="J6666" t="s">
        <v>17436</v>
      </c>
    </row>
    <row r="6667" spans="1:10" x14ac:dyDescent="0.25">
      <c r="A6667">
        <v>689932</v>
      </c>
      <c r="B6667" t="s">
        <v>7012</v>
      </c>
      <c r="C6667" t="str">
        <f>"9781855758032"</f>
        <v>9781855758032</v>
      </c>
      <c r="D6667" t="str">
        <f>"9781849408561"</f>
        <v>9781849408561</v>
      </c>
      <c r="E6667" t="s">
        <v>15</v>
      </c>
      <c r="F6667" t="s">
        <v>16</v>
      </c>
      <c r="G6667" s="1">
        <v>40450</v>
      </c>
      <c r="H6667" s="1">
        <v>40672</v>
      </c>
      <c r="I6667" t="s">
        <v>12</v>
      </c>
      <c r="J6667" t="s">
        <v>17437</v>
      </c>
    </row>
    <row r="6668" spans="1:10" x14ac:dyDescent="0.25">
      <c r="A6668">
        <v>689936</v>
      </c>
      <c r="B6668" t="s">
        <v>7013</v>
      </c>
      <c r="C6668" t="str">
        <f>"9781855756328"</f>
        <v>9781855756328</v>
      </c>
      <c r="D6668" t="str">
        <f>"9781849407748"</f>
        <v>9781849407748</v>
      </c>
      <c r="E6668" t="s">
        <v>15</v>
      </c>
      <c r="F6668" t="s">
        <v>16</v>
      </c>
      <c r="G6668" s="1">
        <v>40543</v>
      </c>
      <c r="H6668" s="1">
        <v>40672</v>
      </c>
      <c r="I6668" t="s">
        <v>12</v>
      </c>
      <c r="J6668" t="s">
        <v>17438</v>
      </c>
    </row>
    <row r="6669" spans="1:10" x14ac:dyDescent="0.25">
      <c r="A6669">
        <v>689937</v>
      </c>
      <c r="B6669" t="s">
        <v>7014</v>
      </c>
      <c r="C6669" t="str">
        <f>"9781855756571"</f>
        <v>9781855756571</v>
      </c>
      <c r="D6669" t="str">
        <f>"9781849407755"</f>
        <v>9781849407755</v>
      </c>
      <c r="E6669" t="s">
        <v>15</v>
      </c>
      <c r="F6669" t="s">
        <v>16</v>
      </c>
      <c r="G6669" s="1">
        <v>40236</v>
      </c>
      <c r="H6669" s="1">
        <v>40672</v>
      </c>
      <c r="I6669" t="s">
        <v>12</v>
      </c>
      <c r="J6669" t="s">
        <v>17439</v>
      </c>
    </row>
    <row r="6670" spans="1:10" x14ac:dyDescent="0.25">
      <c r="A6670">
        <v>689939</v>
      </c>
      <c r="B6670" t="s">
        <v>7015</v>
      </c>
      <c r="C6670" t="str">
        <f>"9781855757561"</f>
        <v>9781855757561</v>
      </c>
      <c r="D6670" t="str">
        <f>"9781849407762"</f>
        <v>9781849407762</v>
      </c>
      <c r="E6670" t="s">
        <v>15</v>
      </c>
      <c r="F6670" t="s">
        <v>16</v>
      </c>
      <c r="G6670" s="1">
        <v>40417</v>
      </c>
      <c r="H6670" s="1">
        <v>40672</v>
      </c>
      <c r="I6670" t="s">
        <v>12</v>
      </c>
      <c r="J6670" t="s">
        <v>17440</v>
      </c>
    </row>
    <row r="6671" spans="1:10" x14ac:dyDescent="0.25">
      <c r="A6671">
        <v>689944</v>
      </c>
      <c r="B6671" t="s">
        <v>7016</v>
      </c>
      <c r="C6671" t="str">
        <f>"9781855757837"</f>
        <v>9781855757837</v>
      </c>
      <c r="D6671" t="str">
        <f>"9781849407816"</f>
        <v>9781849407816</v>
      </c>
      <c r="E6671" t="s">
        <v>15</v>
      </c>
      <c r="F6671" t="s">
        <v>16</v>
      </c>
      <c r="G6671" s="1">
        <v>40450</v>
      </c>
      <c r="H6671" s="1">
        <v>40672</v>
      </c>
      <c r="I6671" t="s">
        <v>12</v>
      </c>
      <c r="J6671" t="s">
        <v>17441</v>
      </c>
    </row>
    <row r="6672" spans="1:10" x14ac:dyDescent="0.25">
      <c r="A6672">
        <v>689953</v>
      </c>
      <c r="B6672" t="s">
        <v>7017</v>
      </c>
      <c r="C6672" t="str">
        <f>"9781855756403"</f>
        <v>9781855756403</v>
      </c>
      <c r="D6672" t="str">
        <f>"9781849407946"</f>
        <v>9781849407946</v>
      </c>
      <c r="E6672" t="s">
        <v>15</v>
      </c>
      <c r="F6672" t="s">
        <v>16</v>
      </c>
      <c r="G6672" s="1">
        <v>40543</v>
      </c>
      <c r="H6672" s="1">
        <v>40672</v>
      </c>
      <c r="I6672" t="s">
        <v>12</v>
      </c>
      <c r="J6672" t="s">
        <v>17442</v>
      </c>
    </row>
    <row r="6673" spans="1:10" x14ac:dyDescent="0.25">
      <c r="A6673">
        <v>689955</v>
      </c>
      <c r="B6673" t="s">
        <v>7018</v>
      </c>
      <c r="C6673" t="str">
        <f>"9781855754744"</f>
        <v>9781855754744</v>
      </c>
      <c r="D6673" t="str">
        <f>"9781849407960"</f>
        <v>9781849407960</v>
      </c>
      <c r="E6673" t="s">
        <v>15</v>
      </c>
      <c r="F6673" t="s">
        <v>16</v>
      </c>
      <c r="G6673" s="1">
        <v>40295</v>
      </c>
      <c r="H6673" s="1">
        <v>40672</v>
      </c>
      <c r="I6673" t="s">
        <v>12</v>
      </c>
      <c r="J6673" t="s">
        <v>17443</v>
      </c>
    </row>
    <row r="6674" spans="1:10" x14ac:dyDescent="0.25">
      <c r="A6674">
        <v>689957</v>
      </c>
      <c r="B6674" t="s">
        <v>7019</v>
      </c>
      <c r="C6674" t="str">
        <f>"9781855757806"</f>
        <v>9781855757806</v>
      </c>
      <c r="D6674" t="str">
        <f>"9781849407991"</f>
        <v>9781849407991</v>
      </c>
      <c r="E6674" t="s">
        <v>15</v>
      </c>
      <c r="F6674" t="s">
        <v>16</v>
      </c>
      <c r="G6674" s="1">
        <v>40178</v>
      </c>
      <c r="H6674" s="1">
        <v>40672</v>
      </c>
      <c r="I6674" t="s">
        <v>12</v>
      </c>
      <c r="J6674" t="s">
        <v>17444</v>
      </c>
    </row>
    <row r="6675" spans="1:10" x14ac:dyDescent="0.25">
      <c r="A6675">
        <v>689960</v>
      </c>
      <c r="B6675" t="s">
        <v>7020</v>
      </c>
      <c r="C6675" t="str">
        <f>"9781855756779"</f>
        <v>9781855756779</v>
      </c>
      <c r="D6675" t="str">
        <f>"9781849408035"</f>
        <v>9781849408035</v>
      </c>
      <c r="E6675" t="s">
        <v>15</v>
      </c>
      <c r="F6675" t="s">
        <v>16</v>
      </c>
      <c r="G6675" s="1">
        <v>40178</v>
      </c>
      <c r="H6675" s="1">
        <v>40672</v>
      </c>
      <c r="I6675" t="s">
        <v>12</v>
      </c>
      <c r="J6675" t="s">
        <v>17445</v>
      </c>
    </row>
    <row r="6676" spans="1:10" x14ac:dyDescent="0.25">
      <c r="A6676">
        <v>689967</v>
      </c>
      <c r="B6676" t="s">
        <v>7021</v>
      </c>
      <c r="C6676" t="str">
        <f>"9781855756717"</f>
        <v>9781855756717</v>
      </c>
      <c r="D6676" t="str">
        <f>"9781849408127"</f>
        <v>9781849408127</v>
      </c>
      <c r="E6676" t="s">
        <v>15</v>
      </c>
      <c r="F6676" t="s">
        <v>16</v>
      </c>
      <c r="G6676" s="1">
        <v>39869</v>
      </c>
      <c r="H6676" s="1">
        <v>40672</v>
      </c>
      <c r="I6676" t="s">
        <v>12</v>
      </c>
      <c r="J6676" t="s">
        <v>17446</v>
      </c>
    </row>
    <row r="6677" spans="1:10" x14ac:dyDescent="0.25">
      <c r="A6677">
        <v>689972</v>
      </c>
      <c r="B6677" t="s">
        <v>7022</v>
      </c>
      <c r="C6677" t="str">
        <f>"9781855755192"</f>
        <v>9781855755192</v>
      </c>
      <c r="D6677" t="str">
        <f>"9781849408189"</f>
        <v>9781849408189</v>
      </c>
      <c r="E6677" t="s">
        <v>15</v>
      </c>
      <c r="F6677" t="s">
        <v>16</v>
      </c>
      <c r="G6677" s="1">
        <v>39897</v>
      </c>
      <c r="H6677" s="1">
        <v>40672</v>
      </c>
      <c r="I6677" t="s">
        <v>12</v>
      </c>
      <c r="J6677" t="s">
        <v>17447</v>
      </c>
    </row>
    <row r="6678" spans="1:10" x14ac:dyDescent="0.25">
      <c r="A6678">
        <v>689976</v>
      </c>
      <c r="B6678" t="s">
        <v>7023</v>
      </c>
      <c r="C6678" t="str">
        <f>"9781855756458"</f>
        <v>9781855756458</v>
      </c>
      <c r="D6678" t="str">
        <f>"9781849408226"</f>
        <v>9781849408226</v>
      </c>
      <c r="E6678" t="s">
        <v>15</v>
      </c>
      <c r="F6678" t="s">
        <v>16</v>
      </c>
      <c r="G6678" s="1">
        <v>39912</v>
      </c>
      <c r="H6678" s="1">
        <v>40672</v>
      </c>
      <c r="I6678" t="s">
        <v>12</v>
      </c>
      <c r="J6678" t="s">
        <v>17448</v>
      </c>
    </row>
    <row r="6679" spans="1:10" x14ac:dyDescent="0.25">
      <c r="A6679">
        <v>689978</v>
      </c>
      <c r="B6679" t="s">
        <v>7024</v>
      </c>
      <c r="C6679" t="str">
        <f>"9781855755376"</f>
        <v>9781855755376</v>
      </c>
      <c r="D6679" t="str">
        <f>"9781849408240"</f>
        <v>9781849408240</v>
      </c>
      <c r="E6679" t="s">
        <v>15</v>
      </c>
      <c r="F6679" t="s">
        <v>16</v>
      </c>
      <c r="G6679" s="1">
        <v>40178</v>
      </c>
      <c r="H6679" s="1">
        <v>40672</v>
      </c>
      <c r="I6679" t="s">
        <v>12</v>
      </c>
      <c r="J6679" t="s">
        <v>17449</v>
      </c>
    </row>
    <row r="6680" spans="1:10" x14ac:dyDescent="0.25">
      <c r="A6680">
        <v>689982</v>
      </c>
      <c r="B6680" t="s">
        <v>7025</v>
      </c>
      <c r="C6680" t="str">
        <f>"9781855757646"</f>
        <v>9781855757646</v>
      </c>
      <c r="D6680" t="str">
        <f>"9781849408288"</f>
        <v>9781849408288</v>
      </c>
      <c r="E6680" t="s">
        <v>15</v>
      </c>
      <c r="F6680" t="s">
        <v>16</v>
      </c>
      <c r="G6680" s="1">
        <v>40178</v>
      </c>
      <c r="H6680" s="1">
        <v>40672</v>
      </c>
      <c r="I6680" t="s">
        <v>12</v>
      </c>
      <c r="J6680" t="s">
        <v>17450</v>
      </c>
    </row>
    <row r="6681" spans="1:10" x14ac:dyDescent="0.25">
      <c r="A6681">
        <v>689992</v>
      </c>
      <c r="B6681" t="s">
        <v>7026</v>
      </c>
      <c r="C6681" t="str">
        <f>"9781855756359"</f>
        <v>9781855756359</v>
      </c>
      <c r="D6681" t="str">
        <f>"9781849408400"</f>
        <v>9781849408400</v>
      </c>
      <c r="E6681" t="s">
        <v>15</v>
      </c>
      <c r="F6681" t="s">
        <v>16</v>
      </c>
      <c r="G6681" s="1">
        <v>40130</v>
      </c>
      <c r="H6681" s="1">
        <v>40672</v>
      </c>
      <c r="I6681" t="s">
        <v>12</v>
      </c>
      <c r="J6681" t="s">
        <v>17451</v>
      </c>
    </row>
    <row r="6682" spans="1:10" x14ac:dyDescent="0.25">
      <c r="A6682">
        <v>689993</v>
      </c>
      <c r="B6682" t="s">
        <v>7027</v>
      </c>
      <c r="C6682" t="str">
        <f>"9781855755222"</f>
        <v>9781855755222</v>
      </c>
      <c r="D6682" t="str">
        <f>"9781849408424"</f>
        <v>9781849408424</v>
      </c>
      <c r="E6682" t="s">
        <v>7028</v>
      </c>
      <c r="F6682" t="s">
        <v>7028</v>
      </c>
      <c r="G6682" s="1">
        <v>40130</v>
      </c>
      <c r="H6682" s="1">
        <v>40672</v>
      </c>
      <c r="I6682" t="s">
        <v>12</v>
      </c>
      <c r="J6682" t="s">
        <v>17452</v>
      </c>
    </row>
    <row r="6683" spans="1:10" x14ac:dyDescent="0.25">
      <c r="A6683">
        <v>690000</v>
      </c>
      <c r="B6683" t="s">
        <v>7029</v>
      </c>
      <c r="C6683" t="str">
        <f>"9781855755772"</f>
        <v>9781855755772</v>
      </c>
      <c r="D6683" t="str">
        <f>"9781849408509"</f>
        <v>9781849408509</v>
      </c>
      <c r="E6683" t="s">
        <v>15</v>
      </c>
      <c r="F6683" t="s">
        <v>16</v>
      </c>
      <c r="G6683" s="1">
        <v>39841</v>
      </c>
      <c r="H6683" s="1">
        <v>40672</v>
      </c>
      <c r="I6683" t="s">
        <v>12</v>
      </c>
      <c r="J6683" t="s">
        <v>17453</v>
      </c>
    </row>
    <row r="6684" spans="1:10" x14ac:dyDescent="0.25">
      <c r="A6684">
        <v>690001</v>
      </c>
      <c r="B6684" t="s">
        <v>7030</v>
      </c>
      <c r="C6684" t="str">
        <f>"9781855756847"</f>
        <v>9781855756847</v>
      </c>
      <c r="D6684" t="str">
        <f>"9781849408516"</f>
        <v>9781849408516</v>
      </c>
      <c r="E6684" t="s">
        <v>15</v>
      </c>
      <c r="F6684" t="s">
        <v>16</v>
      </c>
      <c r="G6684" s="1">
        <v>39862</v>
      </c>
      <c r="H6684" s="1">
        <v>40672</v>
      </c>
      <c r="I6684" t="s">
        <v>12</v>
      </c>
      <c r="J6684" t="s">
        <v>17454</v>
      </c>
    </row>
    <row r="6685" spans="1:10" x14ac:dyDescent="0.25">
      <c r="A6685">
        <v>690008</v>
      </c>
      <c r="B6685" t="s">
        <v>7031</v>
      </c>
      <c r="C6685" t="str">
        <f>"9781855755055"</f>
        <v>9781855755055</v>
      </c>
      <c r="D6685" t="str">
        <f>"9781849406918"</f>
        <v>9781849406918</v>
      </c>
      <c r="E6685" t="s">
        <v>15</v>
      </c>
      <c r="F6685" t="s">
        <v>16</v>
      </c>
      <c r="G6685" s="1">
        <v>40178</v>
      </c>
      <c r="H6685" s="1">
        <v>40672</v>
      </c>
      <c r="I6685" t="s">
        <v>12</v>
      </c>
      <c r="J6685" t="s">
        <v>17455</v>
      </c>
    </row>
    <row r="6686" spans="1:10" x14ac:dyDescent="0.25">
      <c r="A6686">
        <v>690012</v>
      </c>
      <c r="B6686" t="s">
        <v>7032</v>
      </c>
      <c r="C6686" t="str">
        <f>"9781855757134"</f>
        <v>9781855757134</v>
      </c>
      <c r="D6686" t="str">
        <f>"9781849406956"</f>
        <v>9781849406956</v>
      </c>
      <c r="E6686" t="s">
        <v>7028</v>
      </c>
      <c r="F6686" t="s">
        <v>7028</v>
      </c>
      <c r="G6686" s="1">
        <v>40178</v>
      </c>
      <c r="H6686" s="1">
        <v>40672</v>
      </c>
      <c r="I6686" t="s">
        <v>12</v>
      </c>
      <c r="J6686" t="s">
        <v>17456</v>
      </c>
    </row>
    <row r="6687" spans="1:10" x14ac:dyDescent="0.25">
      <c r="A6687">
        <v>690081</v>
      </c>
      <c r="B6687" t="s">
        <v>7033</v>
      </c>
      <c r="C6687" t="str">
        <f>"9781780491271"</f>
        <v>9781780491271</v>
      </c>
      <c r="D6687" t="str">
        <f>"9781849408776"</f>
        <v>9781849408776</v>
      </c>
      <c r="E6687" t="s">
        <v>7028</v>
      </c>
      <c r="F6687" t="s">
        <v>7028</v>
      </c>
      <c r="G6687" s="1">
        <v>40599</v>
      </c>
      <c r="H6687" s="1">
        <v>40672</v>
      </c>
      <c r="I6687" t="s">
        <v>12</v>
      </c>
      <c r="J6687" t="s">
        <v>17457</v>
      </c>
    </row>
    <row r="6688" spans="1:10" x14ac:dyDescent="0.25">
      <c r="A6688">
        <v>690086</v>
      </c>
      <c r="B6688" t="s">
        <v>7034</v>
      </c>
      <c r="C6688" t="str">
        <f>"9781855758421"</f>
        <v>9781855758421</v>
      </c>
      <c r="D6688" t="str">
        <f>"9781849408806"</f>
        <v>9781849408806</v>
      </c>
      <c r="E6688" t="s">
        <v>15</v>
      </c>
      <c r="F6688" t="s">
        <v>16</v>
      </c>
      <c r="G6688" s="1">
        <v>40640</v>
      </c>
      <c r="H6688" s="1">
        <v>40672</v>
      </c>
      <c r="I6688" t="s">
        <v>12</v>
      </c>
      <c r="J6688" t="s">
        <v>17458</v>
      </c>
    </row>
    <row r="6689" spans="1:10" x14ac:dyDescent="0.25">
      <c r="A6689">
        <v>690087</v>
      </c>
      <c r="B6689" t="s">
        <v>7035</v>
      </c>
      <c r="C6689" t="str">
        <f>"9781855758988"</f>
        <v>9781855758988</v>
      </c>
      <c r="D6689" t="str">
        <f>"9781849408837"</f>
        <v>9781849408837</v>
      </c>
      <c r="E6689" t="s">
        <v>15</v>
      </c>
      <c r="F6689" t="s">
        <v>16</v>
      </c>
      <c r="G6689" s="1">
        <v>40646</v>
      </c>
      <c r="H6689" s="1">
        <v>42323</v>
      </c>
      <c r="I6689" t="s">
        <v>12</v>
      </c>
      <c r="J6689" t="s">
        <v>17459</v>
      </c>
    </row>
    <row r="6690" spans="1:10" x14ac:dyDescent="0.25">
      <c r="A6690">
        <v>690088</v>
      </c>
      <c r="B6690" t="s">
        <v>7036</v>
      </c>
      <c r="C6690" t="str">
        <f>"9781855758711"</f>
        <v>9781855758711</v>
      </c>
      <c r="D6690" t="str">
        <f>"9781849408844"</f>
        <v>9781849408844</v>
      </c>
      <c r="E6690" t="s">
        <v>15</v>
      </c>
      <c r="F6690" t="s">
        <v>16</v>
      </c>
      <c r="G6690" s="1">
        <v>40638</v>
      </c>
      <c r="H6690" s="1">
        <v>40768</v>
      </c>
      <c r="I6690" t="s">
        <v>12</v>
      </c>
      <c r="J6690" t="s">
        <v>17460</v>
      </c>
    </row>
    <row r="6691" spans="1:10" x14ac:dyDescent="0.25">
      <c r="A6691">
        <v>690090</v>
      </c>
      <c r="B6691" t="s">
        <v>7037</v>
      </c>
      <c r="C6691" t="str">
        <f>"9781855758117"</f>
        <v>9781855758117</v>
      </c>
      <c r="D6691" t="str">
        <f>"9781849408868"</f>
        <v>9781849408868</v>
      </c>
      <c r="E6691" t="s">
        <v>15</v>
      </c>
      <c r="F6691" t="s">
        <v>16</v>
      </c>
      <c r="G6691" s="1">
        <v>40908</v>
      </c>
      <c r="H6691" s="1">
        <v>40768</v>
      </c>
      <c r="I6691" t="s">
        <v>12</v>
      </c>
      <c r="J6691" t="s">
        <v>17461</v>
      </c>
    </row>
    <row r="6692" spans="1:10" x14ac:dyDescent="0.25">
      <c r="A6692">
        <v>690140</v>
      </c>
      <c r="B6692" t="s">
        <v>7038</v>
      </c>
      <c r="C6692" t="str">
        <f>"9781855750777"</f>
        <v>9781855750777</v>
      </c>
      <c r="D6692" t="str">
        <f>"9781849401661"</f>
        <v>9781849401661</v>
      </c>
      <c r="E6692" t="s">
        <v>15</v>
      </c>
      <c r="F6692" t="s">
        <v>16</v>
      </c>
      <c r="G6692" s="1">
        <v>34699</v>
      </c>
      <c r="H6692" s="1">
        <v>40876</v>
      </c>
      <c r="I6692" t="s">
        <v>12</v>
      </c>
      <c r="J6692" t="s">
        <v>17462</v>
      </c>
    </row>
    <row r="6693" spans="1:10" x14ac:dyDescent="0.25">
      <c r="A6693">
        <v>690299</v>
      </c>
      <c r="B6693" t="s">
        <v>7039</v>
      </c>
      <c r="C6693" t="str">
        <f>"9781904658429"</f>
        <v>9781904658429</v>
      </c>
      <c r="D6693" t="str">
        <f>"9781904658535"</f>
        <v>9781904658535</v>
      </c>
      <c r="E6693" t="s">
        <v>7028</v>
      </c>
      <c r="F6693" t="s">
        <v>7040</v>
      </c>
      <c r="G6693" s="1">
        <v>40908</v>
      </c>
      <c r="H6693" s="1">
        <v>40907</v>
      </c>
      <c r="I6693" t="s">
        <v>12</v>
      </c>
      <c r="J6693" t="s">
        <v>17463</v>
      </c>
    </row>
    <row r="6694" spans="1:10" x14ac:dyDescent="0.25">
      <c r="A6694">
        <v>690443</v>
      </c>
      <c r="B6694" t="s">
        <v>7041</v>
      </c>
      <c r="C6694" t="str">
        <f>"9789027224385"</f>
        <v>9789027224385</v>
      </c>
      <c r="D6694" t="str">
        <f>"9789027286888"</f>
        <v>9789027286888</v>
      </c>
      <c r="E6694" t="s">
        <v>6670</v>
      </c>
      <c r="F6694" t="s">
        <v>6670</v>
      </c>
      <c r="G6694" s="1">
        <v>40678</v>
      </c>
      <c r="H6694" s="1">
        <v>40677</v>
      </c>
      <c r="I6694" t="s">
        <v>12</v>
      </c>
      <c r="J6694" t="s">
        <v>17464</v>
      </c>
    </row>
    <row r="6695" spans="1:10" x14ac:dyDescent="0.25">
      <c r="A6695">
        <v>692450</v>
      </c>
      <c r="B6695" t="s">
        <v>7042</v>
      </c>
      <c r="C6695" t="str">
        <f>"9780804771481"</f>
        <v>9780804771481</v>
      </c>
      <c r="D6695" t="str">
        <f>"9780804777650"</f>
        <v>9780804777650</v>
      </c>
      <c r="E6695" t="s">
        <v>6225</v>
      </c>
      <c r="F6695" t="s">
        <v>6225</v>
      </c>
      <c r="G6695" s="1">
        <v>40619</v>
      </c>
      <c r="H6695" s="1">
        <v>40676</v>
      </c>
      <c r="I6695" t="s">
        <v>12</v>
      </c>
      <c r="J6695" t="s">
        <v>17465</v>
      </c>
    </row>
    <row r="6696" spans="1:10" x14ac:dyDescent="0.25">
      <c r="A6696">
        <v>692805</v>
      </c>
      <c r="B6696" t="s">
        <v>7043</v>
      </c>
      <c r="C6696" t="str">
        <f>"9781623569921"</f>
        <v>9781623569921</v>
      </c>
      <c r="D6696" t="str">
        <f>"9781441152169"</f>
        <v>9781441152169</v>
      </c>
      <c r="E6696" t="s">
        <v>4180</v>
      </c>
      <c r="F6696" t="s">
        <v>4180</v>
      </c>
      <c r="G6696" s="1">
        <v>41395</v>
      </c>
      <c r="H6696" s="1">
        <v>42326</v>
      </c>
      <c r="I6696" t="s">
        <v>12</v>
      </c>
      <c r="J6696" t="s">
        <v>17466</v>
      </c>
    </row>
    <row r="6697" spans="1:10" x14ac:dyDescent="0.25">
      <c r="A6697">
        <v>692818</v>
      </c>
      <c r="B6697" t="s">
        <v>7044</v>
      </c>
      <c r="C6697" t="str">
        <f>"9781441144812"</f>
        <v>9781441144812</v>
      </c>
      <c r="D6697" t="str">
        <f>"9781441174185"</f>
        <v>9781441174185</v>
      </c>
      <c r="E6697" t="s">
        <v>4180</v>
      </c>
      <c r="F6697" t="s">
        <v>4180</v>
      </c>
      <c r="G6697" s="1">
        <v>41395</v>
      </c>
      <c r="H6697" s="1">
        <v>42326</v>
      </c>
      <c r="I6697" t="s">
        <v>12</v>
      </c>
      <c r="J6697" t="s">
        <v>17467</v>
      </c>
    </row>
    <row r="6698" spans="1:10" x14ac:dyDescent="0.25">
      <c r="A6698">
        <v>692944</v>
      </c>
      <c r="B6698" t="s">
        <v>7045</v>
      </c>
      <c r="C6698" t="str">
        <f>"9780415596930"</f>
        <v>9780415596930</v>
      </c>
      <c r="D6698" t="str">
        <f>"9780203829455"</f>
        <v>9780203829455</v>
      </c>
      <c r="E6698" t="s">
        <v>15</v>
      </c>
      <c r="F6698" t="s">
        <v>16</v>
      </c>
      <c r="G6698" s="1">
        <v>40717</v>
      </c>
      <c r="H6698" s="1">
        <v>41057</v>
      </c>
      <c r="I6698" t="s">
        <v>12</v>
      </c>
      <c r="J6698" t="s">
        <v>17468</v>
      </c>
    </row>
    <row r="6699" spans="1:10" x14ac:dyDescent="0.25">
      <c r="A6699">
        <v>695784</v>
      </c>
      <c r="B6699" t="s">
        <v>7046</v>
      </c>
      <c r="C6699" t="str">
        <f>"9781405113854"</f>
        <v>9781405113854</v>
      </c>
      <c r="D6699" t="str">
        <f>"9781405172851"</f>
        <v>9781405172851</v>
      </c>
      <c r="E6699" t="s">
        <v>1088</v>
      </c>
      <c r="F6699" t="s">
        <v>1089</v>
      </c>
      <c r="G6699" s="1">
        <v>39090</v>
      </c>
      <c r="H6699" s="1">
        <v>40986</v>
      </c>
      <c r="I6699" t="s">
        <v>12</v>
      </c>
      <c r="J6699" t="s">
        <v>17469</v>
      </c>
    </row>
    <row r="6700" spans="1:10" x14ac:dyDescent="0.25">
      <c r="A6700">
        <v>700725</v>
      </c>
      <c r="B6700" t="s">
        <v>7047</v>
      </c>
      <c r="C6700" t="str">
        <f>"9781905209071"</f>
        <v>9781905209071</v>
      </c>
      <c r="D6700" t="str">
        <f>"9780470394465"</f>
        <v>9780470394465</v>
      </c>
      <c r="E6700" t="s">
        <v>1088</v>
      </c>
      <c r="F6700" t="s">
        <v>7048</v>
      </c>
      <c r="G6700" s="1">
        <v>38765</v>
      </c>
      <c r="H6700" s="1">
        <v>41770</v>
      </c>
      <c r="I6700" t="s">
        <v>12</v>
      </c>
      <c r="J6700" t="s">
        <v>17470</v>
      </c>
    </row>
    <row r="6701" spans="1:10" x14ac:dyDescent="0.25">
      <c r="A6701">
        <v>700731</v>
      </c>
      <c r="B6701" t="s">
        <v>7049</v>
      </c>
      <c r="C6701" t="str">
        <f>"9781905209132"</f>
        <v>9781905209132</v>
      </c>
      <c r="D6701" t="str">
        <f>"9780470394526"</f>
        <v>9780470394526</v>
      </c>
      <c r="E6701" t="s">
        <v>1088</v>
      </c>
      <c r="F6701" t="s">
        <v>7048</v>
      </c>
      <c r="G6701" s="1">
        <v>40183</v>
      </c>
      <c r="H6701" s="1">
        <v>40898</v>
      </c>
      <c r="I6701" t="s">
        <v>12</v>
      </c>
      <c r="J6701" t="s">
        <v>17471</v>
      </c>
    </row>
    <row r="6702" spans="1:10" x14ac:dyDescent="0.25">
      <c r="A6702">
        <v>700733</v>
      </c>
      <c r="B6702" t="s">
        <v>7050</v>
      </c>
      <c r="C6702" t="str">
        <f>"9781905209231"</f>
        <v>9781905209231</v>
      </c>
      <c r="D6702" t="str">
        <f>"9780470394540"</f>
        <v>9780470394540</v>
      </c>
      <c r="E6702" t="s">
        <v>1088</v>
      </c>
      <c r="F6702" t="s">
        <v>7048</v>
      </c>
      <c r="G6702" s="1">
        <v>40183</v>
      </c>
      <c r="H6702" s="1">
        <v>40898</v>
      </c>
      <c r="I6702" t="s">
        <v>12</v>
      </c>
      <c r="J6702" t="s">
        <v>17472</v>
      </c>
    </row>
    <row r="6703" spans="1:10" x14ac:dyDescent="0.25">
      <c r="A6703">
        <v>700745</v>
      </c>
      <c r="B6703" t="s">
        <v>7051</v>
      </c>
      <c r="C6703" t="str">
        <f>"9781905209354"</f>
        <v>9781905209354</v>
      </c>
      <c r="D6703" t="str">
        <f>"9780470394663"</f>
        <v>9780470394663</v>
      </c>
      <c r="E6703" t="s">
        <v>1088</v>
      </c>
      <c r="F6703" t="s">
        <v>7048</v>
      </c>
      <c r="G6703" s="1">
        <v>39118</v>
      </c>
      <c r="H6703" s="1">
        <v>40898</v>
      </c>
      <c r="I6703" t="s">
        <v>12</v>
      </c>
      <c r="J6703" t="s">
        <v>17473</v>
      </c>
    </row>
    <row r="6704" spans="1:10" x14ac:dyDescent="0.25">
      <c r="A6704">
        <v>700748</v>
      </c>
      <c r="B6704" t="s">
        <v>7052</v>
      </c>
      <c r="C6704" t="str">
        <f>"9781905209453"</f>
        <v>9781905209453</v>
      </c>
      <c r="D6704" t="str">
        <f>"9780470394694"</f>
        <v>9780470394694</v>
      </c>
      <c r="E6704" t="s">
        <v>1088</v>
      </c>
      <c r="F6704" t="s">
        <v>7048</v>
      </c>
      <c r="G6704" s="1">
        <v>39021</v>
      </c>
      <c r="H6704" s="1">
        <v>40898</v>
      </c>
      <c r="I6704" t="s">
        <v>12</v>
      </c>
      <c r="J6704" t="s">
        <v>17474</v>
      </c>
    </row>
    <row r="6705" spans="1:10" x14ac:dyDescent="0.25">
      <c r="A6705">
        <v>700758</v>
      </c>
      <c r="B6705" t="s">
        <v>7053</v>
      </c>
      <c r="C6705" t="str">
        <f>"9781905209583"</f>
        <v>9781905209583</v>
      </c>
      <c r="D6705" t="str">
        <f>"9780470394823"</f>
        <v>9780470394823</v>
      </c>
      <c r="E6705" t="s">
        <v>1088</v>
      </c>
      <c r="F6705" t="s">
        <v>7048</v>
      </c>
      <c r="G6705" s="1">
        <v>38775</v>
      </c>
      <c r="H6705" s="1">
        <v>40898</v>
      </c>
      <c r="I6705" t="s">
        <v>12</v>
      </c>
      <c r="J6705" t="s">
        <v>17475</v>
      </c>
    </row>
    <row r="6706" spans="1:10" x14ac:dyDescent="0.25">
      <c r="A6706">
        <v>700762</v>
      </c>
      <c r="B6706" t="s">
        <v>7054</v>
      </c>
      <c r="C6706" t="str">
        <f>"9781905209637"</f>
        <v>9781905209637</v>
      </c>
      <c r="D6706" t="str">
        <f>"9780470394861"</f>
        <v>9780470394861</v>
      </c>
      <c r="E6706" t="s">
        <v>1088</v>
      </c>
      <c r="F6706" t="s">
        <v>7048</v>
      </c>
      <c r="G6706" s="1">
        <v>39160</v>
      </c>
      <c r="H6706" s="1">
        <v>41770</v>
      </c>
      <c r="I6706" t="s">
        <v>12</v>
      </c>
      <c r="J6706" t="s">
        <v>17476</v>
      </c>
    </row>
    <row r="6707" spans="1:10" x14ac:dyDescent="0.25">
      <c r="A6707">
        <v>706931</v>
      </c>
      <c r="B6707" t="s">
        <v>7055</v>
      </c>
      <c r="C6707" t="str">
        <f>"9780470949429"</f>
        <v>9780470949429</v>
      </c>
      <c r="D6707" t="str">
        <f>"9781118086537"</f>
        <v>9781118086537</v>
      </c>
      <c r="E6707" t="s">
        <v>1088</v>
      </c>
      <c r="F6707" t="s">
        <v>4889</v>
      </c>
      <c r="G6707" s="1">
        <v>40666</v>
      </c>
      <c r="H6707" s="1">
        <v>41052</v>
      </c>
      <c r="I6707" t="s">
        <v>12</v>
      </c>
      <c r="J6707" t="s">
        <v>17477</v>
      </c>
    </row>
    <row r="6708" spans="1:10" x14ac:dyDescent="0.25">
      <c r="A6708">
        <v>709032</v>
      </c>
      <c r="B6708" t="s">
        <v>7056</v>
      </c>
      <c r="C6708" t="str">
        <f>"9780813343976"</f>
        <v>9780813343976</v>
      </c>
      <c r="D6708" t="str">
        <f>"9780786744244"</f>
        <v>9780786744244</v>
      </c>
      <c r="E6708" t="s">
        <v>6926</v>
      </c>
      <c r="F6708" t="s">
        <v>6926</v>
      </c>
      <c r="G6708" s="1">
        <v>40148</v>
      </c>
      <c r="H6708" s="1">
        <v>40682</v>
      </c>
      <c r="I6708" t="s">
        <v>12</v>
      </c>
      <c r="J6708" t="s">
        <v>17478</v>
      </c>
    </row>
    <row r="6709" spans="1:10" x14ac:dyDescent="0.25">
      <c r="A6709">
        <v>709527</v>
      </c>
      <c r="B6709" t="s">
        <v>7057</v>
      </c>
      <c r="C6709" t="str">
        <f>"9781855757882"</f>
        <v>9781855757882</v>
      </c>
      <c r="D6709" t="str">
        <f>"9781849408936"</f>
        <v>9781849408936</v>
      </c>
      <c r="E6709" t="s">
        <v>15</v>
      </c>
      <c r="F6709" t="s">
        <v>16</v>
      </c>
      <c r="G6709" s="1">
        <v>40667</v>
      </c>
      <c r="H6709" s="1">
        <v>40685</v>
      </c>
      <c r="I6709" t="s">
        <v>12</v>
      </c>
      <c r="J6709" t="s">
        <v>17479</v>
      </c>
    </row>
    <row r="6710" spans="1:10" x14ac:dyDescent="0.25">
      <c r="A6710">
        <v>709528</v>
      </c>
      <c r="B6710" t="s">
        <v>7058</v>
      </c>
      <c r="C6710" t="str">
        <f>"9781855758094"</f>
        <v>9781855758094</v>
      </c>
      <c r="D6710" t="str">
        <f>"9781849408943"</f>
        <v>9781849408943</v>
      </c>
      <c r="E6710" t="s">
        <v>15</v>
      </c>
      <c r="F6710" t="s">
        <v>16</v>
      </c>
      <c r="G6710" s="1">
        <v>40908</v>
      </c>
      <c r="H6710" s="1">
        <v>40685</v>
      </c>
      <c r="I6710" t="s">
        <v>12</v>
      </c>
      <c r="J6710" t="s">
        <v>17480</v>
      </c>
    </row>
    <row r="6711" spans="1:10" x14ac:dyDescent="0.25">
      <c r="A6711">
        <v>709598</v>
      </c>
      <c r="B6711" t="s">
        <v>7059</v>
      </c>
      <c r="C6711" t="str">
        <f>"9781855758414"</f>
        <v>9781855758414</v>
      </c>
      <c r="D6711" t="str">
        <f>"9781849408974"</f>
        <v>9781849408974</v>
      </c>
      <c r="E6711" t="s">
        <v>15</v>
      </c>
      <c r="F6711" t="s">
        <v>16</v>
      </c>
      <c r="G6711" s="1">
        <v>40908</v>
      </c>
      <c r="H6711" s="1">
        <v>40685</v>
      </c>
      <c r="I6711" t="s">
        <v>12</v>
      </c>
      <c r="J6711" t="s">
        <v>17481</v>
      </c>
    </row>
    <row r="6712" spans="1:10" x14ac:dyDescent="0.25">
      <c r="A6712">
        <v>711042</v>
      </c>
      <c r="B6712" t="s">
        <v>7060</v>
      </c>
      <c r="C6712" t="str">
        <f>"9781846841637"</f>
        <v>9781846841637</v>
      </c>
      <c r="D6712" t="str">
        <f>"9781441182364"</f>
        <v>9781441182364</v>
      </c>
      <c r="E6712" t="s">
        <v>4180</v>
      </c>
      <c r="F6712" t="s">
        <v>4180</v>
      </c>
      <c r="G6712" s="1">
        <v>39469</v>
      </c>
      <c r="H6712" s="1">
        <v>42326</v>
      </c>
      <c r="I6712" t="s">
        <v>12</v>
      </c>
      <c r="J6712" t="s">
        <v>17482</v>
      </c>
    </row>
    <row r="6713" spans="1:10" x14ac:dyDescent="0.25">
      <c r="A6713">
        <v>711098</v>
      </c>
      <c r="B6713" t="s">
        <v>7061</v>
      </c>
      <c r="C6713" t="str">
        <f>"9781408192085"</f>
        <v>9781408192085</v>
      </c>
      <c r="D6713" t="str">
        <f>"9781441168863"</f>
        <v>9781441168863</v>
      </c>
      <c r="E6713" t="s">
        <v>4180</v>
      </c>
      <c r="F6713" t="s">
        <v>4180</v>
      </c>
      <c r="G6713" s="1">
        <v>40689</v>
      </c>
      <c r="H6713" s="1">
        <v>42119</v>
      </c>
      <c r="I6713" t="s">
        <v>12</v>
      </c>
      <c r="J6713" t="s">
        <v>17483</v>
      </c>
    </row>
    <row r="6714" spans="1:10" x14ac:dyDescent="0.25">
      <c r="A6714">
        <v>711406</v>
      </c>
      <c r="B6714" t="s">
        <v>7062</v>
      </c>
      <c r="C6714" t="str">
        <f>"9789027202864"</f>
        <v>9789027202864</v>
      </c>
      <c r="D6714" t="str">
        <f>"9789027287045"</f>
        <v>9789027287045</v>
      </c>
      <c r="E6714" t="s">
        <v>6670</v>
      </c>
      <c r="F6714" t="s">
        <v>6670</v>
      </c>
      <c r="G6714" s="1">
        <v>40709</v>
      </c>
      <c r="H6714" s="1">
        <v>40708</v>
      </c>
      <c r="I6714" t="s">
        <v>12</v>
      </c>
      <c r="J6714" t="s">
        <v>17484</v>
      </c>
    </row>
    <row r="6715" spans="1:10" x14ac:dyDescent="0.25">
      <c r="A6715">
        <v>711407</v>
      </c>
      <c r="B6715" t="s">
        <v>7063</v>
      </c>
      <c r="C6715" t="str">
        <f>"9789027215741"</f>
        <v>9789027215741</v>
      </c>
      <c r="D6715" t="str">
        <f>"9789027286871"</f>
        <v>9789027286871</v>
      </c>
      <c r="E6715" t="s">
        <v>6670</v>
      </c>
      <c r="F6715" t="s">
        <v>6670</v>
      </c>
      <c r="G6715" s="1">
        <v>40703</v>
      </c>
      <c r="H6715" s="1">
        <v>40708</v>
      </c>
      <c r="I6715" t="s">
        <v>12</v>
      </c>
      <c r="J6715" t="s">
        <v>17485</v>
      </c>
    </row>
    <row r="6716" spans="1:10" x14ac:dyDescent="0.25">
      <c r="A6716">
        <v>712839</v>
      </c>
      <c r="B6716" t="s">
        <v>7064</v>
      </c>
      <c r="C6716" t="str">
        <f>"9781847355591"</f>
        <v>9781847355591</v>
      </c>
      <c r="D6716" t="str">
        <f>"9781847355614"</f>
        <v>9781847355614</v>
      </c>
      <c r="E6716" t="s">
        <v>6203</v>
      </c>
      <c r="F6716" t="s">
        <v>6203</v>
      </c>
      <c r="G6716" s="1">
        <v>40625</v>
      </c>
      <c r="H6716" s="1">
        <v>40694</v>
      </c>
      <c r="I6716" t="s">
        <v>12</v>
      </c>
      <c r="J6716" t="s">
        <v>17486</v>
      </c>
    </row>
    <row r="6717" spans="1:10" x14ac:dyDescent="0.25">
      <c r="A6717">
        <v>713101</v>
      </c>
      <c r="B6717" t="s">
        <v>7065</v>
      </c>
      <c r="C6717" t="str">
        <f>"9789042033412"</f>
        <v>9789042033412</v>
      </c>
      <c r="D6717" t="str">
        <f>"9789401200400"</f>
        <v>9789401200400</v>
      </c>
      <c r="E6717" t="s">
        <v>1447</v>
      </c>
      <c r="F6717" t="s">
        <v>6409</v>
      </c>
      <c r="G6717" s="1">
        <v>40544</v>
      </c>
      <c r="H6717" s="1">
        <v>40696</v>
      </c>
      <c r="I6717" t="s">
        <v>12</v>
      </c>
      <c r="J6717" t="s">
        <v>17487</v>
      </c>
    </row>
    <row r="6718" spans="1:10" x14ac:dyDescent="0.25">
      <c r="A6718">
        <v>713108</v>
      </c>
      <c r="B6718" t="s">
        <v>7066</v>
      </c>
      <c r="C6718" t="str">
        <f>"9789042033436"</f>
        <v>9789042033436</v>
      </c>
      <c r="D6718" t="str">
        <f>"9789401200431"</f>
        <v>9789401200431</v>
      </c>
      <c r="E6718" t="s">
        <v>1447</v>
      </c>
      <c r="F6718" t="s">
        <v>6409</v>
      </c>
      <c r="G6718" s="1">
        <v>40544</v>
      </c>
      <c r="H6718" s="1">
        <v>40696</v>
      </c>
      <c r="I6718" t="s">
        <v>12</v>
      </c>
      <c r="J6718" t="s">
        <v>17488</v>
      </c>
    </row>
    <row r="6719" spans="1:10" x14ac:dyDescent="0.25">
      <c r="A6719">
        <v>713125</v>
      </c>
      <c r="B6719" t="s">
        <v>7067</v>
      </c>
      <c r="C6719" t="str">
        <f>"9781845645687"</f>
        <v>9781845645687</v>
      </c>
      <c r="D6719" t="str">
        <f>"9781845645694"</f>
        <v>9781845645694</v>
      </c>
      <c r="E6719" t="s">
        <v>6474</v>
      </c>
      <c r="F6719" t="s">
        <v>6474</v>
      </c>
      <c r="G6719" s="1">
        <v>40664</v>
      </c>
      <c r="H6719" s="1">
        <v>40696</v>
      </c>
      <c r="I6719" t="s">
        <v>12</v>
      </c>
      <c r="J6719" t="s">
        <v>17489</v>
      </c>
    </row>
    <row r="6720" spans="1:10" x14ac:dyDescent="0.25">
      <c r="A6720">
        <v>713714</v>
      </c>
      <c r="B6720" t="s">
        <v>7068</v>
      </c>
      <c r="C6720" t="str">
        <f>"9780804771412"</f>
        <v>9780804771412</v>
      </c>
      <c r="D6720" t="str">
        <f>"9780804777568"</f>
        <v>9780804777568</v>
      </c>
      <c r="E6720" t="s">
        <v>6225</v>
      </c>
      <c r="F6720" t="s">
        <v>7069</v>
      </c>
      <c r="G6720" s="1">
        <v>40575</v>
      </c>
      <c r="H6720" s="1">
        <v>40697</v>
      </c>
      <c r="I6720" t="s">
        <v>12</v>
      </c>
      <c r="J6720" t="s">
        <v>17490</v>
      </c>
    </row>
    <row r="6721" spans="1:10" x14ac:dyDescent="0.25">
      <c r="A6721">
        <v>713732</v>
      </c>
      <c r="B6721" t="s">
        <v>7070</v>
      </c>
      <c r="C6721" t="str">
        <f>"9781439900376"</f>
        <v>9781439900376</v>
      </c>
      <c r="D6721" t="str">
        <f>"9781439900390"</f>
        <v>9781439900390</v>
      </c>
      <c r="E6721" t="s">
        <v>3604</v>
      </c>
      <c r="F6721" t="s">
        <v>3604</v>
      </c>
      <c r="G6721" s="1">
        <v>40571</v>
      </c>
      <c r="H6721" s="1">
        <v>40822</v>
      </c>
      <c r="I6721" t="s">
        <v>12</v>
      </c>
      <c r="J6721" t="s">
        <v>17491</v>
      </c>
    </row>
    <row r="6722" spans="1:10" x14ac:dyDescent="0.25">
      <c r="A6722">
        <v>714127</v>
      </c>
      <c r="B6722" t="s">
        <v>7071</v>
      </c>
      <c r="C6722" t="str">
        <f>"9781441100153"</f>
        <v>9781441100153</v>
      </c>
      <c r="D6722" t="str">
        <f>"9781441131393"</f>
        <v>9781441131393</v>
      </c>
      <c r="E6722" t="s">
        <v>4180</v>
      </c>
      <c r="F6722" t="s">
        <v>4180</v>
      </c>
      <c r="G6722" s="1">
        <v>40766</v>
      </c>
      <c r="H6722" s="1">
        <v>42326</v>
      </c>
      <c r="I6722" t="s">
        <v>12</v>
      </c>
      <c r="J6722" t="s">
        <v>17492</v>
      </c>
    </row>
    <row r="6723" spans="1:10" x14ac:dyDescent="0.25">
      <c r="A6723">
        <v>714130</v>
      </c>
      <c r="B6723" t="s">
        <v>7072</v>
      </c>
      <c r="C6723" t="str">
        <f>"9780567033420"</f>
        <v>9780567033420</v>
      </c>
      <c r="D6723" t="str">
        <f>"9780567510396"</f>
        <v>9780567510396</v>
      </c>
      <c r="E6723" t="s">
        <v>4180</v>
      </c>
      <c r="F6723" t="s">
        <v>6548</v>
      </c>
      <c r="G6723" s="1">
        <v>40773</v>
      </c>
      <c r="H6723" s="1">
        <v>41845</v>
      </c>
      <c r="I6723" t="s">
        <v>12</v>
      </c>
      <c r="J6723" t="s">
        <v>17493</v>
      </c>
    </row>
    <row r="6724" spans="1:10" x14ac:dyDescent="0.25">
      <c r="A6724">
        <v>714225</v>
      </c>
      <c r="B6724" t="s">
        <v>7073</v>
      </c>
      <c r="C6724" t="str">
        <f>"9789264097384"</f>
        <v>9789264097384</v>
      </c>
      <c r="D6724" t="str">
        <f>"9789264097803"</f>
        <v>9789264097803</v>
      </c>
      <c r="E6724" t="s">
        <v>1185</v>
      </c>
      <c r="F6724" t="s">
        <v>1186</v>
      </c>
      <c r="G6724" s="1">
        <v>40675</v>
      </c>
      <c r="H6724" s="1">
        <v>40701</v>
      </c>
      <c r="I6724" t="s">
        <v>12</v>
      </c>
      <c r="J6724" t="s">
        <v>17494</v>
      </c>
    </row>
    <row r="6725" spans="1:10" x14ac:dyDescent="0.25">
      <c r="A6725">
        <v>716154</v>
      </c>
      <c r="B6725" t="s">
        <v>7074</v>
      </c>
      <c r="C6725" t="str">
        <f>"9780567592484"</f>
        <v>9780567592484</v>
      </c>
      <c r="D6725" t="str">
        <f>"9781441138736"</f>
        <v>9781441138736</v>
      </c>
      <c r="E6725" t="s">
        <v>4180</v>
      </c>
      <c r="F6725" t="s">
        <v>4180</v>
      </c>
      <c r="G6725" s="1">
        <v>41347</v>
      </c>
      <c r="H6725" s="1">
        <v>41844</v>
      </c>
      <c r="I6725" t="s">
        <v>12</v>
      </c>
      <c r="J6725" t="s">
        <v>17495</v>
      </c>
    </row>
    <row r="6726" spans="1:10" x14ac:dyDescent="0.25">
      <c r="A6726">
        <v>716281</v>
      </c>
      <c r="B6726" t="s">
        <v>7075</v>
      </c>
      <c r="C6726" t="str">
        <f>"9781855757271"</f>
        <v>9781855757271</v>
      </c>
      <c r="D6726" t="str">
        <f>"9781849409001"</f>
        <v>9781849409001</v>
      </c>
      <c r="E6726" t="s">
        <v>15</v>
      </c>
      <c r="F6726" t="s">
        <v>16</v>
      </c>
      <c r="G6726" s="1">
        <v>40908</v>
      </c>
      <c r="H6726" s="1">
        <v>40704</v>
      </c>
      <c r="I6726" t="s">
        <v>12</v>
      </c>
      <c r="J6726" t="s">
        <v>17496</v>
      </c>
    </row>
    <row r="6727" spans="1:10" x14ac:dyDescent="0.25">
      <c r="A6727">
        <v>716285</v>
      </c>
      <c r="B6727" t="s">
        <v>7076</v>
      </c>
      <c r="C6727" t="str">
        <f>"9781855758766"</f>
        <v>9781855758766</v>
      </c>
      <c r="D6727" t="str">
        <f>"9781849409056"</f>
        <v>9781849409056</v>
      </c>
      <c r="E6727" t="s">
        <v>15</v>
      </c>
      <c r="F6727" t="s">
        <v>16</v>
      </c>
      <c r="G6727" s="1">
        <v>40908</v>
      </c>
      <c r="H6727" s="1">
        <v>40704</v>
      </c>
      <c r="I6727" t="s">
        <v>12</v>
      </c>
      <c r="J6727" t="s">
        <v>17497</v>
      </c>
    </row>
    <row r="6728" spans="1:10" x14ac:dyDescent="0.25">
      <c r="A6728">
        <v>716708</v>
      </c>
      <c r="B6728" t="s">
        <v>7077</v>
      </c>
      <c r="C6728" t="str">
        <f>"9780195100051"</f>
        <v>9780195100051</v>
      </c>
      <c r="D6728" t="str">
        <f>"9780195356625"</f>
        <v>9780195356625</v>
      </c>
      <c r="E6728" t="s">
        <v>1270</v>
      </c>
      <c r="F6728" t="s">
        <v>1270</v>
      </c>
      <c r="G6728" s="1">
        <v>35754</v>
      </c>
      <c r="H6728" s="1">
        <v>40990</v>
      </c>
      <c r="I6728" t="s">
        <v>12</v>
      </c>
      <c r="J6728" t="s">
        <v>17498</v>
      </c>
    </row>
    <row r="6729" spans="1:10" x14ac:dyDescent="0.25">
      <c r="A6729">
        <v>717673</v>
      </c>
      <c r="B6729" t="s">
        <v>7078</v>
      </c>
      <c r="C6729" t="str">
        <f>"9789027218896"</f>
        <v>9789027218896</v>
      </c>
      <c r="D6729" t="str">
        <f>"9789027286840"</f>
        <v>9789027286840</v>
      </c>
      <c r="E6729" t="s">
        <v>6670</v>
      </c>
      <c r="F6729" t="s">
        <v>6670</v>
      </c>
      <c r="G6729" s="1">
        <v>40709</v>
      </c>
      <c r="H6729" s="1">
        <v>40710</v>
      </c>
      <c r="I6729" t="s">
        <v>12</v>
      </c>
      <c r="J6729" t="s">
        <v>17499</v>
      </c>
    </row>
    <row r="6730" spans="1:10" x14ac:dyDescent="0.25">
      <c r="A6730">
        <v>717678</v>
      </c>
      <c r="B6730" t="s">
        <v>7079</v>
      </c>
      <c r="C6730" t="str">
        <f>"9789027206770"</f>
        <v>9789027206770</v>
      </c>
      <c r="D6730" t="str">
        <f>"9789027287243"</f>
        <v>9789027287243</v>
      </c>
      <c r="E6730" t="s">
        <v>6670</v>
      </c>
      <c r="F6730" t="s">
        <v>6670</v>
      </c>
      <c r="G6730" s="1">
        <v>40709</v>
      </c>
      <c r="H6730" s="1">
        <v>40710</v>
      </c>
      <c r="I6730" t="s">
        <v>12</v>
      </c>
      <c r="J6730" t="s">
        <v>17500</v>
      </c>
    </row>
    <row r="6731" spans="1:10" x14ac:dyDescent="0.25">
      <c r="A6731">
        <v>717989</v>
      </c>
      <c r="B6731" t="s">
        <v>7080</v>
      </c>
      <c r="C6731" t="str">
        <f>"9781847693167"</f>
        <v>9781847693167</v>
      </c>
      <c r="D6731" t="str">
        <f>"9781847693174"</f>
        <v>9781847693174</v>
      </c>
      <c r="E6731" t="s">
        <v>886</v>
      </c>
      <c r="F6731" t="s">
        <v>887</v>
      </c>
      <c r="G6731" s="1">
        <v>40471</v>
      </c>
      <c r="H6731" s="1">
        <v>40711</v>
      </c>
      <c r="I6731" t="s">
        <v>12</v>
      </c>
      <c r="J6731" t="s">
        <v>17501</v>
      </c>
    </row>
    <row r="6732" spans="1:10" x14ac:dyDescent="0.25">
      <c r="A6732">
        <v>717991</v>
      </c>
      <c r="B6732" t="s">
        <v>7081</v>
      </c>
      <c r="C6732" t="str">
        <f>"9781847692863"</f>
        <v>9781847692863</v>
      </c>
      <c r="D6732" t="str">
        <f>"9781847692870"</f>
        <v>9781847692870</v>
      </c>
      <c r="E6732" t="s">
        <v>886</v>
      </c>
      <c r="F6732" t="s">
        <v>887</v>
      </c>
      <c r="G6732" s="1">
        <v>40367</v>
      </c>
      <c r="H6732" s="1">
        <v>40711</v>
      </c>
      <c r="I6732" t="s">
        <v>12</v>
      </c>
      <c r="J6732" t="s">
        <v>17502</v>
      </c>
    </row>
    <row r="6733" spans="1:10" x14ac:dyDescent="0.25">
      <c r="A6733">
        <v>717994</v>
      </c>
      <c r="B6733" t="s">
        <v>7082</v>
      </c>
      <c r="C6733" t="str">
        <f>"9781845411671"</f>
        <v>9781845411671</v>
      </c>
      <c r="D6733" t="str">
        <f>"9781845411688"</f>
        <v>9781845411688</v>
      </c>
      <c r="E6733" t="s">
        <v>886</v>
      </c>
      <c r="F6733" t="s">
        <v>886</v>
      </c>
      <c r="G6733" s="1">
        <v>40568</v>
      </c>
      <c r="H6733" s="1">
        <v>40711</v>
      </c>
      <c r="I6733" t="s">
        <v>12</v>
      </c>
      <c r="J6733" t="s">
        <v>17503</v>
      </c>
    </row>
    <row r="6734" spans="1:10" x14ac:dyDescent="0.25">
      <c r="A6734">
        <v>717995</v>
      </c>
      <c r="B6734" t="s">
        <v>7083</v>
      </c>
      <c r="C6734" t="str">
        <f>"9781845411619"</f>
        <v>9781845411619</v>
      </c>
      <c r="D6734" t="str">
        <f>"9781845411626"</f>
        <v>9781845411626</v>
      </c>
      <c r="E6734" t="s">
        <v>886</v>
      </c>
      <c r="F6734" t="s">
        <v>886</v>
      </c>
      <c r="G6734" s="1">
        <v>40535</v>
      </c>
      <c r="H6734" s="1">
        <v>40711</v>
      </c>
      <c r="I6734" t="s">
        <v>12</v>
      </c>
      <c r="J6734" t="s">
        <v>17504</v>
      </c>
    </row>
    <row r="6735" spans="1:10" x14ac:dyDescent="0.25">
      <c r="A6735">
        <v>717996</v>
      </c>
      <c r="B6735" t="s">
        <v>7084</v>
      </c>
      <c r="C6735" t="str">
        <f>"9781847692948"</f>
        <v>9781847692948</v>
      </c>
      <c r="D6735" t="str">
        <f>"9781847692962"</f>
        <v>9781847692962</v>
      </c>
      <c r="E6735" t="s">
        <v>886</v>
      </c>
      <c r="F6735" t="s">
        <v>887</v>
      </c>
      <c r="G6735" s="1">
        <v>40357</v>
      </c>
      <c r="H6735" s="1">
        <v>40711</v>
      </c>
      <c r="I6735" t="s">
        <v>12</v>
      </c>
      <c r="J6735" t="s">
        <v>17505</v>
      </c>
    </row>
    <row r="6736" spans="1:10" x14ac:dyDescent="0.25">
      <c r="A6736">
        <v>718001</v>
      </c>
      <c r="B6736" t="s">
        <v>7085</v>
      </c>
      <c r="C6736" t="str">
        <f>"9781845411558"</f>
        <v>9781845411558</v>
      </c>
      <c r="D6736" t="str">
        <f>"9781845411565"</f>
        <v>9781845411565</v>
      </c>
      <c r="E6736" t="s">
        <v>886</v>
      </c>
      <c r="F6736" t="s">
        <v>886</v>
      </c>
      <c r="G6736" s="1">
        <v>40497</v>
      </c>
      <c r="H6736" s="1">
        <v>40711</v>
      </c>
      <c r="I6736" t="s">
        <v>12</v>
      </c>
      <c r="J6736" t="s">
        <v>17506</v>
      </c>
    </row>
    <row r="6737" spans="1:10" x14ac:dyDescent="0.25">
      <c r="A6737">
        <v>718013</v>
      </c>
      <c r="B6737" t="s">
        <v>7086</v>
      </c>
      <c r="C6737" t="str">
        <f>"9781845411589"</f>
        <v>9781845411589</v>
      </c>
      <c r="D6737" t="str">
        <f>"9781845411596"</f>
        <v>9781845411596</v>
      </c>
      <c r="E6737" t="s">
        <v>886</v>
      </c>
      <c r="F6737" t="s">
        <v>886</v>
      </c>
      <c r="G6737" s="1">
        <v>40492</v>
      </c>
      <c r="H6737" s="1">
        <v>40711</v>
      </c>
      <c r="I6737" t="s">
        <v>12</v>
      </c>
      <c r="J6737" t="s">
        <v>17507</v>
      </c>
    </row>
    <row r="6738" spans="1:10" x14ac:dyDescent="0.25">
      <c r="A6738">
        <v>718849</v>
      </c>
      <c r="B6738" t="s">
        <v>7087</v>
      </c>
      <c r="C6738" t="str">
        <f>"9781933864570"</f>
        <v>9781933864570</v>
      </c>
      <c r="D6738" t="str">
        <f>"9781935281405"</f>
        <v>9781935281405</v>
      </c>
      <c r="E6738" t="s">
        <v>5872</v>
      </c>
      <c r="F6738" t="s">
        <v>5675</v>
      </c>
      <c r="G6738" s="1">
        <v>40599</v>
      </c>
      <c r="H6738" s="1">
        <v>40714</v>
      </c>
      <c r="I6738" t="s">
        <v>12</v>
      </c>
      <c r="J6738" t="s">
        <v>17508</v>
      </c>
    </row>
    <row r="6739" spans="1:10" x14ac:dyDescent="0.25">
      <c r="A6739">
        <v>727132</v>
      </c>
      <c r="B6739" t="s">
        <v>7088</v>
      </c>
      <c r="C6739" t="str">
        <f>"9781780490090"</f>
        <v>9781780490090</v>
      </c>
      <c r="D6739" t="str">
        <f>"9781849409094"</f>
        <v>9781849409094</v>
      </c>
      <c r="E6739" t="s">
        <v>7028</v>
      </c>
      <c r="F6739" t="s">
        <v>7089</v>
      </c>
      <c r="G6739" s="1">
        <v>40710</v>
      </c>
      <c r="H6739" s="1">
        <v>40718</v>
      </c>
      <c r="I6739" t="s">
        <v>12</v>
      </c>
      <c r="J6739" t="s">
        <v>17509</v>
      </c>
    </row>
    <row r="6740" spans="1:10" x14ac:dyDescent="0.25">
      <c r="A6740">
        <v>728429</v>
      </c>
      <c r="B6740" t="s">
        <v>7090</v>
      </c>
      <c r="C6740" t="str">
        <f>"9781857883879"</f>
        <v>9781857883879</v>
      </c>
      <c r="D6740" t="str">
        <f>"9781857884913"</f>
        <v>9781857884913</v>
      </c>
      <c r="E6740" t="s">
        <v>7091</v>
      </c>
      <c r="F6740" t="s">
        <v>7091</v>
      </c>
      <c r="G6740" s="1">
        <v>41773</v>
      </c>
      <c r="H6740" s="1">
        <v>40723</v>
      </c>
      <c r="I6740" t="s">
        <v>12</v>
      </c>
      <c r="J6740" t="s">
        <v>17510</v>
      </c>
    </row>
    <row r="6741" spans="1:10" x14ac:dyDescent="0.25">
      <c r="A6741">
        <v>729384</v>
      </c>
      <c r="B6741" t="s">
        <v>7092</v>
      </c>
      <c r="C6741" t="str">
        <f>"9780762435463"</f>
        <v>9780762435463</v>
      </c>
      <c r="D6741" t="str">
        <f>"9780786745432"</f>
        <v>9780786745432</v>
      </c>
      <c r="E6741" t="s">
        <v>6205</v>
      </c>
      <c r="F6741" t="s">
        <v>6205</v>
      </c>
      <c r="G6741" s="1">
        <v>39896</v>
      </c>
      <c r="H6741" s="1">
        <v>40725</v>
      </c>
      <c r="I6741" t="s">
        <v>12</v>
      </c>
      <c r="J6741" t="s">
        <v>17511</v>
      </c>
    </row>
    <row r="6742" spans="1:10" x14ac:dyDescent="0.25">
      <c r="A6742">
        <v>729508</v>
      </c>
      <c r="B6742" t="s">
        <v>7093</v>
      </c>
      <c r="C6742" t="str">
        <f>"9780814416617"</f>
        <v>9780814416617</v>
      </c>
      <c r="D6742" t="str">
        <f>"9780814416624"</f>
        <v>9780814416624</v>
      </c>
      <c r="E6742" t="s">
        <v>1080</v>
      </c>
      <c r="F6742" t="s">
        <v>1080</v>
      </c>
      <c r="G6742" s="1">
        <v>40753</v>
      </c>
      <c r="H6742" s="1">
        <v>40752</v>
      </c>
      <c r="I6742" t="s">
        <v>12</v>
      </c>
      <c r="J6742" t="s">
        <v>17512</v>
      </c>
    </row>
    <row r="6743" spans="1:10" x14ac:dyDescent="0.25">
      <c r="A6743">
        <v>729512</v>
      </c>
      <c r="B6743" t="s">
        <v>7094</v>
      </c>
      <c r="C6743" t="str">
        <f>"9780814408834"</f>
        <v>9780814408834</v>
      </c>
      <c r="D6743" t="str">
        <f>"9780814429624"</f>
        <v>9780814429624</v>
      </c>
      <c r="E6743" t="s">
        <v>1080</v>
      </c>
      <c r="F6743" t="s">
        <v>1080</v>
      </c>
      <c r="G6743" s="1">
        <v>38915</v>
      </c>
      <c r="H6743" s="1">
        <v>40725</v>
      </c>
      <c r="I6743" t="s">
        <v>12</v>
      </c>
      <c r="J6743" t="s">
        <v>17513</v>
      </c>
    </row>
    <row r="6744" spans="1:10" x14ac:dyDescent="0.25">
      <c r="A6744">
        <v>729905</v>
      </c>
      <c r="B6744" t="s">
        <v>7095</v>
      </c>
      <c r="C6744" t="str">
        <f>"9789027252173"</f>
        <v>9789027252173</v>
      </c>
      <c r="D6744" t="str">
        <f>"9789027286796"</f>
        <v>9789027286796</v>
      </c>
      <c r="E6744" t="s">
        <v>6670</v>
      </c>
      <c r="F6744" t="s">
        <v>6670</v>
      </c>
      <c r="G6744" s="1">
        <v>40739</v>
      </c>
      <c r="H6744" s="1">
        <v>40738</v>
      </c>
      <c r="I6744" t="s">
        <v>12</v>
      </c>
      <c r="J6744" t="s">
        <v>17514</v>
      </c>
    </row>
    <row r="6745" spans="1:10" x14ac:dyDescent="0.25">
      <c r="A6745">
        <v>729907</v>
      </c>
      <c r="B6745" t="s">
        <v>7096</v>
      </c>
      <c r="C6745" t="str">
        <f>"9789027255624"</f>
        <v>9789027255624</v>
      </c>
      <c r="D6745" t="str">
        <f>"9789027286598"</f>
        <v>9789027286598</v>
      </c>
      <c r="E6745" t="s">
        <v>6670</v>
      </c>
      <c r="F6745" t="s">
        <v>6670</v>
      </c>
      <c r="G6745" s="1">
        <v>40739</v>
      </c>
      <c r="H6745" s="1">
        <v>40738</v>
      </c>
      <c r="I6745" t="s">
        <v>12</v>
      </c>
      <c r="J6745" t="s">
        <v>17515</v>
      </c>
    </row>
    <row r="6746" spans="1:10" x14ac:dyDescent="0.25">
      <c r="A6746">
        <v>729994</v>
      </c>
      <c r="B6746" t="s">
        <v>7097</v>
      </c>
      <c r="C6746" t="str">
        <f>"9780567250285"</f>
        <v>9780567250285</v>
      </c>
      <c r="D6746" t="str">
        <f>"9781441189004"</f>
        <v>9781441189004</v>
      </c>
      <c r="E6746" t="s">
        <v>4180</v>
      </c>
      <c r="F6746" t="s">
        <v>4180</v>
      </c>
      <c r="G6746" s="1">
        <v>41459</v>
      </c>
      <c r="H6746" s="1">
        <v>42326</v>
      </c>
      <c r="I6746" t="s">
        <v>12</v>
      </c>
      <c r="J6746" t="s">
        <v>17516</v>
      </c>
    </row>
    <row r="6747" spans="1:10" x14ac:dyDescent="0.25">
      <c r="A6747">
        <v>729996</v>
      </c>
      <c r="B6747" t="s">
        <v>7098</v>
      </c>
      <c r="C6747" t="str">
        <f>"9781623563189"</f>
        <v>9781623563189</v>
      </c>
      <c r="D6747" t="str">
        <f>"9781441189196"</f>
        <v>9781441189196</v>
      </c>
      <c r="E6747" t="s">
        <v>4180</v>
      </c>
      <c r="F6747" t="s">
        <v>4180</v>
      </c>
      <c r="G6747" s="1">
        <v>41519</v>
      </c>
      <c r="H6747" s="1">
        <v>42326</v>
      </c>
      <c r="I6747" t="s">
        <v>12</v>
      </c>
      <c r="J6747" t="s">
        <v>17517</v>
      </c>
    </row>
    <row r="6748" spans="1:10" x14ac:dyDescent="0.25">
      <c r="A6748">
        <v>730143</v>
      </c>
      <c r="B6748" t="s">
        <v>7099</v>
      </c>
      <c r="C6748" t="str">
        <f>"9780816656288"</f>
        <v>9780816656288</v>
      </c>
      <c r="D6748" t="str">
        <f>"9780816676699"</f>
        <v>9780816676699</v>
      </c>
      <c r="E6748" t="s">
        <v>3970</v>
      </c>
      <c r="F6748" t="s">
        <v>3970</v>
      </c>
      <c r="G6748" s="1">
        <v>40641</v>
      </c>
      <c r="H6748" s="1">
        <v>40725</v>
      </c>
      <c r="I6748" t="s">
        <v>12</v>
      </c>
      <c r="J6748" t="s">
        <v>17518</v>
      </c>
    </row>
    <row r="6749" spans="1:10" x14ac:dyDescent="0.25">
      <c r="A6749">
        <v>730145</v>
      </c>
      <c r="B6749" t="s">
        <v>7100</v>
      </c>
      <c r="C6749" t="str">
        <f>"9780816667383"</f>
        <v>9780816667383</v>
      </c>
      <c r="D6749" t="str">
        <f>"9780816676767"</f>
        <v>9780816676767</v>
      </c>
      <c r="E6749" t="s">
        <v>3970</v>
      </c>
      <c r="F6749" t="s">
        <v>4676</v>
      </c>
      <c r="G6749" s="1">
        <v>40683</v>
      </c>
      <c r="H6749" s="1">
        <v>40725</v>
      </c>
      <c r="I6749" t="s">
        <v>12</v>
      </c>
      <c r="J6749" t="s">
        <v>17519</v>
      </c>
    </row>
    <row r="6750" spans="1:10" x14ac:dyDescent="0.25">
      <c r="A6750">
        <v>730146</v>
      </c>
      <c r="B6750" t="s">
        <v>7101</v>
      </c>
      <c r="C6750" t="str">
        <f>"9780816669752"</f>
        <v>9780816669752</v>
      </c>
      <c r="D6750" t="str">
        <f>"9780816676774"</f>
        <v>9780816676774</v>
      </c>
      <c r="E6750" t="s">
        <v>3970</v>
      </c>
      <c r="F6750" t="s">
        <v>3970</v>
      </c>
      <c r="G6750" s="1">
        <v>40656</v>
      </c>
      <c r="H6750" s="1">
        <v>40725</v>
      </c>
      <c r="I6750" t="s">
        <v>12</v>
      </c>
      <c r="J6750" t="s">
        <v>17520</v>
      </c>
    </row>
    <row r="6751" spans="1:10" x14ac:dyDescent="0.25">
      <c r="A6751">
        <v>730190</v>
      </c>
      <c r="B6751" t="s">
        <v>7102</v>
      </c>
      <c r="C6751" t="str">
        <f>"9780804775410"</f>
        <v>9780804775410</v>
      </c>
      <c r="D6751" t="str">
        <f>"9780804777803"</f>
        <v>9780804777803</v>
      </c>
      <c r="E6751" t="s">
        <v>6225</v>
      </c>
      <c r="F6751" t="s">
        <v>6225</v>
      </c>
      <c r="G6751" s="1">
        <v>40667</v>
      </c>
      <c r="H6751" s="1">
        <v>40748</v>
      </c>
      <c r="I6751" t="s">
        <v>12</v>
      </c>
      <c r="J6751" t="s">
        <v>17521</v>
      </c>
    </row>
    <row r="6752" spans="1:10" x14ac:dyDescent="0.25">
      <c r="A6752">
        <v>730708</v>
      </c>
      <c r="B6752" t="s">
        <v>7103</v>
      </c>
      <c r="C6752" t="str">
        <f>"9789027256157"</f>
        <v>9789027256157</v>
      </c>
      <c r="D6752" t="str">
        <f>"9789027285157"</f>
        <v>9789027285157</v>
      </c>
      <c r="E6752" t="s">
        <v>6670</v>
      </c>
      <c r="F6752" t="s">
        <v>6670</v>
      </c>
      <c r="G6752" s="1">
        <v>40739</v>
      </c>
      <c r="H6752" s="1">
        <v>40738</v>
      </c>
      <c r="I6752" t="s">
        <v>12</v>
      </c>
      <c r="J6752" t="s">
        <v>17522</v>
      </c>
    </row>
    <row r="6753" spans="1:10" x14ac:dyDescent="0.25">
      <c r="A6753">
        <v>730713</v>
      </c>
      <c r="B6753" t="s">
        <v>7104</v>
      </c>
      <c r="C6753" t="str">
        <f>"9789027208231"</f>
        <v>9789027208231</v>
      </c>
      <c r="D6753" t="str">
        <f>"9789027286949"</f>
        <v>9789027286949</v>
      </c>
      <c r="E6753" t="s">
        <v>6670</v>
      </c>
      <c r="F6753" t="s">
        <v>6670</v>
      </c>
      <c r="G6753" s="1">
        <v>40752</v>
      </c>
      <c r="H6753" s="1">
        <v>40738</v>
      </c>
      <c r="I6753" t="s">
        <v>12</v>
      </c>
      <c r="J6753" t="s">
        <v>17523</v>
      </c>
    </row>
    <row r="6754" spans="1:10" x14ac:dyDescent="0.25">
      <c r="A6754">
        <v>731090</v>
      </c>
      <c r="B6754" t="s">
        <v>7105</v>
      </c>
      <c r="C6754" t="str">
        <f>"9789814313261"</f>
        <v>9789814313261</v>
      </c>
      <c r="D6754" t="str">
        <f>"9789814313278"</f>
        <v>9789814313278</v>
      </c>
      <c r="E6754" t="s">
        <v>1042</v>
      </c>
      <c r="F6754" t="s">
        <v>1043</v>
      </c>
      <c r="G6754" s="1">
        <v>40333</v>
      </c>
      <c r="H6754" s="1">
        <v>40736</v>
      </c>
      <c r="I6754" t="s">
        <v>12</v>
      </c>
      <c r="J6754" t="s">
        <v>17524</v>
      </c>
    </row>
    <row r="6755" spans="1:10" x14ac:dyDescent="0.25">
      <c r="A6755">
        <v>731644</v>
      </c>
      <c r="B6755" t="s">
        <v>7106</v>
      </c>
      <c r="C6755" t="str">
        <f>"9789027223838"</f>
        <v>9789027223838</v>
      </c>
      <c r="D6755" t="str">
        <f>"9789027285218"</f>
        <v>9789027285218</v>
      </c>
      <c r="E6755" t="s">
        <v>6670</v>
      </c>
      <c r="F6755" t="s">
        <v>6670</v>
      </c>
      <c r="G6755" s="1">
        <v>40739</v>
      </c>
      <c r="H6755" s="1">
        <v>40738</v>
      </c>
      <c r="I6755" t="s">
        <v>12</v>
      </c>
      <c r="J6755" t="s">
        <v>17525</v>
      </c>
    </row>
    <row r="6756" spans="1:10" x14ac:dyDescent="0.25">
      <c r="A6756">
        <v>735400</v>
      </c>
      <c r="B6756" t="s">
        <v>7107</v>
      </c>
      <c r="C6756" t="str">
        <f>"9781847354365"</f>
        <v>9781847354365</v>
      </c>
      <c r="D6756" t="str">
        <f>"9781847354389"</f>
        <v>9781847354389</v>
      </c>
      <c r="E6756" t="s">
        <v>6203</v>
      </c>
      <c r="F6756" t="s">
        <v>6203</v>
      </c>
      <c r="G6756" s="1">
        <v>40724</v>
      </c>
      <c r="H6756" s="1">
        <v>40749</v>
      </c>
      <c r="I6756" t="s">
        <v>12</v>
      </c>
      <c r="J6756" t="s">
        <v>17526</v>
      </c>
    </row>
    <row r="6757" spans="1:10" x14ac:dyDescent="0.25">
      <c r="A6757">
        <v>735407</v>
      </c>
      <c r="B6757" t="s">
        <v>7108</v>
      </c>
      <c r="C6757" t="str">
        <f>"9780804774055"</f>
        <v>9780804774055</v>
      </c>
      <c r="D6757" t="str">
        <f>"9780804777643"</f>
        <v>9780804777643</v>
      </c>
      <c r="E6757" t="s">
        <v>6225</v>
      </c>
      <c r="F6757" t="s">
        <v>6225</v>
      </c>
      <c r="G6757" s="1">
        <v>40604</v>
      </c>
      <c r="H6757" s="1">
        <v>40749</v>
      </c>
      <c r="I6757" t="s">
        <v>12</v>
      </c>
      <c r="J6757" t="s">
        <v>17527</v>
      </c>
    </row>
    <row r="6758" spans="1:10" x14ac:dyDescent="0.25">
      <c r="A6758">
        <v>735588</v>
      </c>
      <c r="B6758" t="s">
        <v>7109</v>
      </c>
      <c r="C6758" t="str">
        <f>"9789042033566"</f>
        <v>9789042033566</v>
      </c>
      <c r="D6758" t="str">
        <f>"9789401200554"</f>
        <v>9789401200554</v>
      </c>
      <c r="E6758" t="s">
        <v>1447</v>
      </c>
      <c r="F6758" t="s">
        <v>6409</v>
      </c>
      <c r="G6758" s="1">
        <v>40544</v>
      </c>
      <c r="H6758" s="1">
        <v>40737</v>
      </c>
      <c r="I6758" t="s">
        <v>12</v>
      </c>
      <c r="J6758" t="s">
        <v>17528</v>
      </c>
    </row>
    <row r="6759" spans="1:10" x14ac:dyDescent="0.25">
      <c r="A6759">
        <v>735592</v>
      </c>
      <c r="B6759" t="s">
        <v>7110</v>
      </c>
      <c r="C6759" t="str">
        <f>"9789042033511"</f>
        <v>9789042033511</v>
      </c>
      <c r="D6759" t="str">
        <f>"9789401200509"</f>
        <v>9789401200509</v>
      </c>
      <c r="E6759" t="s">
        <v>1447</v>
      </c>
      <c r="F6759" t="s">
        <v>6409</v>
      </c>
      <c r="G6759" s="1">
        <v>40544</v>
      </c>
      <c r="H6759" s="1">
        <v>40737</v>
      </c>
      <c r="I6759" t="s">
        <v>12</v>
      </c>
      <c r="J6759" t="s">
        <v>17529</v>
      </c>
    </row>
    <row r="6760" spans="1:10" x14ac:dyDescent="0.25">
      <c r="A6760">
        <v>735666</v>
      </c>
      <c r="B6760" t="s">
        <v>7111</v>
      </c>
      <c r="C6760" t="str">
        <f>"9780765619921"</f>
        <v>9780765619921</v>
      </c>
      <c r="D6760" t="str">
        <f>"9780765629968"</f>
        <v>9780765629968</v>
      </c>
      <c r="E6760" t="s">
        <v>15</v>
      </c>
      <c r="F6760" t="s">
        <v>16</v>
      </c>
      <c r="G6760" s="1">
        <v>40709</v>
      </c>
      <c r="H6760" s="1">
        <v>40742</v>
      </c>
      <c r="I6760" t="s">
        <v>12</v>
      </c>
      <c r="J6760" t="s">
        <v>17530</v>
      </c>
    </row>
    <row r="6761" spans="1:10" x14ac:dyDescent="0.25">
      <c r="A6761">
        <v>736294</v>
      </c>
      <c r="B6761" t="s">
        <v>7112</v>
      </c>
      <c r="C6761" t="str">
        <f>"9780333778074"</f>
        <v>9780333778074</v>
      </c>
      <c r="D6761" t="str">
        <f>"9780230288720"</f>
        <v>9780230288720</v>
      </c>
      <c r="E6761" t="s">
        <v>875</v>
      </c>
      <c r="F6761" t="s">
        <v>876</v>
      </c>
      <c r="G6761" s="1">
        <v>37174</v>
      </c>
      <c r="H6761" s="1">
        <v>40737</v>
      </c>
      <c r="I6761" t="s">
        <v>12</v>
      </c>
      <c r="J6761" t="s">
        <v>17531</v>
      </c>
    </row>
    <row r="6762" spans="1:10" x14ac:dyDescent="0.25">
      <c r="A6762">
        <v>736803</v>
      </c>
      <c r="B6762" t="s">
        <v>7113</v>
      </c>
      <c r="C6762" t="str">
        <f>"9780333970072"</f>
        <v>9780333970072</v>
      </c>
      <c r="D6762" t="str">
        <f>"9781403913616"</f>
        <v>9781403913616</v>
      </c>
      <c r="E6762" t="s">
        <v>875</v>
      </c>
      <c r="F6762" t="s">
        <v>876</v>
      </c>
      <c r="G6762" s="1">
        <v>37242</v>
      </c>
      <c r="H6762" s="1">
        <v>40737</v>
      </c>
      <c r="I6762" t="s">
        <v>12</v>
      </c>
      <c r="J6762" t="s">
        <v>17532</v>
      </c>
    </row>
    <row r="6763" spans="1:10" x14ac:dyDescent="0.25">
      <c r="A6763">
        <v>737631</v>
      </c>
      <c r="B6763" t="s">
        <v>7114</v>
      </c>
      <c r="C6763" t="str">
        <f>"9789814299626"</f>
        <v>9789814299626</v>
      </c>
      <c r="D6763" t="str">
        <f>"9789814299633"</f>
        <v>9789814299633</v>
      </c>
      <c r="E6763" t="s">
        <v>1042</v>
      </c>
      <c r="F6763" t="s">
        <v>1043</v>
      </c>
      <c r="G6763" s="1">
        <v>40602</v>
      </c>
      <c r="H6763" s="1">
        <v>40743</v>
      </c>
      <c r="I6763" t="s">
        <v>12</v>
      </c>
      <c r="J6763" t="s">
        <v>17533</v>
      </c>
    </row>
    <row r="6764" spans="1:10" x14ac:dyDescent="0.25">
      <c r="A6764">
        <v>737845</v>
      </c>
      <c r="B6764" t="s">
        <v>7115</v>
      </c>
      <c r="C6764" t="str">
        <f>"9781780490137"</f>
        <v>9781780490137</v>
      </c>
      <c r="D6764" t="str">
        <f>"9781849409193"</f>
        <v>9781849409193</v>
      </c>
      <c r="E6764" t="s">
        <v>15</v>
      </c>
      <c r="F6764" t="s">
        <v>16</v>
      </c>
      <c r="G6764" s="1">
        <v>40908</v>
      </c>
      <c r="H6764" s="1">
        <v>40739</v>
      </c>
      <c r="I6764" t="s">
        <v>12</v>
      </c>
      <c r="J6764" t="s">
        <v>17534</v>
      </c>
    </row>
    <row r="6765" spans="1:10" x14ac:dyDescent="0.25">
      <c r="A6765">
        <v>738270</v>
      </c>
      <c r="B6765" t="s">
        <v>7116</v>
      </c>
      <c r="C6765" t="str">
        <f>"9781848855465"</f>
        <v>9781848855465</v>
      </c>
      <c r="D6765" t="str">
        <f>"9780857719515"</f>
        <v>9780857719515</v>
      </c>
      <c r="E6765" t="s">
        <v>6867</v>
      </c>
      <c r="F6765" t="s">
        <v>6867</v>
      </c>
      <c r="G6765" s="1">
        <v>40573</v>
      </c>
      <c r="H6765" s="1">
        <v>40745</v>
      </c>
      <c r="I6765" t="s">
        <v>12</v>
      </c>
      <c r="J6765" t="s">
        <v>17535</v>
      </c>
    </row>
    <row r="6766" spans="1:10" x14ac:dyDescent="0.25">
      <c r="A6766">
        <v>738303</v>
      </c>
      <c r="B6766" t="s">
        <v>7117</v>
      </c>
      <c r="C6766" t="str">
        <f>"9781848856103"</f>
        <v>9781848856103</v>
      </c>
      <c r="D6766" t="str">
        <f>"9780857718709"</f>
        <v>9780857718709</v>
      </c>
      <c r="E6766" t="s">
        <v>6867</v>
      </c>
      <c r="F6766" t="s">
        <v>6867</v>
      </c>
      <c r="G6766" s="1">
        <v>40594</v>
      </c>
      <c r="H6766" s="1">
        <v>42346</v>
      </c>
      <c r="I6766" t="s">
        <v>12</v>
      </c>
      <c r="J6766" t="s">
        <v>17536</v>
      </c>
    </row>
    <row r="6767" spans="1:10" x14ac:dyDescent="0.25">
      <c r="A6767">
        <v>738770</v>
      </c>
      <c r="B6767" t="s">
        <v>7118</v>
      </c>
      <c r="C6767" t="str">
        <f>"9781849664202"</f>
        <v>9781849664202</v>
      </c>
      <c r="D6767" t="str">
        <f>"9781849664271"</f>
        <v>9781849664271</v>
      </c>
      <c r="E6767" t="s">
        <v>1400</v>
      </c>
      <c r="F6767" t="s">
        <v>6461</v>
      </c>
      <c r="G6767" s="1">
        <v>40725</v>
      </c>
      <c r="H6767" s="1">
        <v>40787</v>
      </c>
      <c r="I6767" t="s">
        <v>12</v>
      </c>
      <c r="J6767" t="s">
        <v>17537</v>
      </c>
    </row>
    <row r="6768" spans="1:10" x14ac:dyDescent="0.25">
      <c r="A6768">
        <v>739006</v>
      </c>
      <c r="B6768" t="s">
        <v>7119</v>
      </c>
      <c r="C6768" t="str">
        <f>"9781931182317"</f>
        <v>9781931182317</v>
      </c>
      <c r="D6768" t="str">
        <f>"9781583475904"</f>
        <v>9781583475904</v>
      </c>
      <c r="E6768" t="s">
        <v>7120</v>
      </c>
      <c r="F6768" t="s">
        <v>7120</v>
      </c>
      <c r="G6768" s="1">
        <v>40695</v>
      </c>
      <c r="H6768" s="1">
        <v>40821</v>
      </c>
      <c r="I6768" t="s">
        <v>12</v>
      </c>
      <c r="J6768" t="s">
        <v>17538</v>
      </c>
    </row>
    <row r="6769" spans="1:10" x14ac:dyDescent="0.25">
      <c r="A6769">
        <v>740135</v>
      </c>
      <c r="B6769" t="s">
        <v>7121</v>
      </c>
      <c r="C6769" t="str">
        <f>"9780816673049"</f>
        <v>9780816673049</v>
      </c>
      <c r="D6769" t="str">
        <f>"9780816645732"</f>
        <v>9780816645732</v>
      </c>
      <c r="E6769" t="s">
        <v>3970</v>
      </c>
      <c r="F6769" t="s">
        <v>4676</v>
      </c>
      <c r="G6769" s="1">
        <v>40667</v>
      </c>
      <c r="H6769" s="1">
        <v>40746</v>
      </c>
      <c r="I6769" t="s">
        <v>12</v>
      </c>
      <c r="J6769" t="s">
        <v>17539</v>
      </c>
    </row>
    <row r="6770" spans="1:10" x14ac:dyDescent="0.25">
      <c r="A6770">
        <v>742189</v>
      </c>
      <c r="B6770" t="s">
        <v>7122</v>
      </c>
      <c r="C6770" t="str">
        <f>"9780804770910"</f>
        <v>9780804770910</v>
      </c>
      <c r="D6770" t="str">
        <f>"9780804777582"</f>
        <v>9780804777582</v>
      </c>
      <c r="E6770" t="s">
        <v>6225</v>
      </c>
      <c r="F6770" t="s">
        <v>6952</v>
      </c>
      <c r="G6770" s="1">
        <v>40624</v>
      </c>
      <c r="H6770" s="1">
        <v>40754</v>
      </c>
      <c r="I6770" t="s">
        <v>12</v>
      </c>
      <c r="J6770" t="s">
        <v>17540</v>
      </c>
    </row>
    <row r="6771" spans="1:10" x14ac:dyDescent="0.25">
      <c r="A6771">
        <v>742193</v>
      </c>
      <c r="B6771" t="s">
        <v>7123</v>
      </c>
      <c r="C6771" t="str">
        <f>"9780226116341"</f>
        <v>9780226116341</v>
      </c>
      <c r="D6771" t="str">
        <f>"9780226116426"</f>
        <v>9780226116426</v>
      </c>
      <c r="E6771" t="s">
        <v>5187</v>
      </c>
      <c r="F6771" t="s">
        <v>5187</v>
      </c>
      <c r="G6771" s="1">
        <v>40765</v>
      </c>
      <c r="H6771" s="1">
        <v>40764</v>
      </c>
      <c r="I6771" t="s">
        <v>12</v>
      </c>
      <c r="J6771" t="s">
        <v>17541</v>
      </c>
    </row>
    <row r="6772" spans="1:10" x14ac:dyDescent="0.25">
      <c r="A6772">
        <v>742399</v>
      </c>
      <c r="B6772" t="s">
        <v>7124</v>
      </c>
      <c r="C6772" t="str">
        <f>"9780567618702"</f>
        <v>9780567618702</v>
      </c>
      <c r="D6772" t="str">
        <f>"9780567372581"</f>
        <v>9780567372581</v>
      </c>
      <c r="E6772" t="s">
        <v>4180</v>
      </c>
      <c r="F6772" t="s">
        <v>6548</v>
      </c>
      <c r="G6772" s="1">
        <v>40388</v>
      </c>
      <c r="H6772" s="1">
        <v>42326</v>
      </c>
      <c r="I6772" t="s">
        <v>12</v>
      </c>
      <c r="J6772" t="s">
        <v>17542</v>
      </c>
    </row>
    <row r="6773" spans="1:10" x14ac:dyDescent="0.25">
      <c r="A6773">
        <v>742572</v>
      </c>
      <c r="B6773" t="s">
        <v>7125</v>
      </c>
      <c r="C6773" t="str">
        <f>"9781441153593"</f>
        <v>9781441153593</v>
      </c>
      <c r="D6773" t="str">
        <f>"9781441102416"</f>
        <v>9781441102416</v>
      </c>
      <c r="E6773" t="s">
        <v>4180</v>
      </c>
      <c r="F6773" t="s">
        <v>4180</v>
      </c>
      <c r="G6773" s="1">
        <v>40794</v>
      </c>
      <c r="H6773" s="1">
        <v>42326</v>
      </c>
      <c r="I6773" t="s">
        <v>12</v>
      </c>
      <c r="J6773" t="s">
        <v>17543</v>
      </c>
    </row>
    <row r="6774" spans="1:10" x14ac:dyDescent="0.25">
      <c r="A6774">
        <v>742657</v>
      </c>
      <c r="B6774" t="s">
        <v>7126</v>
      </c>
      <c r="C6774" t="str">
        <f>"9780567027092"</f>
        <v>9780567027092</v>
      </c>
      <c r="D6774" t="str">
        <f>"9780567536457"</f>
        <v>9780567536457</v>
      </c>
      <c r="E6774" t="s">
        <v>6601</v>
      </c>
      <c r="F6774" t="s">
        <v>6548</v>
      </c>
      <c r="G6774" s="1">
        <v>39753</v>
      </c>
      <c r="H6774" s="1">
        <v>41845</v>
      </c>
      <c r="I6774" t="s">
        <v>12</v>
      </c>
      <c r="J6774" t="s">
        <v>17544</v>
      </c>
    </row>
    <row r="6775" spans="1:10" x14ac:dyDescent="0.25">
      <c r="A6775">
        <v>742713</v>
      </c>
      <c r="B6775" t="s">
        <v>7127</v>
      </c>
      <c r="C6775" t="str">
        <f>"9781623568382"</f>
        <v>9781623568382</v>
      </c>
      <c r="D6775" t="str">
        <f>"9781441145796"</f>
        <v>9781441145796</v>
      </c>
      <c r="E6775" t="s">
        <v>6601</v>
      </c>
      <c r="F6775" t="s">
        <v>6578</v>
      </c>
      <c r="G6775" s="1">
        <v>41361</v>
      </c>
      <c r="H6775" s="1">
        <v>41845</v>
      </c>
      <c r="I6775" t="s">
        <v>12</v>
      </c>
      <c r="J6775" t="s">
        <v>17545</v>
      </c>
    </row>
    <row r="6776" spans="1:10" x14ac:dyDescent="0.25">
      <c r="A6776">
        <v>742791</v>
      </c>
      <c r="B6776" t="s">
        <v>7128</v>
      </c>
      <c r="C6776" t="str">
        <f>"9780826419460"</f>
        <v>9780826419460</v>
      </c>
      <c r="D6776" t="str">
        <f>"9781441178206"</f>
        <v>9781441178206</v>
      </c>
      <c r="E6776" t="s">
        <v>4180</v>
      </c>
      <c r="F6776" t="s">
        <v>4180</v>
      </c>
      <c r="G6776" s="1">
        <v>40794</v>
      </c>
      <c r="H6776" s="1">
        <v>42326</v>
      </c>
      <c r="I6776" t="s">
        <v>12</v>
      </c>
      <c r="J6776" t="s">
        <v>17546</v>
      </c>
    </row>
    <row r="6777" spans="1:10" x14ac:dyDescent="0.25">
      <c r="A6777">
        <v>743001</v>
      </c>
      <c r="B6777" t="s">
        <v>7129</v>
      </c>
      <c r="C6777" t="str">
        <f>"9780826443038"</f>
        <v>9780826443038</v>
      </c>
      <c r="D6777" t="str">
        <f>"9781855395978"</f>
        <v>9781855395978</v>
      </c>
      <c r="E6777" t="s">
        <v>4180</v>
      </c>
      <c r="F6777" t="s">
        <v>6604</v>
      </c>
      <c r="G6777" s="1">
        <v>40176</v>
      </c>
      <c r="H6777" s="1">
        <v>40757</v>
      </c>
      <c r="I6777" t="s">
        <v>12</v>
      </c>
      <c r="J6777" t="s">
        <v>17547</v>
      </c>
    </row>
    <row r="6778" spans="1:10" x14ac:dyDescent="0.25">
      <c r="A6778">
        <v>743211</v>
      </c>
      <c r="B6778" t="s">
        <v>7130</v>
      </c>
      <c r="C6778" t="str">
        <f>"9780567642868"</f>
        <v>9780567642868</v>
      </c>
      <c r="D6778" t="str">
        <f>"9780567074836"</f>
        <v>9780567074836</v>
      </c>
      <c r="E6778" t="s">
        <v>6601</v>
      </c>
      <c r="F6778" t="s">
        <v>6548</v>
      </c>
      <c r="G6778" s="1">
        <v>41011</v>
      </c>
      <c r="H6778" s="1">
        <v>41845</v>
      </c>
      <c r="I6778" t="s">
        <v>12</v>
      </c>
      <c r="J6778" t="s">
        <v>17548</v>
      </c>
    </row>
    <row r="6779" spans="1:10" x14ac:dyDescent="0.25">
      <c r="A6779">
        <v>744005</v>
      </c>
      <c r="B6779" t="s">
        <v>7131</v>
      </c>
      <c r="C6779" t="str">
        <f>"9781439900659"</f>
        <v>9781439900659</v>
      </c>
      <c r="D6779" t="str">
        <f>"9781439900673"</f>
        <v>9781439900673</v>
      </c>
      <c r="E6779" t="s">
        <v>3604</v>
      </c>
      <c r="F6779" t="s">
        <v>3604</v>
      </c>
      <c r="G6779" s="1">
        <v>40802</v>
      </c>
      <c r="H6779" s="1">
        <v>40822</v>
      </c>
      <c r="I6779" t="s">
        <v>12</v>
      </c>
      <c r="J6779" t="s">
        <v>17549</v>
      </c>
    </row>
    <row r="6780" spans="1:10" x14ac:dyDescent="0.25">
      <c r="A6780">
        <v>746561</v>
      </c>
      <c r="B6780" t="s">
        <v>7132</v>
      </c>
      <c r="C6780" t="str">
        <f>"9781846310768"</f>
        <v>9781846310768</v>
      </c>
      <c r="D6780" t="str">
        <f>"9781781388242"</f>
        <v>9781781388242</v>
      </c>
      <c r="E6780" t="s">
        <v>6995</v>
      </c>
      <c r="F6780" t="s">
        <v>6995</v>
      </c>
      <c r="G6780" s="1">
        <v>40750</v>
      </c>
      <c r="H6780" s="1">
        <v>40765</v>
      </c>
      <c r="I6780" t="s">
        <v>12</v>
      </c>
      <c r="J6780" t="s">
        <v>17550</v>
      </c>
    </row>
    <row r="6781" spans="1:10" x14ac:dyDescent="0.25">
      <c r="A6781">
        <v>752426</v>
      </c>
      <c r="B6781" t="s">
        <v>7133</v>
      </c>
      <c r="C6781" t="str">
        <f>"9780804775328"</f>
        <v>9780804775328</v>
      </c>
      <c r="D6781" t="str">
        <f>"9780804782128"</f>
        <v>9780804782128</v>
      </c>
      <c r="E6781" t="s">
        <v>6225</v>
      </c>
      <c r="F6781" t="s">
        <v>6225</v>
      </c>
      <c r="G6781" s="1">
        <v>40764</v>
      </c>
      <c r="H6781" s="1">
        <v>40778</v>
      </c>
      <c r="I6781" t="s">
        <v>12</v>
      </c>
      <c r="J6781" t="s">
        <v>17551</v>
      </c>
    </row>
    <row r="6782" spans="1:10" x14ac:dyDescent="0.25">
      <c r="A6782">
        <v>752588</v>
      </c>
      <c r="B6782" t="s">
        <v>7134</v>
      </c>
      <c r="C6782" t="str">
        <f>"9789027255617"</f>
        <v>9789027255617</v>
      </c>
      <c r="D6782" t="str">
        <f>"9789027287014"</f>
        <v>9789027287014</v>
      </c>
      <c r="E6782" t="s">
        <v>6670</v>
      </c>
      <c r="F6782" t="s">
        <v>6670</v>
      </c>
      <c r="G6782" s="1">
        <v>40770</v>
      </c>
      <c r="H6782" s="1">
        <v>40769</v>
      </c>
      <c r="I6782" t="s">
        <v>12</v>
      </c>
      <c r="J6782" t="s">
        <v>17552</v>
      </c>
    </row>
    <row r="6783" spans="1:10" x14ac:dyDescent="0.25">
      <c r="A6783">
        <v>753355</v>
      </c>
      <c r="B6783" t="s">
        <v>7135</v>
      </c>
      <c r="C6783" t="str">
        <f>"9781780490380"</f>
        <v>9781780490380</v>
      </c>
      <c r="D6783" t="str">
        <f>"9781849409223"</f>
        <v>9781849409223</v>
      </c>
      <c r="E6783" t="s">
        <v>15</v>
      </c>
      <c r="F6783" t="s">
        <v>16</v>
      </c>
      <c r="G6783" s="1">
        <v>40908</v>
      </c>
      <c r="H6783" s="1">
        <v>40767</v>
      </c>
      <c r="I6783" t="s">
        <v>12</v>
      </c>
      <c r="J6783" t="s">
        <v>17553</v>
      </c>
    </row>
    <row r="6784" spans="1:10" x14ac:dyDescent="0.25">
      <c r="A6784">
        <v>753357</v>
      </c>
      <c r="B6784" t="s">
        <v>7136</v>
      </c>
      <c r="C6784" t="str">
        <f>"9781855758995"</f>
        <v>9781855758995</v>
      </c>
      <c r="D6784" t="str">
        <f>"9781849409247"</f>
        <v>9781849409247</v>
      </c>
      <c r="E6784" t="s">
        <v>15</v>
      </c>
      <c r="F6784" t="s">
        <v>16</v>
      </c>
      <c r="G6784" s="1">
        <v>40908</v>
      </c>
      <c r="H6784" s="1">
        <v>40767</v>
      </c>
      <c r="I6784" t="s">
        <v>12</v>
      </c>
      <c r="J6784" t="s">
        <v>17554</v>
      </c>
    </row>
    <row r="6785" spans="1:10" x14ac:dyDescent="0.25">
      <c r="A6785">
        <v>753358</v>
      </c>
      <c r="B6785" t="s">
        <v>7137</v>
      </c>
      <c r="C6785" t="str">
        <f>"9781855758919"</f>
        <v>9781855758919</v>
      </c>
      <c r="D6785" t="str">
        <f>"9781849409254"</f>
        <v>9781849409254</v>
      </c>
      <c r="E6785" t="s">
        <v>15</v>
      </c>
      <c r="F6785" t="s">
        <v>16</v>
      </c>
      <c r="G6785" s="1">
        <v>40908</v>
      </c>
      <c r="H6785" s="1">
        <v>40767</v>
      </c>
      <c r="I6785" t="s">
        <v>12</v>
      </c>
      <c r="J6785" t="s">
        <v>17555</v>
      </c>
    </row>
    <row r="6786" spans="1:10" x14ac:dyDescent="0.25">
      <c r="A6786">
        <v>753379</v>
      </c>
      <c r="B6786" t="s">
        <v>7138</v>
      </c>
      <c r="C6786" t="str">
        <f>"9781931930994"</f>
        <v>9781931930994</v>
      </c>
      <c r="D6786" t="str">
        <f>"9780984247196"</f>
        <v>9780984247196</v>
      </c>
      <c r="E6786" t="s">
        <v>7091</v>
      </c>
      <c r="F6786" t="s">
        <v>7139</v>
      </c>
      <c r="G6786" s="1">
        <v>40527</v>
      </c>
      <c r="H6786" s="1">
        <v>41670</v>
      </c>
      <c r="I6786" t="s">
        <v>12</v>
      </c>
      <c r="J6786" t="s">
        <v>17556</v>
      </c>
    </row>
    <row r="6787" spans="1:10" x14ac:dyDescent="0.25">
      <c r="A6787">
        <v>753380</v>
      </c>
      <c r="B6787" t="s">
        <v>7140</v>
      </c>
      <c r="C6787" t="str">
        <f>"9781857885040"</f>
        <v>9781857885040</v>
      </c>
      <c r="D6787" t="str">
        <f>"9781857884005"</f>
        <v>9781857884005</v>
      </c>
      <c r="E6787" t="s">
        <v>7091</v>
      </c>
      <c r="F6787" t="s">
        <v>7091</v>
      </c>
      <c r="G6787" s="1">
        <v>40519</v>
      </c>
      <c r="H6787" s="1">
        <v>41670</v>
      </c>
      <c r="I6787" t="s">
        <v>12</v>
      </c>
      <c r="J6787" t="s">
        <v>17557</v>
      </c>
    </row>
    <row r="6788" spans="1:10" x14ac:dyDescent="0.25">
      <c r="A6788">
        <v>753409</v>
      </c>
      <c r="B6788" t="s">
        <v>7141</v>
      </c>
      <c r="C6788" t="str">
        <f>"9780804777056"</f>
        <v>9780804777056</v>
      </c>
      <c r="D6788" t="str">
        <f>"9780804778213"</f>
        <v>9780804778213</v>
      </c>
      <c r="E6788" t="s">
        <v>6225</v>
      </c>
      <c r="F6788" t="s">
        <v>6225</v>
      </c>
      <c r="G6788" s="1">
        <v>40770</v>
      </c>
      <c r="H6788" s="1">
        <v>40785</v>
      </c>
      <c r="I6788" t="s">
        <v>12</v>
      </c>
      <c r="J6788" t="s">
        <v>17558</v>
      </c>
    </row>
    <row r="6789" spans="1:10" x14ac:dyDescent="0.25">
      <c r="A6789">
        <v>753573</v>
      </c>
      <c r="B6789" t="s">
        <v>7142</v>
      </c>
      <c r="C6789" t="str">
        <f>"9781847884138"</f>
        <v>9781847884138</v>
      </c>
      <c r="D6789" t="str">
        <f>"9781847884152"</f>
        <v>9781847884152</v>
      </c>
      <c r="E6789" t="s">
        <v>4180</v>
      </c>
      <c r="F6789" t="s">
        <v>5919</v>
      </c>
      <c r="G6789" s="1">
        <v>40813</v>
      </c>
      <c r="H6789" s="1">
        <v>41863</v>
      </c>
      <c r="I6789" t="s">
        <v>12</v>
      </c>
      <c r="J6789" t="s">
        <v>17559</v>
      </c>
    </row>
    <row r="6790" spans="1:10" x14ac:dyDescent="0.25">
      <c r="A6790">
        <v>762977</v>
      </c>
      <c r="B6790" t="s">
        <v>7143</v>
      </c>
      <c r="C6790" t="str">
        <f>"9781441116222"</f>
        <v>9781441116222</v>
      </c>
      <c r="D6790" t="str">
        <f>"9781441162540"</f>
        <v>9781441162540</v>
      </c>
      <c r="E6790" t="s">
        <v>6601</v>
      </c>
      <c r="F6790" t="s">
        <v>6578</v>
      </c>
      <c r="G6790" s="1">
        <v>40710</v>
      </c>
      <c r="H6790" s="1">
        <v>41841</v>
      </c>
      <c r="I6790" t="s">
        <v>12</v>
      </c>
      <c r="J6790" t="s">
        <v>17560</v>
      </c>
    </row>
    <row r="6791" spans="1:10" x14ac:dyDescent="0.25">
      <c r="A6791">
        <v>762978</v>
      </c>
      <c r="B6791" t="s">
        <v>7144</v>
      </c>
      <c r="C6791" t="str">
        <f>"9781441145253"</f>
        <v>9781441145253</v>
      </c>
      <c r="D6791" t="str">
        <f>"9781441131072"</f>
        <v>9781441131072</v>
      </c>
      <c r="E6791" t="s">
        <v>4180</v>
      </c>
      <c r="F6791" t="s">
        <v>4180</v>
      </c>
      <c r="G6791" s="1">
        <v>40850</v>
      </c>
      <c r="H6791" s="1">
        <v>42073</v>
      </c>
      <c r="I6791" t="s">
        <v>12</v>
      </c>
      <c r="J6791" t="s">
        <v>17561</v>
      </c>
    </row>
    <row r="6792" spans="1:10" x14ac:dyDescent="0.25">
      <c r="A6792">
        <v>762981</v>
      </c>
      <c r="B6792" t="s">
        <v>7145</v>
      </c>
      <c r="C6792" t="str">
        <f>"9780826423313"</f>
        <v>9780826423313</v>
      </c>
      <c r="D6792" t="str">
        <f>"9781441170422"</f>
        <v>9781441170422</v>
      </c>
      <c r="E6792" t="s">
        <v>4180</v>
      </c>
      <c r="F6792" t="s">
        <v>4180</v>
      </c>
      <c r="G6792" s="1">
        <v>40836</v>
      </c>
      <c r="H6792" s="1">
        <v>41845</v>
      </c>
      <c r="I6792" t="s">
        <v>12</v>
      </c>
      <c r="J6792" t="s">
        <v>17562</v>
      </c>
    </row>
    <row r="6793" spans="1:10" x14ac:dyDescent="0.25">
      <c r="A6793">
        <v>765179</v>
      </c>
      <c r="B6793" t="s">
        <v>7146</v>
      </c>
      <c r="C6793" t="str">
        <f>"9781848135819"</f>
        <v>9781848135819</v>
      </c>
      <c r="D6793" t="str">
        <f>"9781848135826"</f>
        <v>9781848135826</v>
      </c>
      <c r="E6793" t="s">
        <v>4626</v>
      </c>
      <c r="F6793" t="s">
        <v>4626</v>
      </c>
      <c r="G6793" s="1">
        <v>40767</v>
      </c>
      <c r="H6793" s="1">
        <v>40774</v>
      </c>
      <c r="I6793" t="s">
        <v>12</v>
      </c>
      <c r="J6793" t="s">
        <v>17563</v>
      </c>
    </row>
    <row r="6794" spans="1:10" x14ac:dyDescent="0.25">
      <c r="A6794">
        <v>765180</v>
      </c>
      <c r="B6794" t="s">
        <v>7147</v>
      </c>
      <c r="C6794" t="str">
        <f>"9781848132887"</f>
        <v>9781848132887</v>
      </c>
      <c r="D6794" t="str">
        <f>"9781848132894"</f>
        <v>9781848132894</v>
      </c>
      <c r="E6794" t="s">
        <v>4626</v>
      </c>
      <c r="F6794" t="s">
        <v>4626</v>
      </c>
      <c r="G6794" s="1">
        <v>40766</v>
      </c>
      <c r="H6794" s="1">
        <v>40774</v>
      </c>
      <c r="I6794" t="s">
        <v>12</v>
      </c>
      <c r="J6794" t="s">
        <v>17564</v>
      </c>
    </row>
    <row r="6795" spans="1:10" x14ac:dyDescent="0.25">
      <c r="A6795">
        <v>765182</v>
      </c>
      <c r="B6795" t="s">
        <v>7148</v>
      </c>
      <c r="C6795" t="str">
        <f>"9781848135871"</f>
        <v>9781848135871</v>
      </c>
      <c r="D6795" t="str">
        <f>"9781848135888"</f>
        <v>9781848135888</v>
      </c>
      <c r="E6795" t="s">
        <v>4626</v>
      </c>
      <c r="F6795" t="s">
        <v>4626</v>
      </c>
      <c r="G6795" s="1">
        <v>40731</v>
      </c>
      <c r="H6795" s="1">
        <v>40774</v>
      </c>
      <c r="I6795" t="s">
        <v>12</v>
      </c>
      <c r="J6795" t="s">
        <v>17565</v>
      </c>
    </row>
    <row r="6796" spans="1:10" x14ac:dyDescent="0.25">
      <c r="A6796">
        <v>765836</v>
      </c>
      <c r="B6796" t="s">
        <v>7149</v>
      </c>
      <c r="C6796" t="str">
        <f>"9789027224439"</f>
        <v>9789027224439</v>
      </c>
      <c r="D6796" t="str">
        <f>"9789027284686"</f>
        <v>9789027284686</v>
      </c>
      <c r="E6796" t="s">
        <v>6670</v>
      </c>
      <c r="F6796" t="s">
        <v>6670</v>
      </c>
      <c r="G6796" s="1">
        <v>40801</v>
      </c>
      <c r="H6796" s="1">
        <v>40800</v>
      </c>
      <c r="I6796" t="s">
        <v>12</v>
      </c>
      <c r="J6796" t="s">
        <v>17566</v>
      </c>
    </row>
    <row r="6797" spans="1:10" x14ac:dyDescent="0.25">
      <c r="A6797">
        <v>765841</v>
      </c>
      <c r="B6797" t="s">
        <v>7150</v>
      </c>
      <c r="C6797" t="str">
        <f>"9789027224446"</f>
        <v>9789027224446</v>
      </c>
      <c r="D6797" t="str">
        <f>"9789027284181"</f>
        <v>9789027284181</v>
      </c>
      <c r="E6797" t="s">
        <v>6670</v>
      </c>
      <c r="F6797" t="s">
        <v>6670</v>
      </c>
      <c r="G6797" s="1">
        <v>40801</v>
      </c>
      <c r="H6797" s="1">
        <v>40800</v>
      </c>
      <c r="I6797" t="s">
        <v>12</v>
      </c>
      <c r="J6797" t="s">
        <v>17567</v>
      </c>
    </row>
    <row r="6798" spans="1:10" x14ac:dyDescent="0.25">
      <c r="A6798">
        <v>766028</v>
      </c>
      <c r="B6798" t="s">
        <v>7151</v>
      </c>
      <c r="C6798" t="str">
        <f>"9781441111975"</f>
        <v>9781441111975</v>
      </c>
      <c r="D6798" t="str">
        <f>"9781441185044"</f>
        <v>9781441185044</v>
      </c>
      <c r="E6798" t="s">
        <v>6601</v>
      </c>
      <c r="F6798" t="s">
        <v>6578</v>
      </c>
      <c r="G6798" s="1">
        <v>40409</v>
      </c>
      <c r="H6798" s="1">
        <v>41845</v>
      </c>
      <c r="I6798" t="s">
        <v>12</v>
      </c>
      <c r="J6798" t="s">
        <v>17568</v>
      </c>
    </row>
    <row r="6799" spans="1:10" x14ac:dyDescent="0.25">
      <c r="A6799">
        <v>766034</v>
      </c>
      <c r="B6799" t="s">
        <v>7152</v>
      </c>
      <c r="C6799" t="str">
        <f>"9781855394568"</f>
        <v>9781855394568</v>
      </c>
      <c r="D6799" t="str">
        <f>"9781855396463"</f>
        <v>9781855396463</v>
      </c>
      <c r="E6799" t="s">
        <v>1400</v>
      </c>
      <c r="F6799" t="s">
        <v>1401</v>
      </c>
      <c r="G6799" s="1">
        <v>40147</v>
      </c>
      <c r="H6799" s="1">
        <v>40779</v>
      </c>
      <c r="I6799" t="s">
        <v>12</v>
      </c>
      <c r="J6799" t="s">
        <v>17569</v>
      </c>
    </row>
    <row r="6800" spans="1:10" x14ac:dyDescent="0.25">
      <c r="A6800">
        <v>766062</v>
      </c>
      <c r="B6800" t="s">
        <v>7153</v>
      </c>
      <c r="C6800" t="str">
        <f>"9780567084675"</f>
        <v>9780567084675</v>
      </c>
      <c r="D6800" t="str">
        <f>"9780567588531"</f>
        <v>9780567588531</v>
      </c>
      <c r="E6800" t="s">
        <v>4180</v>
      </c>
      <c r="F6800" t="s">
        <v>6548</v>
      </c>
      <c r="G6800" s="1">
        <v>38331</v>
      </c>
      <c r="H6800" s="1">
        <v>42326</v>
      </c>
      <c r="I6800" t="s">
        <v>12</v>
      </c>
      <c r="J6800" t="s">
        <v>17570</v>
      </c>
    </row>
    <row r="6801" spans="1:10" x14ac:dyDescent="0.25">
      <c r="A6801">
        <v>766065</v>
      </c>
      <c r="B6801" t="s">
        <v>7154</v>
      </c>
      <c r="C6801" t="str">
        <f>"9780826474681"</f>
        <v>9780826474681</v>
      </c>
      <c r="D6801" t="str">
        <f>"9781441112439"</f>
        <v>9781441112439</v>
      </c>
      <c r="E6801" t="s">
        <v>4180</v>
      </c>
      <c r="F6801" t="s">
        <v>4180</v>
      </c>
      <c r="G6801" s="1">
        <v>39929</v>
      </c>
      <c r="H6801" s="1">
        <v>41844</v>
      </c>
      <c r="I6801" t="s">
        <v>12</v>
      </c>
      <c r="J6801" t="s">
        <v>17571</v>
      </c>
    </row>
    <row r="6802" spans="1:10" x14ac:dyDescent="0.25">
      <c r="A6802">
        <v>766073</v>
      </c>
      <c r="B6802" t="s">
        <v>7155</v>
      </c>
      <c r="C6802" t="str">
        <f>"9781847061508"</f>
        <v>9781847061508</v>
      </c>
      <c r="D6802" t="str">
        <f>"9781441159212"</f>
        <v>9781441159212</v>
      </c>
      <c r="E6802" t="s">
        <v>4180</v>
      </c>
      <c r="F6802" t="s">
        <v>4180</v>
      </c>
      <c r="G6802" s="1">
        <v>40423</v>
      </c>
      <c r="H6802" s="1">
        <v>42326</v>
      </c>
      <c r="I6802" t="s">
        <v>12</v>
      </c>
      <c r="J6802" t="s">
        <v>17572</v>
      </c>
    </row>
    <row r="6803" spans="1:10" x14ac:dyDescent="0.25">
      <c r="A6803">
        <v>766089</v>
      </c>
      <c r="B6803" t="s">
        <v>7156</v>
      </c>
      <c r="C6803" t="str">
        <f>"9781441132529"</f>
        <v>9781441132529</v>
      </c>
      <c r="D6803" t="str">
        <f>"9781441149244"</f>
        <v>9781441149244</v>
      </c>
      <c r="E6803" t="s">
        <v>6601</v>
      </c>
      <c r="F6803" t="s">
        <v>6578</v>
      </c>
      <c r="G6803" s="1">
        <v>40794</v>
      </c>
      <c r="H6803" s="1">
        <v>41845</v>
      </c>
      <c r="I6803" t="s">
        <v>12</v>
      </c>
      <c r="J6803" t="s">
        <v>17573</v>
      </c>
    </row>
    <row r="6804" spans="1:10" x14ac:dyDescent="0.25">
      <c r="A6804">
        <v>766098</v>
      </c>
      <c r="B6804" t="s">
        <v>7157</v>
      </c>
      <c r="C6804" t="str">
        <f>"9780826422705"</f>
        <v>9780826422705</v>
      </c>
      <c r="D6804" t="str">
        <f>"9780826434661"</f>
        <v>9780826434661</v>
      </c>
      <c r="E6804" t="s">
        <v>6601</v>
      </c>
      <c r="F6804" t="s">
        <v>6578</v>
      </c>
      <c r="G6804" s="1">
        <v>40430</v>
      </c>
      <c r="H6804" s="1">
        <v>41845</v>
      </c>
      <c r="I6804" t="s">
        <v>12</v>
      </c>
      <c r="J6804" t="s">
        <v>17574</v>
      </c>
    </row>
    <row r="6805" spans="1:10" x14ac:dyDescent="0.25">
      <c r="A6805">
        <v>766187</v>
      </c>
      <c r="B6805" t="s">
        <v>7158</v>
      </c>
      <c r="C6805" t="str">
        <f>"9781857883671"</f>
        <v>9781857883671</v>
      </c>
      <c r="D6805" t="str">
        <f>"9781857889864"</f>
        <v>9781857889864</v>
      </c>
      <c r="E6805" t="s">
        <v>7091</v>
      </c>
      <c r="F6805" t="s">
        <v>7091</v>
      </c>
      <c r="G6805" s="1">
        <v>40886</v>
      </c>
      <c r="H6805" s="1">
        <v>41670</v>
      </c>
      <c r="I6805" t="s">
        <v>12</v>
      </c>
      <c r="J6805" t="s">
        <v>17575</v>
      </c>
    </row>
    <row r="6806" spans="1:10" x14ac:dyDescent="0.25">
      <c r="A6806">
        <v>767160</v>
      </c>
      <c r="B6806" t="s">
        <v>7159</v>
      </c>
      <c r="C6806" t="str">
        <f>"9781904902980"</f>
        <v>9781904902980</v>
      </c>
      <c r="D6806" t="str">
        <f>"9781908189691"</f>
        <v>9781908189691</v>
      </c>
      <c r="E6806" t="s">
        <v>6528</v>
      </c>
      <c r="F6806" t="s">
        <v>6529</v>
      </c>
      <c r="G6806" s="1">
        <v>39195</v>
      </c>
      <c r="H6806" s="1">
        <v>40977</v>
      </c>
      <c r="I6806" t="s">
        <v>12</v>
      </c>
      <c r="J6806" t="s">
        <v>17576</v>
      </c>
    </row>
    <row r="6807" spans="1:10" x14ac:dyDescent="0.25">
      <c r="A6807">
        <v>769703</v>
      </c>
      <c r="B6807" t="s">
        <v>7160</v>
      </c>
      <c r="C6807" t="str">
        <f>"9789027207197"</f>
        <v>9789027207197</v>
      </c>
      <c r="D6807" t="str">
        <f>"9789027290274"</f>
        <v>9789027290274</v>
      </c>
      <c r="E6807" t="s">
        <v>6670</v>
      </c>
      <c r="F6807" t="s">
        <v>6670</v>
      </c>
      <c r="G6807" s="1">
        <v>40801</v>
      </c>
      <c r="H6807" s="1">
        <v>40800</v>
      </c>
      <c r="I6807" t="s">
        <v>12</v>
      </c>
      <c r="J6807" t="s">
        <v>17577</v>
      </c>
    </row>
    <row r="6808" spans="1:10" x14ac:dyDescent="0.25">
      <c r="A6808">
        <v>769857</v>
      </c>
      <c r="B6808" t="s">
        <v>7161</v>
      </c>
      <c r="C6808" t="str">
        <f>"9781847354778"</f>
        <v>9781847354778</v>
      </c>
      <c r="D6808" t="str">
        <f>"9781847354792"</f>
        <v>9781847354792</v>
      </c>
      <c r="E6808" t="s">
        <v>6203</v>
      </c>
      <c r="F6808" t="s">
        <v>6203</v>
      </c>
      <c r="G6808" s="1">
        <v>40755</v>
      </c>
      <c r="H6808" s="1">
        <v>40791</v>
      </c>
      <c r="I6808" t="s">
        <v>12</v>
      </c>
      <c r="J6808" t="s">
        <v>17578</v>
      </c>
    </row>
    <row r="6809" spans="1:10" x14ac:dyDescent="0.25">
      <c r="A6809">
        <v>771390</v>
      </c>
      <c r="B6809" t="s">
        <v>7162</v>
      </c>
      <c r="C6809" t="str">
        <f>"9780335236640"</f>
        <v>9780335236640</v>
      </c>
      <c r="D6809" t="str">
        <f>"9780335239061"</f>
        <v>9780335239061</v>
      </c>
      <c r="E6809" t="s">
        <v>2795</v>
      </c>
      <c r="F6809" t="s">
        <v>2796</v>
      </c>
      <c r="G6809" s="1">
        <v>40391</v>
      </c>
      <c r="H6809" s="1">
        <v>40794</v>
      </c>
      <c r="I6809" t="s">
        <v>12</v>
      </c>
      <c r="J6809" t="s">
        <v>17579</v>
      </c>
    </row>
    <row r="6810" spans="1:10" x14ac:dyDescent="0.25">
      <c r="A6810">
        <v>771702</v>
      </c>
      <c r="B6810" t="s">
        <v>7163</v>
      </c>
      <c r="C6810" t="str">
        <f>"9781576756294"</f>
        <v>9781576756294</v>
      </c>
      <c r="D6810" t="str">
        <f>"9781576755143"</f>
        <v>9781576755143</v>
      </c>
      <c r="E6810" t="s">
        <v>4158</v>
      </c>
      <c r="F6810" t="s">
        <v>4158</v>
      </c>
      <c r="G6810" s="1">
        <v>39755</v>
      </c>
      <c r="H6810" s="1">
        <v>40794</v>
      </c>
      <c r="I6810" t="s">
        <v>12</v>
      </c>
      <c r="J6810" t="s">
        <v>17580</v>
      </c>
    </row>
    <row r="6811" spans="1:10" x14ac:dyDescent="0.25">
      <c r="A6811">
        <v>771709</v>
      </c>
      <c r="B6811" t="s">
        <v>7164</v>
      </c>
      <c r="C6811" t="str">
        <f>"9781576754320"</f>
        <v>9781576754320</v>
      </c>
      <c r="D6811" t="str">
        <f>"9781576755228"</f>
        <v>9781576755228</v>
      </c>
      <c r="E6811" t="s">
        <v>4158</v>
      </c>
      <c r="F6811" t="s">
        <v>6166</v>
      </c>
      <c r="G6811" s="1">
        <v>39417</v>
      </c>
      <c r="H6811" s="1">
        <v>39514</v>
      </c>
      <c r="I6811" t="s">
        <v>12</v>
      </c>
      <c r="J6811" t="s">
        <v>17581</v>
      </c>
    </row>
    <row r="6812" spans="1:10" x14ac:dyDescent="0.25">
      <c r="A6812">
        <v>771973</v>
      </c>
      <c r="B6812" t="s">
        <v>7165</v>
      </c>
      <c r="C6812" t="str">
        <f>"9781905246410"</f>
        <v>9781905246410</v>
      </c>
      <c r="D6812" t="str">
        <f>"9789004213319"</f>
        <v>9789004213319</v>
      </c>
      <c r="E6812" t="s">
        <v>1447</v>
      </c>
      <c r="F6812" t="s">
        <v>7166</v>
      </c>
      <c r="G6812" s="1">
        <v>39429</v>
      </c>
      <c r="H6812" s="1">
        <v>40795</v>
      </c>
      <c r="I6812" t="s">
        <v>12</v>
      </c>
      <c r="J6812" t="s">
        <v>17582</v>
      </c>
    </row>
    <row r="6813" spans="1:10" x14ac:dyDescent="0.25">
      <c r="A6813">
        <v>772387</v>
      </c>
      <c r="B6813" t="s">
        <v>7167</v>
      </c>
      <c r="C6813" t="str">
        <f>"9780889205185"</f>
        <v>9780889205185</v>
      </c>
      <c r="D6813" t="str">
        <f>"9781554580750"</f>
        <v>9781554580750</v>
      </c>
      <c r="E6813" t="s">
        <v>6964</v>
      </c>
      <c r="F6813" t="s">
        <v>6964</v>
      </c>
      <c r="G6813" s="1">
        <v>39191</v>
      </c>
      <c r="H6813" s="1">
        <v>40799</v>
      </c>
      <c r="I6813" t="s">
        <v>12</v>
      </c>
      <c r="J6813" t="s">
        <v>17583</v>
      </c>
    </row>
    <row r="6814" spans="1:10" x14ac:dyDescent="0.25">
      <c r="A6814">
        <v>773211</v>
      </c>
      <c r="B6814" t="s">
        <v>7168</v>
      </c>
      <c r="C6814" t="str">
        <f>"9781472512567"</f>
        <v>9781472512567</v>
      </c>
      <c r="D6814" t="str">
        <f>"9781441129628"</f>
        <v>9781441129628</v>
      </c>
      <c r="E6814" t="s">
        <v>4180</v>
      </c>
      <c r="F6814" t="s">
        <v>4180</v>
      </c>
      <c r="G6814" s="1">
        <v>41417</v>
      </c>
      <c r="H6814" s="1">
        <v>41845</v>
      </c>
      <c r="I6814" t="s">
        <v>12</v>
      </c>
      <c r="J6814" t="s">
        <v>17584</v>
      </c>
    </row>
    <row r="6815" spans="1:10" x14ac:dyDescent="0.25">
      <c r="A6815">
        <v>773212</v>
      </c>
      <c r="B6815" t="s">
        <v>7169</v>
      </c>
      <c r="C6815" t="str">
        <f>"9780826499301"</f>
        <v>9780826499301</v>
      </c>
      <c r="D6815" t="str">
        <f>"9781441131102"</f>
        <v>9781441131102</v>
      </c>
      <c r="E6815" t="s">
        <v>4180</v>
      </c>
      <c r="F6815" t="s">
        <v>4180</v>
      </c>
      <c r="G6815" s="1">
        <v>40885</v>
      </c>
      <c r="H6815" s="1">
        <v>41844</v>
      </c>
      <c r="I6815" t="s">
        <v>12</v>
      </c>
      <c r="J6815" t="s">
        <v>17585</v>
      </c>
    </row>
    <row r="6816" spans="1:10" x14ac:dyDescent="0.25">
      <c r="A6816">
        <v>773215</v>
      </c>
      <c r="B6816" t="s">
        <v>7170</v>
      </c>
      <c r="C6816" t="str">
        <f>"9781847064868"</f>
        <v>9781847064868</v>
      </c>
      <c r="D6816" t="str">
        <f>"9781441148186"</f>
        <v>9781441148186</v>
      </c>
      <c r="E6816" t="s">
        <v>4180</v>
      </c>
      <c r="F6816" t="s">
        <v>4180</v>
      </c>
      <c r="G6816" s="1">
        <v>40871</v>
      </c>
      <c r="H6816" s="1">
        <v>41844</v>
      </c>
      <c r="I6816" t="s">
        <v>12</v>
      </c>
      <c r="J6816" t="s">
        <v>17586</v>
      </c>
    </row>
    <row r="6817" spans="1:10" x14ac:dyDescent="0.25">
      <c r="A6817">
        <v>773549</v>
      </c>
      <c r="B6817" t="s">
        <v>7171</v>
      </c>
      <c r="C6817" t="str">
        <f>"9781780490045"</f>
        <v>9781780490045</v>
      </c>
      <c r="D6817" t="str">
        <f>"9781849409308"</f>
        <v>9781849409308</v>
      </c>
      <c r="E6817" t="s">
        <v>15</v>
      </c>
      <c r="F6817" t="s">
        <v>16</v>
      </c>
      <c r="G6817" s="1">
        <v>41274</v>
      </c>
      <c r="H6817" s="1">
        <v>40805</v>
      </c>
      <c r="I6817" t="s">
        <v>12</v>
      </c>
      <c r="J6817" t="s">
        <v>17587</v>
      </c>
    </row>
    <row r="6818" spans="1:10" x14ac:dyDescent="0.25">
      <c r="A6818">
        <v>773550</v>
      </c>
      <c r="B6818" t="s">
        <v>7172</v>
      </c>
      <c r="C6818" t="str">
        <f>"9781855758773"</f>
        <v>9781855758773</v>
      </c>
      <c r="D6818" t="str">
        <f>"9781849409315"</f>
        <v>9781849409315</v>
      </c>
      <c r="E6818" t="s">
        <v>15</v>
      </c>
      <c r="F6818" t="s">
        <v>16</v>
      </c>
      <c r="G6818" s="1">
        <v>40908</v>
      </c>
      <c r="H6818" s="1">
        <v>40804</v>
      </c>
      <c r="I6818" t="s">
        <v>12</v>
      </c>
      <c r="J6818" t="s">
        <v>17588</v>
      </c>
    </row>
    <row r="6819" spans="1:10" x14ac:dyDescent="0.25">
      <c r="A6819">
        <v>774056</v>
      </c>
      <c r="B6819" t="s">
        <v>7173</v>
      </c>
      <c r="C6819" t="str">
        <f>"9781849192576"</f>
        <v>9781849192576</v>
      </c>
      <c r="D6819" t="str">
        <f>"9781849192583"</f>
        <v>9781849192583</v>
      </c>
      <c r="E6819" t="s">
        <v>6083</v>
      </c>
      <c r="F6819" t="s">
        <v>6083</v>
      </c>
      <c r="G6819" s="1">
        <v>40585</v>
      </c>
      <c r="H6819" s="1">
        <v>40806</v>
      </c>
      <c r="I6819" t="s">
        <v>12</v>
      </c>
      <c r="J6819" t="s">
        <v>17589</v>
      </c>
    </row>
    <row r="6820" spans="1:10" x14ac:dyDescent="0.25">
      <c r="A6820">
        <v>774058</v>
      </c>
      <c r="B6820" t="s">
        <v>7174</v>
      </c>
      <c r="C6820" t="str">
        <f>"9781849191562"</f>
        <v>9781849191562</v>
      </c>
      <c r="D6820" t="str">
        <f>"9781849191579"</f>
        <v>9781849191579</v>
      </c>
      <c r="E6820" t="s">
        <v>6083</v>
      </c>
      <c r="F6820" t="s">
        <v>6083</v>
      </c>
      <c r="G6820" s="1">
        <v>40721</v>
      </c>
      <c r="H6820" s="1">
        <v>40806</v>
      </c>
      <c r="I6820" t="s">
        <v>12</v>
      </c>
      <c r="J6820" t="s">
        <v>17590</v>
      </c>
    </row>
    <row r="6821" spans="1:10" x14ac:dyDescent="0.25">
      <c r="A6821">
        <v>774059</v>
      </c>
      <c r="B6821" t="s">
        <v>7175</v>
      </c>
      <c r="C6821" t="str">
        <f>"9780863419645"</f>
        <v>9780863419645</v>
      </c>
      <c r="D6821" t="str">
        <f>"9781849191135"</f>
        <v>9781849191135</v>
      </c>
      <c r="E6821" t="s">
        <v>6083</v>
      </c>
      <c r="F6821" t="s">
        <v>6083</v>
      </c>
      <c r="G6821" s="1">
        <v>40606</v>
      </c>
      <c r="H6821" s="1">
        <v>42340</v>
      </c>
      <c r="I6821" t="s">
        <v>12</v>
      </c>
      <c r="J6821" t="s">
        <v>17591</v>
      </c>
    </row>
    <row r="6822" spans="1:10" x14ac:dyDescent="0.25">
      <c r="A6822">
        <v>774114</v>
      </c>
      <c r="B6822" t="s">
        <v>7176</v>
      </c>
      <c r="C6822" t="str">
        <f>"9783842855663"</f>
        <v>9783842855663</v>
      </c>
      <c r="D6822" t="str">
        <f>"9783842805668"</f>
        <v>9783842805668</v>
      </c>
      <c r="E6822" t="s">
        <v>6563</v>
      </c>
      <c r="F6822" t="s">
        <v>6563</v>
      </c>
      <c r="G6822" s="1">
        <v>40725</v>
      </c>
      <c r="H6822" s="1">
        <v>40806</v>
      </c>
      <c r="I6822" t="s">
        <v>12</v>
      </c>
      <c r="J6822" t="s">
        <v>17592</v>
      </c>
    </row>
    <row r="6823" spans="1:10" x14ac:dyDescent="0.25">
      <c r="A6823">
        <v>776101</v>
      </c>
      <c r="B6823" t="s">
        <v>7177</v>
      </c>
      <c r="C6823" t="str">
        <f>"9781572244955"</f>
        <v>9781572244955</v>
      </c>
      <c r="D6823" t="str">
        <f>"9781608824663"</f>
        <v>9781608824663</v>
      </c>
      <c r="E6823" t="s">
        <v>7178</v>
      </c>
      <c r="F6823" t="s">
        <v>7178</v>
      </c>
      <c r="G6823" s="1">
        <v>39264</v>
      </c>
      <c r="H6823" s="1">
        <v>40865</v>
      </c>
      <c r="I6823" t="s">
        <v>12</v>
      </c>
      <c r="J6823" t="s">
        <v>17593</v>
      </c>
    </row>
    <row r="6824" spans="1:10" x14ac:dyDescent="0.25">
      <c r="A6824">
        <v>776105</v>
      </c>
      <c r="B6824" t="s">
        <v>7179</v>
      </c>
      <c r="C6824" t="str">
        <f>"9781572246225"</f>
        <v>9781572246225</v>
      </c>
      <c r="D6824" t="str">
        <f>"9781608824779"</f>
        <v>9781608824779</v>
      </c>
      <c r="E6824" t="s">
        <v>7178</v>
      </c>
      <c r="F6824" t="s">
        <v>7178</v>
      </c>
      <c r="G6824" s="1">
        <v>39965</v>
      </c>
      <c r="H6824" s="1">
        <v>40865</v>
      </c>
      <c r="I6824" t="s">
        <v>12</v>
      </c>
      <c r="J6824" t="s">
        <v>17594</v>
      </c>
    </row>
    <row r="6825" spans="1:10" x14ac:dyDescent="0.25">
      <c r="A6825">
        <v>776117</v>
      </c>
      <c r="B6825" t="s">
        <v>7180</v>
      </c>
      <c r="C6825" t="str">
        <f>"9781572246300"</f>
        <v>9781572246300</v>
      </c>
      <c r="D6825" t="str">
        <f>"9781608824786"</f>
        <v>9781608824786</v>
      </c>
      <c r="E6825" t="s">
        <v>7178</v>
      </c>
      <c r="F6825" t="s">
        <v>7181</v>
      </c>
      <c r="G6825" s="1">
        <v>39905</v>
      </c>
      <c r="H6825" s="1">
        <v>40865</v>
      </c>
      <c r="I6825" t="s">
        <v>12</v>
      </c>
      <c r="J6825" t="s">
        <v>17595</v>
      </c>
    </row>
    <row r="6826" spans="1:10" x14ac:dyDescent="0.25">
      <c r="A6826">
        <v>776128</v>
      </c>
      <c r="B6826" t="s">
        <v>7182</v>
      </c>
      <c r="C6826" t="str">
        <f>"9781572246478"</f>
        <v>9781572246478</v>
      </c>
      <c r="D6826" t="str">
        <f>"9781608824533"</f>
        <v>9781608824533</v>
      </c>
      <c r="E6826" t="s">
        <v>7178</v>
      </c>
      <c r="F6826" t="s">
        <v>7178</v>
      </c>
      <c r="G6826" s="1">
        <v>39905</v>
      </c>
      <c r="H6826" s="1">
        <v>40865</v>
      </c>
      <c r="I6826" t="s">
        <v>12</v>
      </c>
      <c r="J6826" t="s">
        <v>17596</v>
      </c>
    </row>
    <row r="6827" spans="1:10" x14ac:dyDescent="0.25">
      <c r="A6827">
        <v>776176</v>
      </c>
      <c r="B6827" t="s">
        <v>7183</v>
      </c>
      <c r="C6827" t="str">
        <f>"9781611321012"</f>
        <v>9781611321012</v>
      </c>
      <c r="D6827" t="str">
        <f>"9781611321029"</f>
        <v>9781611321029</v>
      </c>
      <c r="E6827" t="s">
        <v>15</v>
      </c>
      <c r="F6827" t="s">
        <v>16</v>
      </c>
      <c r="G6827" s="1">
        <v>40739</v>
      </c>
      <c r="H6827" s="1">
        <v>40809</v>
      </c>
      <c r="I6827" t="s">
        <v>12</v>
      </c>
      <c r="J6827" t="s">
        <v>17597</v>
      </c>
    </row>
    <row r="6828" spans="1:10" x14ac:dyDescent="0.25">
      <c r="A6828">
        <v>776343</v>
      </c>
      <c r="B6828" t="s">
        <v>7184</v>
      </c>
      <c r="C6828" t="str">
        <f>"9781855758926"</f>
        <v>9781855758926</v>
      </c>
      <c r="D6828" t="str">
        <f>"9781849409322"</f>
        <v>9781849409322</v>
      </c>
      <c r="E6828" t="s">
        <v>15</v>
      </c>
      <c r="F6828" t="s">
        <v>16</v>
      </c>
      <c r="G6828" s="1">
        <v>40908</v>
      </c>
      <c r="H6828" s="1">
        <v>40809</v>
      </c>
      <c r="I6828" t="s">
        <v>12</v>
      </c>
      <c r="J6828" t="s">
        <v>17598</v>
      </c>
    </row>
    <row r="6829" spans="1:10" x14ac:dyDescent="0.25">
      <c r="A6829">
        <v>776550</v>
      </c>
      <c r="B6829" t="s">
        <v>7185</v>
      </c>
      <c r="C6829" t="str">
        <f>"9780816675784"</f>
        <v>9780816675784</v>
      </c>
      <c r="D6829" t="str">
        <f>"9780816676682"</f>
        <v>9780816676682</v>
      </c>
      <c r="E6829" t="s">
        <v>3970</v>
      </c>
      <c r="F6829" t="s">
        <v>3970</v>
      </c>
      <c r="G6829" s="1">
        <v>40730</v>
      </c>
      <c r="H6829" s="1">
        <v>40811</v>
      </c>
      <c r="I6829" t="s">
        <v>12</v>
      </c>
      <c r="J6829" t="s">
        <v>17599</v>
      </c>
    </row>
    <row r="6830" spans="1:10" x14ac:dyDescent="0.25">
      <c r="A6830">
        <v>776572</v>
      </c>
      <c r="B6830" t="s">
        <v>7186</v>
      </c>
      <c r="C6830" t="str">
        <f>"9781845932152"</f>
        <v>9781845932152</v>
      </c>
      <c r="D6830" t="str">
        <f>"9781845932152"</f>
        <v>9781845932152</v>
      </c>
      <c r="E6830" t="s">
        <v>2878</v>
      </c>
      <c r="F6830" t="s">
        <v>2878</v>
      </c>
      <c r="G6830" s="1">
        <v>39234</v>
      </c>
      <c r="H6830" s="1">
        <v>38169</v>
      </c>
      <c r="I6830" t="s">
        <v>12</v>
      </c>
      <c r="J6830" t="s">
        <v>17600</v>
      </c>
    </row>
    <row r="6831" spans="1:10" x14ac:dyDescent="0.25">
      <c r="A6831">
        <v>776580</v>
      </c>
      <c r="B6831" t="s">
        <v>7187</v>
      </c>
      <c r="C6831" t="str">
        <f>"9781845931223"</f>
        <v>9781845931223</v>
      </c>
      <c r="D6831" t="str">
        <f>"9781845931230"</f>
        <v>9781845931230</v>
      </c>
      <c r="E6831" t="s">
        <v>2878</v>
      </c>
      <c r="F6831" t="s">
        <v>2878</v>
      </c>
      <c r="G6831" s="1">
        <v>39014</v>
      </c>
      <c r="H6831" s="1">
        <v>38169</v>
      </c>
      <c r="I6831" t="s">
        <v>12</v>
      </c>
      <c r="J6831" t="s">
        <v>17601</v>
      </c>
    </row>
    <row r="6832" spans="1:10" x14ac:dyDescent="0.25">
      <c r="A6832">
        <v>777087</v>
      </c>
      <c r="B6832" t="s">
        <v>7188</v>
      </c>
      <c r="C6832" t="str">
        <f>"9789027213037"</f>
        <v>9789027213037</v>
      </c>
      <c r="D6832" t="str">
        <f>"9789027284839"</f>
        <v>9789027284839</v>
      </c>
      <c r="E6832" t="s">
        <v>6670</v>
      </c>
      <c r="F6832" t="s">
        <v>6670</v>
      </c>
      <c r="G6832" s="1">
        <v>40831</v>
      </c>
      <c r="H6832" s="1">
        <v>40830</v>
      </c>
      <c r="I6832" t="s">
        <v>12</v>
      </c>
      <c r="J6832" t="s">
        <v>17602</v>
      </c>
    </row>
    <row r="6833" spans="1:10" x14ac:dyDescent="0.25">
      <c r="A6833">
        <v>782044</v>
      </c>
      <c r="B6833" t="s">
        <v>7189</v>
      </c>
      <c r="C6833" t="str">
        <f>"9789264114203"</f>
        <v>9789264114203</v>
      </c>
      <c r="D6833" t="str">
        <f>"9789264117051"</f>
        <v>9789264117051</v>
      </c>
      <c r="E6833" t="s">
        <v>1185</v>
      </c>
      <c r="F6833" t="s">
        <v>1186</v>
      </c>
      <c r="G6833" s="1">
        <v>40800</v>
      </c>
      <c r="H6833" s="1">
        <v>40815</v>
      </c>
      <c r="I6833" t="s">
        <v>12</v>
      </c>
      <c r="J6833" t="s">
        <v>17603</v>
      </c>
    </row>
    <row r="6834" spans="1:10" x14ac:dyDescent="0.25">
      <c r="A6834">
        <v>783475</v>
      </c>
      <c r="B6834" t="s">
        <v>7190</v>
      </c>
      <c r="C6834" t="str">
        <f>"9781848851894"</f>
        <v>9781848851894</v>
      </c>
      <c r="D6834" t="str">
        <f>"9780857731142"</f>
        <v>9780857731142</v>
      </c>
      <c r="E6834" t="s">
        <v>6867</v>
      </c>
      <c r="F6834" t="s">
        <v>6867</v>
      </c>
      <c r="G6834" s="1">
        <v>40721</v>
      </c>
      <c r="H6834" s="1">
        <v>42346</v>
      </c>
      <c r="I6834" t="s">
        <v>12</v>
      </c>
      <c r="J6834" t="s">
        <v>17604</v>
      </c>
    </row>
    <row r="6835" spans="1:10" x14ac:dyDescent="0.25">
      <c r="A6835">
        <v>783476</v>
      </c>
      <c r="B6835" t="s">
        <v>7191</v>
      </c>
      <c r="C6835" t="str">
        <f>"9781845118419"</f>
        <v>9781845118419</v>
      </c>
      <c r="D6835" t="str">
        <f>"9780857731234"</f>
        <v>9780857731234</v>
      </c>
      <c r="E6835" t="s">
        <v>6867</v>
      </c>
      <c r="F6835" t="s">
        <v>6867</v>
      </c>
      <c r="G6835" s="1">
        <v>40721</v>
      </c>
      <c r="H6835" s="1">
        <v>42346</v>
      </c>
      <c r="I6835" t="s">
        <v>12</v>
      </c>
      <c r="J6835" t="s">
        <v>17605</v>
      </c>
    </row>
    <row r="6836" spans="1:10" x14ac:dyDescent="0.25">
      <c r="A6836">
        <v>784077</v>
      </c>
      <c r="B6836" t="s">
        <v>7192</v>
      </c>
      <c r="C6836" t="str">
        <f>"9780833037404"</f>
        <v>9780833037404</v>
      </c>
      <c r="D6836" t="str">
        <f>"9780833040671"</f>
        <v>9780833040671</v>
      </c>
      <c r="E6836" t="s">
        <v>1063</v>
      </c>
      <c r="F6836" t="s">
        <v>1064</v>
      </c>
      <c r="G6836" s="1">
        <v>38528</v>
      </c>
      <c r="H6836" s="1">
        <v>40820</v>
      </c>
      <c r="I6836" t="s">
        <v>12</v>
      </c>
      <c r="J6836" t="s">
        <v>17606</v>
      </c>
    </row>
    <row r="6837" spans="1:10" x14ac:dyDescent="0.25">
      <c r="A6837">
        <v>784079</v>
      </c>
      <c r="B6837" t="s">
        <v>7193</v>
      </c>
      <c r="C6837" t="str">
        <f>"9780833038449"</f>
        <v>9780833038449</v>
      </c>
      <c r="D6837" t="str">
        <f>"9780833040978"</f>
        <v>9780833040978</v>
      </c>
      <c r="E6837" t="s">
        <v>1063</v>
      </c>
      <c r="F6837" t="s">
        <v>1064</v>
      </c>
      <c r="G6837" s="1">
        <v>38657</v>
      </c>
      <c r="H6837" s="1">
        <v>40820</v>
      </c>
      <c r="I6837" t="s">
        <v>12</v>
      </c>
      <c r="J6837" t="s">
        <v>17607</v>
      </c>
    </row>
    <row r="6838" spans="1:10" x14ac:dyDescent="0.25">
      <c r="A6838">
        <v>784152</v>
      </c>
      <c r="B6838" t="s">
        <v>7194</v>
      </c>
      <c r="C6838" t="str">
        <f>"9780816655953"</f>
        <v>9780816655953</v>
      </c>
      <c r="D6838" t="str">
        <f>"9780816676569"</f>
        <v>9780816676569</v>
      </c>
      <c r="E6838" t="s">
        <v>3970</v>
      </c>
      <c r="F6838" t="s">
        <v>3970</v>
      </c>
      <c r="G6838" s="1">
        <v>40690</v>
      </c>
      <c r="H6838" s="1">
        <v>40820</v>
      </c>
      <c r="I6838" t="s">
        <v>12</v>
      </c>
      <c r="J6838" t="s">
        <v>17608</v>
      </c>
    </row>
    <row r="6839" spans="1:10" x14ac:dyDescent="0.25">
      <c r="A6839">
        <v>784159</v>
      </c>
      <c r="B6839" t="s">
        <v>7195</v>
      </c>
      <c r="C6839" t="str">
        <f>"9780816676415"</f>
        <v>9780816676415</v>
      </c>
      <c r="D6839" t="str">
        <f>"9780816678709"</f>
        <v>9780816678709</v>
      </c>
      <c r="E6839" t="s">
        <v>3970</v>
      </c>
      <c r="F6839" t="s">
        <v>4676</v>
      </c>
      <c r="G6839" s="1">
        <v>40792</v>
      </c>
      <c r="H6839" s="1">
        <v>40820</v>
      </c>
      <c r="I6839" t="s">
        <v>12</v>
      </c>
      <c r="J6839" t="s">
        <v>17609</v>
      </c>
    </row>
    <row r="6840" spans="1:10" x14ac:dyDescent="0.25">
      <c r="A6840">
        <v>784227</v>
      </c>
      <c r="B6840" t="s">
        <v>7196</v>
      </c>
      <c r="C6840" t="str">
        <f>"9789027224422"</f>
        <v>9789027224422</v>
      </c>
      <c r="D6840" t="str">
        <f>"9789027285195"</f>
        <v>9789027285195</v>
      </c>
      <c r="E6840" t="s">
        <v>6670</v>
      </c>
      <c r="F6840" t="s">
        <v>6670</v>
      </c>
      <c r="G6840" s="1">
        <v>40744</v>
      </c>
      <c r="H6840" s="1">
        <v>40820</v>
      </c>
      <c r="I6840" t="s">
        <v>12</v>
      </c>
      <c r="J6840" t="s">
        <v>17610</v>
      </c>
    </row>
    <row r="6841" spans="1:10" x14ac:dyDescent="0.25">
      <c r="A6841">
        <v>784234</v>
      </c>
      <c r="B6841" t="s">
        <v>7197</v>
      </c>
      <c r="C6841" t="str">
        <f>"9789027256126"</f>
        <v>9789027256126</v>
      </c>
      <c r="D6841" t="str">
        <f>"9789027286659"</f>
        <v>9789027286659</v>
      </c>
      <c r="E6841" t="s">
        <v>6670</v>
      </c>
      <c r="F6841" t="s">
        <v>6670</v>
      </c>
      <c r="G6841" s="1">
        <v>40723</v>
      </c>
      <c r="H6841" s="1">
        <v>40820</v>
      </c>
      <c r="I6841" t="s">
        <v>12</v>
      </c>
      <c r="J6841" t="s">
        <v>17611</v>
      </c>
    </row>
    <row r="6842" spans="1:10" x14ac:dyDescent="0.25">
      <c r="A6842">
        <v>785505</v>
      </c>
      <c r="B6842" t="s">
        <v>7198</v>
      </c>
      <c r="C6842" t="str">
        <f>"9781855756304"</f>
        <v>9781855756304</v>
      </c>
      <c r="D6842" t="str">
        <f>"9781849409346"</f>
        <v>9781849409346</v>
      </c>
      <c r="E6842" t="s">
        <v>15</v>
      </c>
      <c r="F6842" t="s">
        <v>16</v>
      </c>
      <c r="G6842" s="1">
        <v>41274</v>
      </c>
      <c r="H6842" s="1">
        <v>40823</v>
      </c>
      <c r="I6842" t="s">
        <v>12</v>
      </c>
      <c r="J6842" t="s">
        <v>17612</v>
      </c>
    </row>
    <row r="6843" spans="1:10" x14ac:dyDescent="0.25">
      <c r="A6843">
        <v>786925</v>
      </c>
      <c r="B6843" t="s">
        <v>7199</v>
      </c>
      <c r="C6843" t="str">
        <f>"9789027206350"</f>
        <v>9789027206350</v>
      </c>
      <c r="D6843" t="str">
        <f>"9789027284167"</f>
        <v>9789027284167</v>
      </c>
      <c r="E6843" t="s">
        <v>6670</v>
      </c>
      <c r="F6843" t="s">
        <v>6670</v>
      </c>
      <c r="G6843" s="1">
        <v>40831</v>
      </c>
      <c r="H6843" s="1">
        <v>40830</v>
      </c>
      <c r="I6843" t="s">
        <v>12</v>
      </c>
      <c r="J6843" t="s">
        <v>17613</v>
      </c>
    </row>
    <row r="6844" spans="1:10" x14ac:dyDescent="0.25">
      <c r="A6844">
        <v>788050</v>
      </c>
      <c r="B6844" t="s">
        <v>7200</v>
      </c>
      <c r="C6844" t="str">
        <f>"9781855758223"</f>
        <v>9781855758223</v>
      </c>
      <c r="D6844" t="str">
        <f>"9781849409063"</f>
        <v>9781849409063</v>
      </c>
      <c r="E6844" t="s">
        <v>15</v>
      </c>
      <c r="F6844" t="s">
        <v>16</v>
      </c>
      <c r="G6844" s="1">
        <v>40908</v>
      </c>
      <c r="H6844" s="1">
        <v>40831</v>
      </c>
      <c r="I6844" t="s">
        <v>12</v>
      </c>
      <c r="J6844" t="s">
        <v>17614</v>
      </c>
    </row>
    <row r="6845" spans="1:10" x14ac:dyDescent="0.25">
      <c r="A6845">
        <v>792127</v>
      </c>
      <c r="B6845" t="s">
        <v>7201</v>
      </c>
      <c r="C6845" t="str">
        <f>"9780813124926"</f>
        <v>9780813124926</v>
      </c>
      <c r="D6845" t="str">
        <f>"9780813172965"</f>
        <v>9780813172965</v>
      </c>
      <c r="E6845" t="s">
        <v>7202</v>
      </c>
      <c r="F6845" t="s">
        <v>7202</v>
      </c>
      <c r="G6845" s="1">
        <v>39570</v>
      </c>
      <c r="H6845" s="1">
        <v>40835</v>
      </c>
      <c r="I6845" t="s">
        <v>12</v>
      </c>
      <c r="J6845" t="s">
        <v>17615</v>
      </c>
    </row>
    <row r="6846" spans="1:10" x14ac:dyDescent="0.25">
      <c r="A6846">
        <v>792138</v>
      </c>
      <c r="B6846" t="s">
        <v>7203</v>
      </c>
      <c r="C6846" t="str">
        <f>"9780813125220"</f>
        <v>9780813125220</v>
      </c>
      <c r="D6846" t="str">
        <f>"9780813173191"</f>
        <v>9780813173191</v>
      </c>
      <c r="E6846" t="s">
        <v>7202</v>
      </c>
      <c r="F6846" t="s">
        <v>7202</v>
      </c>
      <c r="G6846" s="1">
        <v>39801</v>
      </c>
      <c r="H6846" s="1">
        <v>40835</v>
      </c>
      <c r="I6846" t="s">
        <v>12</v>
      </c>
      <c r="J6846" t="s">
        <v>17616</v>
      </c>
    </row>
    <row r="6847" spans="1:10" x14ac:dyDescent="0.25">
      <c r="A6847">
        <v>792173</v>
      </c>
      <c r="B6847" t="s">
        <v>7204</v>
      </c>
      <c r="C6847" t="str">
        <f>"9780813124063"</f>
        <v>9780813124063</v>
      </c>
      <c r="D6847" t="str">
        <f>"9780813171470"</f>
        <v>9780813171470</v>
      </c>
      <c r="E6847" t="s">
        <v>7202</v>
      </c>
      <c r="F6847" t="s">
        <v>7202</v>
      </c>
      <c r="G6847" s="1">
        <v>39017</v>
      </c>
      <c r="H6847" s="1">
        <v>40834</v>
      </c>
      <c r="I6847" t="s">
        <v>12</v>
      </c>
      <c r="J6847" t="s">
        <v>17617</v>
      </c>
    </row>
    <row r="6848" spans="1:10" x14ac:dyDescent="0.25">
      <c r="A6848">
        <v>792208</v>
      </c>
      <c r="B6848" t="s">
        <v>7205</v>
      </c>
      <c r="C6848" t="str">
        <f>"9780813124056"</f>
        <v>9780813124056</v>
      </c>
      <c r="D6848" t="str">
        <f>"9780813171463"</f>
        <v>9780813171463</v>
      </c>
      <c r="E6848" t="s">
        <v>7202</v>
      </c>
      <c r="F6848" t="s">
        <v>7202</v>
      </c>
      <c r="G6848" s="1">
        <v>38964</v>
      </c>
      <c r="H6848" s="1">
        <v>40834</v>
      </c>
      <c r="I6848" t="s">
        <v>12</v>
      </c>
      <c r="J6848" t="s">
        <v>17618</v>
      </c>
    </row>
    <row r="6849" spans="1:10" x14ac:dyDescent="0.25">
      <c r="A6849">
        <v>792248</v>
      </c>
      <c r="B6849" t="s">
        <v>7206</v>
      </c>
      <c r="C6849" t="str">
        <f>"9780813125268"</f>
        <v>9780813125268</v>
      </c>
      <c r="D6849" t="str">
        <f>"9780813173238"</f>
        <v>9780813173238</v>
      </c>
      <c r="E6849" t="s">
        <v>7202</v>
      </c>
      <c r="F6849" t="s">
        <v>7202</v>
      </c>
      <c r="G6849" s="1">
        <v>39794</v>
      </c>
      <c r="H6849" s="1">
        <v>40864</v>
      </c>
      <c r="I6849" t="s">
        <v>12</v>
      </c>
      <c r="J6849" t="s">
        <v>17619</v>
      </c>
    </row>
    <row r="6850" spans="1:10" x14ac:dyDescent="0.25">
      <c r="A6850">
        <v>792250</v>
      </c>
      <c r="B6850" t="s">
        <v>7207</v>
      </c>
      <c r="C6850" t="str">
        <f>"9780813125381"</f>
        <v>9780813125381</v>
      </c>
      <c r="D6850" t="str">
        <f>"9780813173344"</f>
        <v>9780813173344</v>
      </c>
      <c r="E6850" t="s">
        <v>7202</v>
      </c>
      <c r="F6850" t="s">
        <v>7202</v>
      </c>
      <c r="G6850" s="1">
        <v>39920</v>
      </c>
      <c r="H6850" s="1">
        <v>40864</v>
      </c>
      <c r="I6850" t="s">
        <v>12</v>
      </c>
      <c r="J6850" t="s">
        <v>17620</v>
      </c>
    </row>
    <row r="6851" spans="1:10" x14ac:dyDescent="0.25">
      <c r="A6851">
        <v>792312</v>
      </c>
      <c r="B6851" t="s">
        <v>7208</v>
      </c>
      <c r="C6851" t="str">
        <f>"9780813123547"</f>
        <v>9780813123547</v>
      </c>
      <c r="D6851" t="str">
        <f>"9780813171807"</f>
        <v>9780813171807</v>
      </c>
      <c r="E6851" t="s">
        <v>7202</v>
      </c>
      <c r="F6851" t="s">
        <v>7202</v>
      </c>
      <c r="G6851" s="1">
        <v>38667</v>
      </c>
      <c r="H6851" s="1">
        <v>40835</v>
      </c>
      <c r="I6851" t="s">
        <v>12</v>
      </c>
      <c r="J6851" t="s">
        <v>17621</v>
      </c>
    </row>
    <row r="6852" spans="1:10" x14ac:dyDescent="0.25">
      <c r="A6852">
        <v>793272</v>
      </c>
      <c r="B6852" t="s">
        <v>7209</v>
      </c>
      <c r="C6852" t="str">
        <f>"9780567299154"</f>
        <v>9780567299154</v>
      </c>
      <c r="D6852" t="str">
        <f>"9781441138378"</f>
        <v>9781441138378</v>
      </c>
      <c r="E6852" t="s">
        <v>4180</v>
      </c>
      <c r="F6852" t="s">
        <v>4180</v>
      </c>
      <c r="G6852" s="1">
        <v>41417</v>
      </c>
      <c r="H6852" s="1">
        <v>41844</v>
      </c>
      <c r="I6852" t="s">
        <v>12</v>
      </c>
      <c r="J6852" t="s">
        <v>17622</v>
      </c>
    </row>
    <row r="6853" spans="1:10" x14ac:dyDescent="0.25">
      <c r="A6853">
        <v>793274</v>
      </c>
      <c r="B6853" t="s">
        <v>7210</v>
      </c>
      <c r="C6853" t="str">
        <f>"9781472512109"</f>
        <v>9781472512109</v>
      </c>
      <c r="D6853" t="str">
        <f>"9781441130013"</f>
        <v>9781441130013</v>
      </c>
      <c r="E6853" t="s">
        <v>4180</v>
      </c>
      <c r="F6853" t="s">
        <v>4180</v>
      </c>
      <c r="G6853" s="1">
        <v>40885</v>
      </c>
      <c r="H6853" s="1">
        <v>41844</v>
      </c>
      <c r="I6853" t="s">
        <v>12</v>
      </c>
      <c r="J6853" t="s">
        <v>17623</v>
      </c>
    </row>
    <row r="6854" spans="1:10" x14ac:dyDescent="0.25">
      <c r="A6854">
        <v>793280</v>
      </c>
      <c r="B6854" t="s">
        <v>7211</v>
      </c>
      <c r="C6854" t="str">
        <f>"9781623567446"</f>
        <v>9781623567446</v>
      </c>
      <c r="D6854" t="str">
        <f>"9781441150462"</f>
        <v>9781441150462</v>
      </c>
      <c r="E6854" t="s">
        <v>6601</v>
      </c>
      <c r="F6854" t="s">
        <v>6578</v>
      </c>
      <c r="G6854" s="1">
        <v>41389</v>
      </c>
      <c r="H6854" s="1">
        <v>41845</v>
      </c>
      <c r="I6854" t="s">
        <v>12</v>
      </c>
      <c r="J6854" t="s">
        <v>17624</v>
      </c>
    </row>
    <row r="6855" spans="1:10" x14ac:dyDescent="0.25">
      <c r="A6855">
        <v>793285</v>
      </c>
      <c r="B6855" t="s">
        <v>7212</v>
      </c>
      <c r="C6855" t="str">
        <f>"9781441121752"</f>
        <v>9781441121752</v>
      </c>
      <c r="D6855" t="str">
        <f>"9781441136596"</f>
        <v>9781441136596</v>
      </c>
      <c r="E6855" t="s">
        <v>1400</v>
      </c>
      <c r="F6855" t="s">
        <v>6578</v>
      </c>
      <c r="G6855" s="1">
        <v>40815</v>
      </c>
      <c r="H6855" s="1">
        <v>42095</v>
      </c>
      <c r="I6855" t="s">
        <v>12</v>
      </c>
      <c r="J6855" t="s">
        <v>17625</v>
      </c>
    </row>
    <row r="6856" spans="1:10" x14ac:dyDescent="0.25">
      <c r="A6856">
        <v>793286</v>
      </c>
      <c r="B6856" t="s">
        <v>7213</v>
      </c>
      <c r="C6856" t="str">
        <f>"9780567551740"</f>
        <v>9780567551740</v>
      </c>
      <c r="D6856" t="str">
        <f>"9781441128089"</f>
        <v>9781441128089</v>
      </c>
      <c r="E6856" t="s">
        <v>4180</v>
      </c>
      <c r="F6856" t="s">
        <v>4180</v>
      </c>
      <c r="G6856" s="1">
        <v>41417</v>
      </c>
      <c r="H6856" s="1">
        <v>41844</v>
      </c>
      <c r="I6856" t="s">
        <v>12</v>
      </c>
      <c r="J6856" t="s">
        <v>17626</v>
      </c>
    </row>
    <row r="6857" spans="1:10" x14ac:dyDescent="0.25">
      <c r="A6857">
        <v>793288</v>
      </c>
      <c r="B6857" t="s">
        <v>7214</v>
      </c>
      <c r="C6857" t="str">
        <f>"9781472507280"</f>
        <v>9781472507280</v>
      </c>
      <c r="D6857" t="str">
        <f>"9781441175229"</f>
        <v>9781441175229</v>
      </c>
      <c r="E6857" t="s">
        <v>4180</v>
      </c>
      <c r="F6857" t="s">
        <v>4180</v>
      </c>
      <c r="G6857" s="1">
        <v>40871</v>
      </c>
      <c r="H6857" s="1">
        <v>41845</v>
      </c>
      <c r="I6857" t="s">
        <v>12</v>
      </c>
      <c r="J6857" t="s">
        <v>17627</v>
      </c>
    </row>
    <row r="6858" spans="1:10" x14ac:dyDescent="0.25">
      <c r="A6858">
        <v>794520</v>
      </c>
      <c r="B6858" t="s">
        <v>7215</v>
      </c>
      <c r="C6858" t="str">
        <f>"9789027211859"</f>
        <v>9789027211859</v>
      </c>
      <c r="D6858" t="str">
        <f>"9789027285003"</f>
        <v>9789027285003</v>
      </c>
      <c r="E6858" t="s">
        <v>6670</v>
      </c>
      <c r="F6858" t="s">
        <v>6670</v>
      </c>
      <c r="G6858" s="1">
        <v>40834</v>
      </c>
      <c r="H6858" s="1">
        <v>40961</v>
      </c>
      <c r="I6858" t="s">
        <v>12</v>
      </c>
      <c r="J6858" t="s">
        <v>17628</v>
      </c>
    </row>
    <row r="6859" spans="1:10" x14ac:dyDescent="0.25">
      <c r="A6859">
        <v>794521</v>
      </c>
      <c r="B6859" t="s">
        <v>7216</v>
      </c>
      <c r="C6859" t="str">
        <f>"9789027218087"</f>
        <v>9789027218087</v>
      </c>
      <c r="D6859" t="str">
        <f>"9789027283238"</f>
        <v>9789027283238</v>
      </c>
      <c r="E6859" t="s">
        <v>6670</v>
      </c>
      <c r="F6859" t="s">
        <v>6670</v>
      </c>
      <c r="G6859" s="1">
        <v>40831</v>
      </c>
      <c r="H6859" s="1">
        <v>40837</v>
      </c>
      <c r="I6859" t="s">
        <v>12</v>
      </c>
      <c r="J6859" t="s">
        <v>17629</v>
      </c>
    </row>
    <row r="6860" spans="1:10" x14ac:dyDescent="0.25">
      <c r="A6860">
        <v>795366</v>
      </c>
      <c r="B6860" t="s">
        <v>7217</v>
      </c>
      <c r="C6860" t="str">
        <f>"9789027223869"</f>
        <v>9789027223869</v>
      </c>
      <c r="D6860" t="str">
        <f>"9789027284549"</f>
        <v>9789027284549</v>
      </c>
      <c r="E6860" t="s">
        <v>6670</v>
      </c>
      <c r="F6860" t="s">
        <v>6670</v>
      </c>
      <c r="G6860" s="1">
        <v>40862</v>
      </c>
      <c r="H6860" s="1">
        <v>40895</v>
      </c>
      <c r="I6860" t="s">
        <v>12</v>
      </c>
      <c r="J6860" t="s">
        <v>17630</v>
      </c>
    </row>
    <row r="6861" spans="1:10" x14ac:dyDescent="0.25">
      <c r="A6861">
        <v>795458</v>
      </c>
      <c r="B6861" t="s">
        <v>7218</v>
      </c>
      <c r="C6861" t="str">
        <f>"9781628929539"</f>
        <v>9781628929539</v>
      </c>
      <c r="D6861" t="str">
        <f>"9781441197238"</f>
        <v>9781441197238</v>
      </c>
      <c r="E6861" t="s">
        <v>6601</v>
      </c>
      <c r="F6861" t="s">
        <v>6578</v>
      </c>
      <c r="G6861" s="1">
        <v>41767</v>
      </c>
      <c r="H6861" s="1">
        <v>41845</v>
      </c>
      <c r="I6861" t="s">
        <v>12</v>
      </c>
      <c r="J6861" t="s">
        <v>17631</v>
      </c>
    </row>
    <row r="6862" spans="1:10" x14ac:dyDescent="0.25">
      <c r="A6862">
        <v>795491</v>
      </c>
      <c r="B6862" t="s">
        <v>7219</v>
      </c>
      <c r="C6862" t="str">
        <f>"9781848138742"</f>
        <v>9781848138742</v>
      </c>
      <c r="D6862" t="str">
        <f>"9781848138766"</f>
        <v>9781848138766</v>
      </c>
      <c r="E6862" t="s">
        <v>4626</v>
      </c>
      <c r="F6862" t="s">
        <v>4626</v>
      </c>
      <c r="G6862" s="1">
        <v>40857</v>
      </c>
      <c r="H6862" s="1">
        <v>40893</v>
      </c>
      <c r="I6862" t="s">
        <v>12</v>
      </c>
      <c r="J6862" t="s">
        <v>17632</v>
      </c>
    </row>
    <row r="6863" spans="1:10" x14ac:dyDescent="0.25">
      <c r="A6863">
        <v>795751</v>
      </c>
      <c r="B6863" t="s">
        <v>7220</v>
      </c>
      <c r="C6863" t="str">
        <f>"9781780490113"</f>
        <v>9781780490113</v>
      </c>
      <c r="D6863" t="str">
        <f>"9781849409407"</f>
        <v>9781849409407</v>
      </c>
      <c r="E6863" t="s">
        <v>7028</v>
      </c>
      <c r="F6863" t="s">
        <v>7089</v>
      </c>
      <c r="G6863" s="1">
        <v>40847</v>
      </c>
      <c r="H6863" s="1">
        <v>40996</v>
      </c>
      <c r="I6863" t="s">
        <v>12</v>
      </c>
      <c r="J6863" t="s">
        <v>17633</v>
      </c>
    </row>
    <row r="6864" spans="1:10" x14ac:dyDescent="0.25">
      <c r="A6864">
        <v>797500</v>
      </c>
      <c r="B6864" t="s">
        <v>7221</v>
      </c>
      <c r="C6864" t="str">
        <f>"9780567052766"</f>
        <v>9780567052766</v>
      </c>
      <c r="D6864" t="str">
        <f>"9780567193377"</f>
        <v>9780567193377</v>
      </c>
      <c r="E6864" t="s">
        <v>4180</v>
      </c>
      <c r="F6864" t="s">
        <v>6548</v>
      </c>
      <c r="G6864" s="1">
        <v>40906</v>
      </c>
      <c r="H6864" s="1">
        <v>41845</v>
      </c>
      <c r="I6864" t="s">
        <v>12</v>
      </c>
      <c r="J6864" t="s">
        <v>17634</v>
      </c>
    </row>
    <row r="6865" spans="1:10" x14ac:dyDescent="0.25">
      <c r="A6865">
        <v>797502</v>
      </c>
      <c r="B6865" t="s">
        <v>7222</v>
      </c>
      <c r="C6865" t="str">
        <f>"9781441172266"</f>
        <v>9781441172266</v>
      </c>
      <c r="D6865" t="str">
        <f>"9781441102591"</f>
        <v>9781441102591</v>
      </c>
      <c r="E6865" t="s">
        <v>6601</v>
      </c>
      <c r="F6865" t="s">
        <v>6578</v>
      </c>
      <c r="G6865" s="1">
        <v>40836</v>
      </c>
      <c r="H6865" s="1">
        <v>41841</v>
      </c>
      <c r="I6865" t="s">
        <v>12</v>
      </c>
      <c r="J6865" t="s">
        <v>17635</v>
      </c>
    </row>
    <row r="6866" spans="1:10" x14ac:dyDescent="0.25">
      <c r="A6866">
        <v>797554</v>
      </c>
      <c r="B6866" t="s">
        <v>7223</v>
      </c>
      <c r="C6866" t="str">
        <f>"9781571135018"</f>
        <v>9781571135018</v>
      </c>
      <c r="D6866" t="str">
        <f>"9781571137609"</f>
        <v>9781571137609</v>
      </c>
      <c r="E6866" t="s">
        <v>6829</v>
      </c>
      <c r="F6866" t="s">
        <v>6830</v>
      </c>
      <c r="G6866" s="1">
        <v>40862</v>
      </c>
      <c r="H6866" s="1">
        <v>40996</v>
      </c>
      <c r="I6866" t="s">
        <v>12</v>
      </c>
      <c r="J6866" t="s">
        <v>17636</v>
      </c>
    </row>
    <row r="6867" spans="1:10" x14ac:dyDescent="0.25">
      <c r="A6867">
        <v>797697</v>
      </c>
      <c r="B6867" t="s">
        <v>7224</v>
      </c>
      <c r="C6867" t="str">
        <f>"9789264115613"</f>
        <v>9789264115613</v>
      </c>
      <c r="D6867" t="str">
        <f>"9789264115620"</f>
        <v>9789264115620</v>
      </c>
      <c r="E6867" t="s">
        <v>1185</v>
      </c>
      <c r="F6867" t="s">
        <v>7225</v>
      </c>
      <c r="G6867" s="1">
        <v>40820</v>
      </c>
      <c r="H6867" s="1">
        <v>40996</v>
      </c>
      <c r="I6867" t="s">
        <v>12</v>
      </c>
      <c r="J6867" t="s">
        <v>17637</v>
      </c>
    </row>
    <row r="6868" spans="1:10" x14ac:dyDescent="0.25">
      <c r="A6868">
        <v>798384</v>
      </c>
      <c r="B6868" t="s">
        <v>7226</v>
      </c>
      <c r="C6868" t="str">
        <f>"9780462099736"</f>
        <v>9780462099736</v>
      </c>
      <c r="D6868" t="str">
        <f>"9789814312028"</f>
        <v>9789814312028</v>
      </c>
      <c r="E6868" t="s">
        <v>6780</v>
      </c>
      <c r="F6868" t="s">
        <v>7227</v>
      </c>
      <c r="G6868" s="1">
        <v>39814</v>
      </c>
      <c r="H6868" s="1">
        <v>41809</v>
      </c>
      <c r="I6868" t="s">
        <v>12</v>
      </c>
      <c r="J6868" t="s">
        <v>17638</v>
      </c>
    </row>
    <row r="6869" spans="1:10" x14ac:dyDescent="0.25">
      <c r="A6869">
        <v>798385</v>
      </c>
      <c r="B6869" t="s">
        <v>7228</v>
      </c>
      <c r="C6869" t="str">
        <f>"9780462099422"</f>
        <v>9780462099422</v>
      </c>
      <c r="D6869" t="str">
        <f>"9789814312035"</f>
        <v>9789814312035</v>
      </c>
      <c r="E6869" t="s">
        <v>6780</v>
      </c>
      <c r="F6869" t="s">
        <v>7227</v>
      </c>
      <c r="G6869" s="1">
        <v>39814</v>
      </c>
      <c r="H6869" s="1">
        <v>41809</v>
      </c>
      <c r="I6869" t="s">
        <v>12</v>
      </c>
      <c r="J6869" t="s">
        <v>17639</v>
      </c>
    </row>
    <row r="6870" spans="1:10" x14ac:dyDescent="0.25">
      <c r="A6870">
        <v>798386</v>
      </c>
      <c r="B6870" t="s">
        <v>7229</v>
      </c>
      <c r="C6870" t="str">
        <f>"9780462099491"</f>
        <v>9780462099491</v>
      </c>
      <c r="D6870" t="str">
        <f>"9789814312042"</f>
        <v>9789814312042</v>
      </c>
      <c r="E6870" t="s">
        <v>6780</v>
      </c>
      <c r="F6870" t="s">
        <v>7227</v>
      </c>
      <c r="G6870" s="1">
        <v>40179</v>
      </c>
      <c r="H6870" s="1">
        <v>41809</v>
      </c>
      <c r="I6870" t="s">
        <v>12</v>
      </c>
      <c r="J6870" t="s">
        <v>17640</v>
      </c>
    </row>
    <row r="6871" spans="1:10" x14ac:dyDescent="0.25">
      <c r="A6871">
        <v>798387</v>
      </c>
      <c r="B6871" t="s">
        <v>7230</v>
      </c>
      <c r="C6871" t="str">
        <f>"9780462099613"</f>
        <v>9780462099613</v>
      </c>
      <c r="D6871" t="str">
        <f>"9789814312059"</f>
        <v>9789814312059</v>
      </c>
      <c r="E6871" t="s">
        <v>6780</v>
      </c>
      <c r="F6871" t="s">
        <v>7227</v>
      </c>
      <c r="G6871" s="1">
        <v>40179</v>
      </c>
      <c r="H6871" s="1">
        <v>41809</v>
      </c>
      <c r="I6871" t="s">
        <v>12</v>
      </c>
      <c r="J6871" t="s">
        <v>17641</v>
      </c>
    </row>
    <row r="6872" spans="1:10" x14ac:dyDescent="0.25">
      <c r="A6872">
        <v>798388</v>
      </c>
      <c r="B6872" t="s">
        <v>7231</v>
      </c>
      <c r="C6872" t="str">
        <f>"9780462099439"</f>
        <v>9780462099439</v>
      </c>
      <c r="D6872" t="str">
        <f>"9789814312066"</f>
        <v>9789814312066</v>
      </c>
      <c r="E6872" t="s">
        <v>6780</v>
      </c>
      <c r="F6872" t="s">
        <v>7227</v>
      </c>
      <c r="G6872" s="1">
        <v>39814</v>
      </c>
      <c r="H6872" s="1">
        <v>41809</v>
      </c>
      <c r="I6872" t="s">
        <v>12</v>
      </c>
      <c r="J6872" t="s">
        <v>17642</v>
      </c>
    </row>
    <row r="6873" spans="1:10" x14ac:dyDescent="0.25">
      <c r="A6873">
        <v>798415</v>
      </c>
      <c r="B6873" t="s">
        <v>7232</v>
      </c>
      <c r="C6873" t="str">
        <f>"9780462099675"</f>
        <v>9780462099675</v>
      </c>
      <c r="D6873" t="str">
        <f>"9789814312271"</f>
        <v>9789814312271</v>
      </c>
      <c r="E6873" t="s">
        <v>6780</v>
      </c>
      <c r="F6873" t="s">
        <v>7227</v>
      </c>
      <c r="G6873" s="1">
        <v>39814</v>
      </c>
      <c r="H6873" s="1">
        <v>41121</v>
      </c>
      <c r="I6873" t="s">
        <v>12</v>
      </c>
      <c r="J6873" t="s">
        <v>17643</v>
      </c>
    </row>
    <row r="6874" spans="1:10" x14ac:dyDescent="0.25">
      <c r="A6874">
        <v>798427</v>
      </c>
      <c r="B6874" t="s">
        <v>7233</v>
      </c>
      <c r="C6874" t="str">
        <f>"9780462099743"</f>
        <v>9780462099743</v>
      </c>
      <c r="D6874" t="str">
        <f>"9789814312134"</f>
        <v>9789814312134</v>
      </c>
      <c r="E6874" t="s">
        <v>6780</v>
      </c>
      <c r="F6874" t="s">
        <v>7227</v>
      </c>
      <c r="G6874" s="1">
        <v>39814</v>
      </c>
      <c r="H6874" s="1">
        <v>41053</v>
      </c>
      <c r="I6874" t="s">
        <v>12</v>
      </c>
      <c r="J6874" t="s">
        <v>17644</v>
      </c>
    </row>
    <row r="6875" spans="1:10" x14ac:dyDescent="0.25">
      <c r="A6875">
        <v>799759</v>
      </c>
      <c r="B6875" t="s">
        <v>7234</v>
      </c>
      <c r="C6875" t="str">
        <f>"9789027224477"</f>
        <v>9789027224477</v>
      </c>
      <c r="D6875" t="str">
        <f>"9789027283023"</f>
        <v>9789027283023</v>
      </c>
      <c r="E6875" t="s">
        <v>6670</v>
      </c>
      <c r="F6875" t="s">
        <v>6670</v>
      </c>
      <c r="G6875" s="1">
        <v>40862</v>
      </c>
      <c r="H6875" s="1">
        <v>40895</v>
      </c>
      <c r="I6875" t="s">
        <v>12</v>
      </c>
      <c r="J6875" t="s">
        <v>17645</v>
      </c>
    </row>
    <row r="6876" spans="1:10" x14ac:dyDescent="0.25">
      <c r="A6876">
        <v>799825</v>
      </c>
      <c r="B6876" t="s">
        <v>7235</v>
      </c>
      <c r="C6876" t="str">
        <f>"9781855757677"</f>
        <v>9781855757677</v>
      </c>
      <c r="D6876" t="str">
        <f>"9781849409414"</f>
        <v>9781849409414</v>
      </c>
      <c r="E6876" t="s">
        <v>15</v>
      </c>
      <c r="F6876" t="s">
        <v>16</v>
      </c>
      <c r="G6876" s="1">
        <v>41274</v>
      </c>
      <c r="H6876" s="1">
        <v>40996</v>
      </c>
      <c r="I6876" t="s">
        <v>12</v>
      </c>
      <c r="J6876" t="s">
        <v>17646</v>
      </c>
    </row>
    <row r="6877" spans="1:10" x14ac:dyDescent="0.25">
      <c r="A6877">
        <v>800219</v>
      </c>
      <c r="B6877" t="s">
        <v>7236</v>
      </c>
      <c r="C6877" t="str">
        <f>"9789027224453"</f>
        <v>9789027224453</v>
      </c>
      <c r="D6877" t="str">
        <f>"9789027284112"</f>
        <v>9789027284112</v>
      </c>
      <c r="E6877" t="s">
        <v>6670</v>
      </c>
      <c r="F6877" t="s">
        <v>6670</v>
      </c>
      <c r="G6877" s="1">
        <v>40862</v>
      </c>
      <c r="H6877" s="1">
        <v>40895</v>
      </c>
      <c r="I6877" t="s">
        <v>12</v>
      </c>
      <c r="J6877" t="s">
        <v>17647</v>
      </c>
    </row>
    <row r="6878" spans="1:10" x14ac:dyDescent="0.25">
      <c r="A6878">
        <v>801299</v>
      </c>
      <c r="B6878" t="s">
        <v>7237</v>
      </c>
      <c r="C6878" t="str">
        <f>"9789027223876"</f>
        <v>9789027223876</v>
      </c>
      <c r="D6878" t="str">
        <f>"9789027284518"</f>
        <v>9789027284518</v>
      </c>
      <c r="E6878" t="s">
        <v>6670</v>
      </c>
      <c r="F6878" t="s">
        <v>6670</v>
      </c>
      <c r="G6878" s="1">
        <v>40862</v>
      </c>
      <c r="H6878" s="1">
        <v>40886</v>
      </c>
      <c r="I6878" t="s">
        <v>12</v>
      </c>
      <c r="J6878" t="s">
        <v>17648</v>
      </c>
    </row>
    <row r="6879" spans="1:10" x14ac:dyDescent="0.25">
      <c r="A6879">
        <v>802022</v>
      </c>
      <c r="B6879" t="s">
        <v>7238</v>
      </c>
      <c r="C6879" t="str">
        <f>"9780804771672"</f>
        <v>9780804771672</v>
      </c>
      <c r="D6879" t="str">
        <f>"9780804778428"</f>
        <v>9780804778428</v>
      </c>
      <c r="E6879" t="s">
        <v>6225</v>
      </c>
      <c r="F6879" t="s">
        <v>6225</v>
      </c>
      <c r="G6879" s="1">
        <v>40877</v>
      </c>
      <c r="H6879" s="1">
        <v>40876</v>
      </c>
      <c r="I6879" t="s">
        <v>12</v>
      </c>
      <c r="J6879" t="s">
        <v>17649</v>
      </c>
    </row>
    <row r="6880" spans="1:10" x14ac:dyDescent="0.25">
      <c r="A6880">
        <v>802050</v>
      </c>
      <c r="B6880" t="s">
        <v>7239</v>
      </c>
      <c r="C6880" t="str">
        <f>"9781572245921"</f>
        <v>9781572245921</v>
      </c>
      <c r="D6880" t="str">
        <f>"9781608820948"</f>
        <v>9781608820948</v>
      </c>
      <c r="E6880" t="s">
        <v>7178</v>
      </c>
      <c r="F6880" t="s">
        <v>7178</v>
      </c>
      <c r="G6880" s="1">
        <v>39875</v>
      </c>
      <c r="H6880" s="1">
        <v>41004</v>
      </c>
      <c r="I6880" t="s">
        <v>12</v>
      </c>
      <c r="J6880" t="s">
        <v>17650</v>
      </c>
    </row>
    <row r="6881" spans="1:10" x14ac:dyDescent="0.25">
      <c r="A6881">
        <v>803203</v>
      </c>
      <c r="B6881" t="s">
        <v>7240</v>
      </c>
      <c r="C6881" t="str">
        <f>"9780521782883"</f>
        <v>9780521782883</v>
      </c>
      <c r="D6881" t="str">
        <f>"9780511158131"</f>
        <v>9780511158131</v>
      </c>
      <c r="E6881" t="s">
        <v>18</v>
      </c>
      <c r="F6881" t="s">
        <v>18</v>
      </c>
      <c r="G6881" s="1">
        <v>36965</v>
      </c>
      <c r="H6881" s="1">
        <v>40863</v>
      </c>
      <c r="I6881" t="s">
        <v>12</v>
      </c>
      <c r="J6881" t="s">
        <v>17651</v>
      </c>
    </row>
    <row r="6882" spans="1:10" x14ac:dyDescent="0.25">
      <c r="A6882">
        <v>805091</v>
      </c>
      <c r="B6882" t="s">
        <v>7241</v>
      </c>
      <c r="C6882" t="str">
        <f>"9781855758315"</f>
        <v>9781855758315</v>
      </c>
      <c r="D6882" t="str">
        <f>"9781849409445"</f>
        <v>9781849409445</v>
      </c>
      <c r="E6882" t="s">
        <v>15</v>
      </c>
      <c r="F6882" t="s">
        <v>16</v>
      </c>
      <c r="G6882" s="1">
        <v>41274</v>
      </c>
      <c r="H6882" s="1">
        <v>40865</v>
      </c>
      <c r="I6882" t="s">
        <v>12</v>
      </c>
      <c r="J6882" t="s">
        <v>17652</v>
      </c>
    </row>
    <row r="6883" spans="1:10" x14ac:dyDescent="0.25">
      <c r="A6883">
        <v>805092</v>
      </c>
      <c r="B6883" t="s">
        <v>7242</v>
      </c>
      <c r="C6883" t="str">
        <f>"9781855757974"</f>
        <v>9781855757974</v>
      </c>
      <c r="D6883" t="str">
        <f>"9781849409452"</f>
        <v>9781849409452</v>
      </c>
      <c r="E6883" t="s">
        <v>15</v>
      </c>
      <c r="F6883" t="s">
        <v>16</v>
      </c>
      <c r="G6883" s="1">
        <v>40877</v>
      </c>
      <c r="H6883" s="1">
        <v>40865</v>
      </c>
      <c r="I6883" t="s">
        <v>12</v>
      </c>
      <c r="J6883" t="s">
        <v>17653</v>
      </c>
    </row>
    <row r="6884" spans="1:10" x14ac:dyDescent="0.25">
      <c r="A6884">
        <v>805857</v>
      </c>
      <c r="B6884" t="s">
        <v>7243</v>
      </c>
      <c r="C6884" t="str">
        <f>"9780226768762"</f>
        <v>9780226768762</v>
      </c>
      <c r="D6884" t="str">
        <f>"9780226768786"</f>
        <v>9780226768786</v>
      </c>
      <c r="E6884" t="s">
        <v>5187</v>
      </c>
      <c r="F6884" t="s">
        <v>5187</v>
      </c>
      <c r="G6884" s="1">
        <v>40836</v>
      </c>
      <c r="H6884" s="1">
        <v>40869</v>
      </c>
      <c r="I6884" t="s">
        <v>12</v>
      </c>
      <c r="J6884" t="s">
        <v>17654</v>
      </c>
    </row>
    <row r="6885" spans="1:10" x14ac:dyDescent="0.25">
      <c r="A6885">
        <v>806567</v>
      </c>
      <c r="B6885" t="s">
        <v>7244</v>
      </c>
      <c r="C6885" t="str">
        <f>"9789027204332"</f>
        <v>9789027204332</v>
      </c>
      <c r="D6885" t="str">
        <f>"9789027281685"</f>
        <v>9789027281685</v>
      </c>
      <c r="E6885" t="s">
        <v>6670</v>
      </c>
      <c r="F6885" t="s">
        <v>6670</v>
      </c>
      <c r="G6885" s="1">
        <v>40892</v>
      </c>
      <c r="H6885" s="1">
        <v>40876</v>
      </c>
      <c r="I6885" t="s">
        <v>12</v>
      </c>
      <c r="J6885" t="s">
        <v>17655</v>
      </c>
    </row>
    <row r="6886" spans="1:10" x14ac:dyDescent="0.25">
      <c r="A6886">
        <v>809099</v>
      </c>
      <c r="B6886" t="s">
        <v>7245</v>
      </c>
      <c r="C6886" t="str">
        <f>"9789220222386"</f>
        <v>9789220222386</v>
      </c>
      <c r="D6886" t="str">
        <f>"9789220246214"</f>
        <v>9789220246214</v>
      </c>
      <c r="E6886" t="s">
        <v>7246</v>
      </c>
      <c r="F6886" t="s">
        <v>7246</v>
      </c>
      <c r="G6886" s="1">
        <v>40179</v>
      </c>
      <c r="H6886" s="1">
        <v>41250</v>
      </c>
      <c r="I6886" t="s">
        <v>12</v>
      </c>
      <c r="J6886" t="s">
        <v>17656</v>
      </c>
    </row>
    <row r="6887" spans="1:10" x14ac:dyDescent="0.25">
      <c r="A6887">
        <v>810946</v>
      </c>
      <c r="B6887" t="s">
        <v>7247</v>
      </c>
      <c r="C6887" t="str">
        <f>"9780749464110"</f>
        <v>9780749464110</v>
      </c>
      <c r="D6887" t="str">
        <f>"9780749464127"</f>
        <v>9780749464127</v>
      </c>
      <c r="E6887" t="s">
        <v>1059</v>
      </c>
      <c r="F6887" t="s">
        <v>1059</v>
      </c>
      <c r="G6887" s="1">
        <v>40880</v>
      </c>
      <c r="H6887" s="1">
        <v>40876</v>
      </c>
      <c r="I6887" t="s">
        <v>12</v>
      </c>
      <c r="J6887" t="s">
        <v>17657</v>
      </c>
    </row>
    <row r="6888" spans="1:10" x14ac:dyDescent="0.25">
      <c r="A6888">
        <v>811053</v>
      </c>
      <c r="B6888" t="s">
        <v>7248</v>
      </c>
      <c r="C6888" t="str">
        <f>"9781572300576"</f>
        <v>9781572300576</v>
      </c>
      <c r="D6888" t="str">
        <f>"9781593858889"</f>
        <v>9781593858889</v>
      </c>
      <c r="E6888" t="s">
        <v>3740</v>
      </c>
      <c r="F6888" t="s">
        <v>3741</v>
      </c>
      <c r="G6888" s="1">
        <v>37713</v>
      </c>
      <c r="H6888" s="1">
        <v>40963</v>
      </c>
      <c r="I6888" t="s">
        <v>12</v>
      </c>
      <c r="J6888" t="s">
        <v>17658</v>
      </c>
    </row>
    <row r="6889" spans="1:10" x14ac:dyDescent="0.25">
      <c r="A6889">
        <v>815537</v>
      </c>
      <c r="B6889" t="s">
        <v>7249</v>
      </c>
      <c r="C6889" t="str">
        <f>"9789027204554"</f>
        <v>9789027204554</v>
      </c>
      <c r="D6889" t="str">
        <f>"9789027283399"</f>
        <v>9789027283399</v>
      </c>
      <c r="E6889" t="s">
        <v>6670</v>
      </c>
      <c r="F6889" t="s">
        <v>6670</v>
      </c>
      <c r="G6889" s="1">
        <v>40892</v>
      </c>
      <c r="H6889" s="1">
        <v>40878</v>
      </c>
      <c r="I6889" t="s">
        <v>12</v>
      </c>
      <c r="J6889" t="s">
        <v>17659</v>
      </c>
    </row>
    <row r="6890" spans="1:10" x14ac:dyDescent="0.25">
      <c r="A6890">
        <v>815540</v>
      </c>
      <c r="B6890" t="s">
        <v>7250</v>
      </c>
      <c r="C6890" t="str">
        <f>"9789027202543"</f>
        <v>9789027202543</v>
      </c>
      <c r="D6890" t="str">
        <f>"9789027284105"</f>
        <v>9789027284105</v>
      </c>
      <c r="E6890" t="s">
        <v>6670</v>
      </c>
      <c r="F6890" t="s">
        <v>6670</v>
      </c>
      <c r="G6890" s="1">
        <v>40892</v>
      </c>
      <c r="H6890" s="1">
        <v>40878</v>
      </c>
      <c r="I6890" t="s">
        <v>12</v>
      </c>
      <c r="J6890" t="s">
        <v>17660</v>
      </c>
    </row>
    <row r="6891" spans="1:10" x14ac:dyDescent="0.25">
      <c r="A6891">
        <v>819522</v>
      </c>
      <c r="B6891" t="s">
        <v>7251</v>
      </c>
      <c r="C6891" t="str">
        <f>"9780816670291"</f>
        <v>9780816670291</v>
      </c>
      <c r="D6891" t="str">
        <f>"9780816678549"</f>
        <v>9780816678549</v>
      </c>
      <c r="E6891" t="s">
        <v>3970</v>
      </c>
      <c r="F6891" t="s">
        <v>4676</v>
      </c>
      <c r="G6891" s="1">
        <v>40815</v>
      </c>
      <c r="H6891" s="1">
        <v>40885</v>
      </c>
      <c r="I6891" t="s">
        <v>12</v>
      </c>
      <c r="J6891" t="s">
        <v>17661</v>
      </c>
    </row>
    <row r="6892" spans="1:10" x14ac:dyDescent="0.25">
      <c r="A6892">
        <v>819527</v>
      </c>
      <c r="B6892" t="s">
        <v>7252</v>
      </c>
      <c r="C6892" t="str">
        <f>"9780816676118"</f>
        <v>9780816676118</v>
      </c>
      <c r="D6892" t="str">
        <f>"9780816678686"</f>
        <v>9780816678686</v>
      </c>
      <c r="E6892" t="s">
        <v>3970</v>
      </c>
      <c r="F6892" t="s">
        <v>4676</v>
      </c>
      <c r="G6892" s="1">
        <v>40869</v>
      </c>
      <c r="H6892" s="1">
        <v>40885</v>
      </c>
      <c r="I6892" t="s">
        <v>12</v>
      </c>
      <c r="J6892" t="s">
        <v>17662</v>
      </c>
    </row>
    <row r="6893" spans="1:10" x14ac:dyDescent="0.25">
      <c r="A6893">
        <v>819531</v>
      </c>
      <c r="B6893" t="s">
        <v>7253</v>
      </c>
      <c r="C6893" t="str">
        <f>"9780816672967"</f>
        <v>9780816672967</v>
      </c>
      <c r="D6893" t="str">
        <f>"9780816678594"</f>
        <v>9780816678594</v>
      </c>
      <c r="E6893" t="s">
        <v>3970</v>
      </c>
      <c r="F6893" t="s">
        <v>3970</v>
      </c>
      <c r="G6893" s="1">
        <v>40868</v>
      </c>
      <c r="H6893" s="1">
        <v>40885</v>
      </c>
      <c r="I6893" t="s">
        <v>12</v>
      </c>
      <c r="J6893" t="s">
        <v>17663</v>
      </c>
    </row>
    <row r="6894" spans="1:10" x14ac:dyDescent="0.25">
      <c r="A6894">
        <v>819918</v>
      </c>
      <c r="B6894" t="s">
        <v>7254</v>
      </c>
      <c r="C6894" t="str">
        <f>"9789042034105"</f>
        <v>9789042034105</v>
      </c>
      <c r="D6894" t="str">
        <f>"9789401206976"</f>
        <v>9789401206976</v>
      </c>
      <c r="E6894" t="s">
        <v>1447</v>
      </c>
      <c r="F6894" t="s">
        <v>6409</v>
      </c>
      <c r="G6894" s="1">
        <v>40544</v>
      </c>
      <c r="H6894" s="1">
        <v>40885</v>
      </c>
      <c r="I6894" t="s">
        <v>12</v>
      </c>
      <c r="J6894" t="s">
        <v>17664</v>
      </c>
    </row>
    <row r="6895" spans="1:10" x14ac:dyDescent="0.25">
      <c r="A6895">
        <v>819927</v>
      </c>
      <c r="B6895" t="s">
        <v>7255</v>
      </c>
      <c r="C6895" t="str">
        <f>"9789042034273"</f>
        <v>9789042034273</v>
      </c>
      <c r="D6895" t="str">
        <f>"9789401207157"</f>
        <v>9789401207157</v>
      </c>
      <c r="E6895" t="s">
        <v>1447</v>
      </c>
      <c r="F6895" t="s">
        <v>6409</v>
      </c>
      <c r="G6895" s="1">
        <v>40544</v>
      </c>
      <c r="H6895" s="1">
        <v>40885</v>
      </c>
      <c r="I6895" t="s">
        <v>12</v>
      </c>
      <c r="J6895" t="s">
        <v>17665</v>
      </c>
    </row>
    <row r="6896" spans="1:10" x14ac:dyDescent="0.25">
      <c r="A6896">
        <v>820117</v>
      </c>
      <c r="B6896" t="s">
        <v>7256</v>
      </c>
      <c r="C6896" t="str">
        <f>"9780857256096"</f>
        <v>9780857256096</v>
      </c>
      <c r="D6896" t="str">
        <f>"9780857256119"</f>
        <v>9780857256119</v>
      </c>
      <c r="E6896" t="s">
        <v>1569</v>
      </c>
      <c r="F6896" t="s">
        <v>6929</v>
      </c>
      <c r="G6896" s="1">
        <v>40697</v>
      </c>
      <c r="H6896" s="1">
        <v>40976</v>
      </c>
      <c r="I6896" t="s">
        <v>12</v>
      </c>
      <c r="J6896" t="s">
        <v>17666</v>
      </c>
    </row>
    <row r="6897" spans="1:10" x14ac:dyDescent="0.25">
      <c r="A6897">
        <v>820118</v>
      </c>
      <c r="B6897" t="s">
        <v>7257</v>
      </c>
      <c r="C6897" t="str">
        <f>"9780857256133"</f>
        <v>9780857256133</v>
      </c>
      <c r="D6897" t="str">
        <f>"9780857256157"</f>
        <v>9780857256157</v>
      </c>
      <c r="E6897" t="s">
        <v>1569</v>
      </c>
      <c r="F6897" t="s">
        <v>6929</v>
      </c>
      <c r="G6897" s="1">
        <v>40697</v>
      </c>
      <c r="H6897" s="1">
        <v>40980</v>
      </c>
      <c r="I6897" t="s">
        <v>12</v>
      </c>
      <c r="J6897" t="s">
        <v>17667</v>
      </c>
    </row>
    <row r="6898" spans="1:10" x14ac:dyDescent="0.25">
      <c r="A6898">
        <v>820120</v>
      </c>
      <c r="B6898" t="s">
        <v>7258</v>
      </c>
      <c r="C6898" t="str">
        <f>"9781844454662"</f>
        <v>9781844454662</v>
      </c>
      <c r="D6898" t="str">
        <f>"9781844456994"</f>
        <v>9781844456994</v>
      </c>
      <c r="E6898" t="s">
        <v>1569</v>
      </c>
      <c r="F6898" t="s">
        <v>6929</v>
      </c>
      <c r="G6898" s="1">
        <v>40364</v>
      </c>
      <c r="H6898" s="1">
        <v>40980</v>
      </c>
      <c r="I6898" t="s">
        <v>12</v>
      </c>
      <c r="J6898" t="s">
        <v>17668</v>
      </c>
    </row>
    <row r="6899" spans="1:10" x14ac:dyDescent="0.25">
      <c r="A6899">
        <v>820121</v>
      </c>
      <c r="B6899" t="s">
        <v>7259</v>
      </c>
      <c r="C6899" t="str">
        <f>"9781844451869"</f>
        <v>9781844451869</v>
      </c>
      <c r="D6899" t="str">
        <f>"9781844458172"</f>
        <v>9781844458172</v>
      </c>
      <c r="E6899" t="s">
        <v>1569</v>
      </c>
      <c r="F6899" t="s">
        <v>6929</v>
      </c>
      <c r="G6899" s="1">
        <v>39917</v>
      </c>
      <c r="H6899" s="1">
        <v>40980</v>
      </c>
      <c r="I6899" t="s">
        <v>12</v>
      </c>
      <c r="J6899" t="s">
        <v>17669</v>
      </c>
    </row>
    <row r="6900" spans="1:10" x14ac:dyDescent="0.25">
      <c r="A6900">
        <v>820123</v>
      </c>
      <c r="B6900" t="s">
        <v>7260</v>
      </c>
      <c r="C6900" t="str">
        <f>"9781844452637"</f>
        <v>9781844452637</v>
      </c>
      <c r="D6900" t="str">
        <f>"9781844458288"</f>
        <v>9781844458288</v>
      </c>
      <c r="E6900" t="s">
        <v>1569</v>
      </c>
      <c r="F6900" t="s">
        <v>6929</v>
      </c>
      <c r="G6900" s="1">
        <v>39930</v>
      </c>
      <c r="H6900" s="1">
        <v>40980</v>
      </c>
      <c r="I6900" t="s">
        <v>12</v>
      </c>
      <c r="J6900" t="s">
        <v>17670</v>
      </c>
    </row>
    <row r="6901" spans="1:10" x14ac:dyDescent="0.25">
      <c r="A6901">
        <v>820130</v>
      </c>
      <c r="B6901" t="s">
        <v>7261</v>
      </c>
      <c r="C6901" t="str">
        <f>"9780857254610"</f>
        <v>9780857254610</v>
      </c>
      <c r="D6901" t="str">
        <f>"9780857254634"</f>
        <v>9780857254634</v>
      </c>
      <c r="E6901" t="s">
        <v>1569</v>
      </c>
      <c r="F6901" t="s">
        <v>6929</v>
      </c>
      <c r="G6901" s="1">
        <v>40728</v>
      </c>
      <c r="H6901" s="1">
        <v>40980</v>
      </c>
      <c r="I6901" t="s">
        <v>12</v>
      </c>
      <c r="J6901" t="s">
        <v>17671</v>
      </c>
    </row>
    <row r="6902" spans="1:10" x14ac:dyDescent="0.25">
      <c r="A6902">
        <v>820132</v>
      </c>
      <c r="B6902" t="s">
        <v>7262</v>
      </c>
      <c r="C6902" t="str">
        <f>"9780857250070"</f>
        <v>9780857250070</v>
      </c>
      <c r="D6902" t="str">
        <f>"9780857252883"</f>
        <v>9780857252883</v>
      </c>
      <c r="E6902" t="s">
        <v>1569</v>
      </c>
      <c r="F6902" t="s">
        <v>6929</v>
      </c>
      <c r="G6902" s="1">
        <v>40696</v>
      </c>
      <c r="H6902" s="1">
        <v>40980</v>
      </c>
      <c r="I6902" t="s">
        <v>12</v>
      </c>
      <c r="J6902" t="s">
        <v>17672</v>
      </c>
    </row>
    <row r="6903" spans="1:10" x14ac:dyDescent="0.25">
      <c r="A6903">
        <v>820139</v>
      </c>
      <c r="B6903" t="s">
        <v>7263</v>
      </c>
      <c r="C6903" t="str">
        <f>"9781844456154"</f>
        <v>9781844456154</v>
      </c>
      <c r="D6903" t="str">
        <f>"9781844456178"</f>
        <v>9781844456178</v>
      </c>
      <c r="E6903" t="s">
        <v>1569</v>
      </c>
      <c r="F6903" t="s">
        <v>6929</v>
      </c>
      <c r="G6903" s="1">
        <v>40392</v>
      </c>
      <c r="H6903" s="1">
        <v>40980</v>
      </c>
      <c r="I6903" t="s">
        <v>12</v>
      </c>
      <c r="J6903" t="s">
        <v>17673</v>
      </c>
    </row>
    <row r="6904" spans="1:10" x14ac:dyDescent="0.25">
      <c r="A6904">
        <v>820143</v>
      </c>
      <c r="B6904" t="s">
        <v>7264</v>
      </c>
      <c r="C6904" t="str">
        <f>"9781844454631"</f>
        <v>9781844454631</v>
      </c>
      <c r="D6904" t="str">
        <f>"9781844457717"</f>
        <v>9781844457717</v>
      </c>
      <c r="E6904" t="s">
        <v>1569</v>
      </c>
      <c r="F6904" t="s">
        <v>6929</v>
      </c>
      <c r="G6904" s="1">
        <v>40438</v>
      </c>
      <c r="H6904" s="1">
        <v>40980</v>
      </c>
      <c r="I6904" t="s">
        <v>12</v>
      </c>
      <c r="J6904" t="s">
        <v>17674</v>
      </c>
    </row>
    <row r="6905" spans="1:10" x14ac:dyDescent="0.25">
      <c r="A6905">
        <v>820150</v>
      </c>
      <c r="B6905" t="s">
        <v>7265</v>
      </c>
      <c r="C6905" t="str">
        <f>"9781844453818"</f>
        <v>9781844453818</v>
      </c>
      <c r="D6905" t="str">
        <f>"9781844457472"</f>
        <v>9781844457472</v>
      </c>
      <c r="E6905" t="s">
        <v>1569</v>
      </c>
      <c r="F6905" t="s">
        <v>6929</v>
      </c>
      <c r="G6905" s="1">
        <v>40407</v>
      </c>
      <c r="H6905" s="1">
        <v>40980</v>
      </c>
      <c r="I6905" t="s">
        <v>12</v>
      </c>
      <c r="J6905" t="s">
        <v>17675</v>
      </c>
    </row>
    <row r="6906" spans="1:10" x14ac:dyDescent="0.25">
      <c r="A6906">
        <v>820154</v>
      </c>
      <c r="B6906" t="s">
        <v>7266</v>
      </c>
      <c r="C6906" t="str">
        <f>"9781844452545"</f>
        <v>9781844452545</v>
      </c>
      <c r="D6906" t="str">
        <f>"9781844456000"</f>
        <v>9781844456000</v>
      </c>
      <c r="E6906" t="s">
        <v>1569</v>
      </c>
      <c r="F6906" t="s">
        <v>6929</v>
      </c>
      <c r="G6906" s="1">
        <v>40063</v>
      </c>
      <c r="H6906" s="1">
        <v>40980</v>
      </c>
      <c r="I6906" t="s">
        <v>12</v>
      </c>
      <c r="J6906" t="s">
        <v>17676</v>
      </c>
    </row>
    <row r="6907" spans="1:10" x14ac:dyDescent="0.25">
      <c r="A6907">
        <v>820156</v>
      </c>
      <c r="B6907" t="s">
        <v>7267</v>
      </c>
      <c r="C6907" t="str">
        <f>"9781844458424"</f>
        <v>9781844458424</v>
      </c>
      <c r="D6907" t="str">
        <f>"9781844458448"</f>
        <v>9781844458448</v>
      </c>
      <c r="E6907" t="s">
        <v>1569</v>
      </c>
      <c r="F6907" t="s">
        <v>6929</v>
      </c>
      <c r="G6907" s="1">
        <v>40392</v>
      </c>
      <c r="H6907" s="1">
        <v>40980</v>
      </c>
      <c r="I6907" t="s">
        <v>12</v>
      </c>
      <c r="J6907" t="s">
        <v>17677</v>
      </c>
    </row>
    <row r="6908" spans="1:10" x14ac:dyDescent="0.25">
      <c r="A6908">
        <v>820168</v>
      </c>
      <c r="B6908" t="s">
        <v>7268</v>
      </c>
      <c r="C6908" t="str">
        <f>"9781844451586"</f>
        <v>9781844451586</v>
      </c>
      <c r="D6908" t="str">
        <f>"9780857253538"</f>
        <v>9780857253538</v>
      </c>
      <c r="E6908" t="s">
        <v>1569</v>
      </c>
      <c r="F6908" t="s">
        <v>6929</v>
      </c>
      <c r="G6908" s="1">
        <v>40039</v>
      </c>
      <c r="H6908" s="1">
        <v>40980</v>
      </c>
      <c r="I6908" t="s">
        <v>12</v>
      </c>
      <c r="J6908" t="s">
        <v>17678</v>
      </c>
    </row>
    <row r="6909" spans="1:10" x14ac:dyDescent="0.25">
      <c r="A6909">
        <v>820170</v>
      </c>
      <c r="B6909" t="s">
        <v>7269</v>
      </c>
      <c r="C6909" t="str">
        <f>"9781844456147"</f>
        <v>9781844456147</v>
      </c>
      <c r="D6909" t="str">
        <f>"9781844457670"</f>
        <v>9781844457670</v>
      </c>
      <c r="E6909" t="s">
        <v>1569</v>
      </c>
      <c r="F6909" t="s">
        <v>6929</v>
      </c>
      <c r="G6909" s="1">
        <v>40429</v>
      </c>
      <c r="H6909" s="1">
        <v>40980</v>
      </c>
      <c r="I6909" t="s">
        <v>12</v>
      </c>
      <c r="J6909" t="s">
        <v>17679</v>
      </c>
    </row>
    <row r="6910" spans="1:10" x14ac:dyDescent="0.25">
      <c r="A6910">
        <v>820172</v>
      </c>
      <c r="B6910" t="s">
        <v>7270</v>
      </c>
      <c r="C6910" t="str">
        <f>"9781844451333"</f>
        <v>9781844451333</v>
      </c>
      <c r="D6910" t="str">
        <f>"9781844456031"</f>
        <v>9781844456031</v>
      </c>
      <c r="E6910" t="s">
        <v>1569</v>
      </c>
      <c r="F6910" t="s">
        <v>6929</v>
      </c>
      <c r="G6910" s="1">
        <v>39821</v>
      </c>
      <c r="H6910" s="1">
        <v>40980</v>
      </c>
      <c r="I6910" t="s">
        <v>12</v>
      </c>
      <c r="J6910" t="s">
        <v>17680</v>
      </c>
    </row>
    <row r="6911" spans="1:10" x14ac:dyDescent="0.25">
      <c r="A6911">
        <v>820175</v>
      </c>
      <c r="B6911" t="s">
        <v>7271</v>
      </c>
      <c r="C6911" t="str">
        <f>"9781844451876"</f>
        <v>9781844451876</v>
      </c>
      <c r="D6911" t="str">
        <f>"9781844458189"</f>
        <v>9781844458189</v>
      </c>
      <c r="E6911" t="s">
        <v>1569</v>
      </c>
      <c r="F6911" t="s">
        <v>6929</v>
      </c>
      <c r="G6911" s="1">
        <v>39917</v>
      </c>
      <c r="H6911" s="1">
        <v>40980</v>
      </c>
      <c r="I6911" t="s">
        <v>12</v>
      </c>
      <c r="J6911" t="s">
        <v>17681</v>
      </c>
    </row>
    <row r="6912" spans="1:10" x14ac:dyDescent="0.25">
      <c r="A6912">
        <v>821597</v>
      </c>
      <c r="B6912" t="s">
        <v>7272</v>
      </c>
      <c r="C6912" t="str">
        <f>"9781472514615"</f>
        <v>9781472514615</v>
      </c>
      <c r="D6912" t="str">
        <f>"9781441123084"</f>
        <v>9781441123084</v>
      </c>
      <c r="E6912" t="s">
        <v>4180</v>
      </c>
      <c r="F6912" t="s">
        <v>4180</v>
      </c>
      <c r="G6912" s="1">
        <v>41417</v>
      </c>
      <c r="H6912" s="1">
        <v>41957</v>
      </c>
      <c r="I6912" t="s">
        <v>12</v>
      </c>
      <c r="J6912" t="s">
        <v>17682</v>
      </c>
    </row>
    <row r="6913" spans="1:10" x14ac:dyDescent="0.25">
      <c r="A6913">
        <v>821696</v>
      </c>
      <c r="B6913" t="s">
        <v>7273</v>
      </c>
      <c r="C6913" t="str">
        <f>"9789264113077"</f>
        <v>9789264113077</v>
      </c>
      <c r="D6913" t="str">
        <f>"9789264113084"</f>
        <v>9789264113084</v>
      </c>
      <c r="E6913" t="s">
        <v>1185</v>
      </c>
      <c r="F6913" t="s">
        <v>7225</v>
      </c>
      <c r="G6913" s="1">
        <v>40857</v>
      </c>
      <c r="H6913" s="1">
        <v>40886</v>
      </c>
      <c r="I6913" t="s">
        <v>12</v>
      </c>
      <c r="J6913" t="s">
        <v>17683</v>
      </c>
    </row>
    <row r="6914" spans="1:10" x14ac:dyDescent="0.25">
      <c r="A6914">
        <v>822348</v>
      </c>
      <c r="B6914" t="s">
        <v>7274</v>
      </c>
      <c r="C6914" t="str">
        <f>"9781855757387"</f>
        <v>9781855757387</v>
      </c>
      <c r="D6914" t="str">
        <f>"9781849409469"</f>
        <v>9781849409469</v>
      </c>
      <c r="E6914" t="s">
        <v>15</v>
      </c>
      <c r="F6914" t="s">
        <v>16</v>
      </c>
      <c r="G6914" s="1">
        <v>40908</v>
      </c>
      <c r="H6914" s="1">
        <v>40899</v>
      </c>
      <c r="I6914" t="s">
        <v>12</v>
      </c>
      <c r="J6914" t="s">
        <v>17684</v>
      </c>
    </row>
    <row r="6915" spans="1:10" x14ac:dyDescent="0.25">
      <c r="A6915">
        <v>822349</v>
      </c>
      <c r="B6915" t="s">
        <v>7275</v>
      </c>
      <c r="C6915" t="str">
        <f>"9781855757776"</f>
        <v>9781855757776</v>
      </c>
      <c r="D6915" t="str">
        <f>"9781849409476"</f>
        <v>9781849409476</v>
      </c>
      <c r="E6915" t="s">
        <v>15</v>
      </c>
      <c r="F6915" t="s">
        <v>16</v>
      </c>
      <c r="G6915" s="1">
        <v>41274</v>
      </c>
      <c r="H6915" s="1">
        <v>40925</v>
      </c>
      <c r="I6915" t="s">
        <v>12</v>
      </c>
      <c r="J6915" t="s">
        <v>17685</v>
      </c>
    </row>
    <row r="6916" spans="1:10" x14ac:dyDescent="0.25">
      <c r="A6916">
        <v>822350</v>
      </c>
      <c r="B6916" t="s">
        <v>7276</v>
      </c>
      <c r="C6916" t="str">
        <f>"9780367106812"</f>
        <v>9780367106812</v>
      </c>
      <c r="D6916" t="str">
        <f>"9780429909788"</f>
        <v>9780429909788</v>
      </c>
      <c r="E6916" t="s">
        <v>15</v>
      </c>
      <c r="F6916" t="s">
        <v>16</v>
      </c>
      <c r="G6916" s="1">
        <v>40847</v>
      </c>
      <c r="H6916" s="1">
        <v>40925</v>
      </c>
      <c r="I6916" t="s">
        <v>12</v>
      </c>
      <c r="J6916" t="s">
        <v>17686</v>
      </c>
    </row>
    <row r="6917" spans="1:10" x14ac:dyDescent="0.25">
      <c r="A6917">
        <v>822352</v>
      </c>
      <c r="B6917" t="s">
        <v>7277</v>
      </c>
      <c r="C6917" t="str">
        <f>"9781780490373"</f>
        <v>9781780490373</v>
      </c>
      <c r="D6917" t="str">
        <f>"9781849409520"</f>
        <v>9781849409520</v>
      </c>
      <c r="E6917" t="s">
        <v>15</v>
      </c>
      <c r="F6917" t="s">
        <v>16</v>
      </c>
      <c r="G6917" s="1">
        <v>41274</v>
      </c>
      <c r="H6917" s="1">
        <v>40925</v>
      </c>
      <c r="I6917" t="s">
        <v>12</v>
      </c>
      <c r="J6917" t="s">
        <v>17687</v>
      </c>
    </row>
    <row r="6918" spans="1:10" x14ac:dyDescent="0.25">
      <c r="A6918">
        <v>823749</v>
      </c>
      <c r="B6918" t="s">
        <v>7278</v>
      </c>
      <c r="C6918" t="str">
        <f>"9781840245837"</f>
        <v>9781840245837</v>
      </c>
      <c r="D6918" t="str">
        <f>"9781848396081"</f>
        <v>9781848396081</v>
      </c>
      <c r="E6918" t="s">
        <v>626</v>
      </c>
      <c r="F6918" t="s">
        <v>626</v>
      </c>
      <c r="G6918" s="1">
        <v>39508</v>
      </c>
      <c r="H6918" s="1">
        <v>40893</v>
      </c>
      <c r="I6918" t="s">
        <v>12</v>
      </c>
      <c r="J6918" t="s">
        <v>17688</v>
      </c>
    </row>
    <row r="6919" spans="1:10" x14ac:dyDescent="0.25">
      <c r="A6919">
        <v>825135</v>
      </c>
      <c r="B6919" t="s">
        <v>7279</v>
      </c>
      <c r="C6919" t="str">
        <f>"9781844452156"</f>
        <v>9781844452156</v>
      </c>
      <c r="D6919" t="str">
        <f>"9780857253668"</f>
        <v>9780857253668</v>
      </c>
      <c r="E6919" t="s">
        <v>1569</v>
      </c>
      <c r="F6919" t="s">
        <v>6929</v>
      </c>
      <c r="G6919" s="1">
        <v>40380</v>
      </c>
      <c r="H6919" s="1">
        <v>40980</v>
      </c>
      <c r="I6919" t="s">
        <v>12</v>
      </c>
      <c r="J6919" t="s">
        <v>17689</v>
      </c>
    </row>
    <row r="6920" spans="1:10" x14ac:dyDescent="0.25">
      <c r="A6920">
        <v>825143</v>
      </c>
      <c r="B6920" t="s">
        <v>7280</v>
      </c>
      <c r="C6920" t="str">
        <f>"9781849665209"</f>
        <v>9781849665209</v>
      </c>
      <c r="D6920" t="str">
        <f>"9781849665438"</f>
        <v>9781849665438</v>
      </c>
      <c r="E6920" t="s">
        <v>4180</v>
      </c>
      <c r="F6920" t="s">
        <v>6461</v>
      </c>
      <c r="G6920" s="1">
        <v>40911</v>
      </c>
      <c r="H6920" s="1">
        <v>41845</v>
      </c>
      <c r="I6920" t="s">
        <v>12</v>
      </c>
      <c r="J6920" t="s">
        <v>17690</v>
      </c>
    </row>
    <row r="6921" spans="1:10" x14ac:dyDescent="0.25">
      <c r="A6921">
        <v>826858</v>
      </c>
      <c r="B6921" t="s">
        <v>7281</v>
      </c>
      <c r="C6921" t="str">
        <f>"9781849052146"</f>
        <v>9781849052146</v>
      </c>
      <c r="D6921" t="str">
        <f>"9780857004482"</f>
        <v>9780857004482</v>
      </c>
      <c r="E6921" t="s">
        <v>2950</v>
      </c>
      <c r="F6921" t="s">
        <v>2950</v>
      </c>
      <c r="G6921" s="1">
        <v>40892</v>
      </c>
      <c r="H6921" s="1">
        <v>40912</v>
      </c>
      <c r="I6921" t="s">
        <v>12</v>
      </c>
      <c r="J6921" t="s">
        <v>17691</v>
      </c>
    </row>
    <row r="6922" spans="1:10" x14ac:dyDescent="0.25">
      <c r="A6922">
        <v>827217</v>
      </c>
      <c r="B6922" t="s">
        <v>7282</v>
      </c>
      <c r="C6922" t="str">
        <f>"9781849192613"</f>
        <v>9781849192613</v>
      </c>
      <c r="D6922" t="str">
        <f>"9781849192620"</f>
        <v>9781849192620</v>
      </c>
      <c r="E6922" t="s">
        <v>6083</v>
      </c>
      <c r="F6922" t="s">
        <v>6083</v>
      </c>
      <c r="G6922" s="1">
        <v>40858</v>
      </c>
      <c r="H6922" s="1">
        <v>40894</v>
      </c>
      <c r="I6922" t="s">
        <v>12</v>
      </c>
      <c r="J6922" t="s">
        <v>17692</v>
      </c>
    </row>
    <row r="6923" spans="1:10" x14ac:dyDescent="0.25">
      <c r="A6923">
        <v>827218</v>
      </c>
      <c r="B6923" t="s">
        <v>7283</v>
      </c>
      <c r="C6923" t="str">
        <f>"9781849192194"</f>
        <v>9781849192194</v>
      </c>
      <c r="D6923" t="str">
        <f>"9781849192200"</f>
        <v>9781849192200</v>
      </c>
      <c r="E6923" t="s">
        <v>6083</v>
      </c>
      <c r="F6923" t="s">
        <v>6083</v>
      </c>
      <c r="G6923" s="1">
        <v>34515</v>
      </c>
      <c r="H6923" s="1">
        <v>42340</v>
      </c>
      <c r="I6923" t="s">
        <v>12</v>
      </c>
      <c r="J6923" t="s">
        <v>17693</v>
      </c>
    </row>
    <row r="6924" spans="1:10" x14ac:dyDescent="0.25">
      <c r="A6924">
        <v>829298</v>
      </c>
      <c r="B6924" t="s">
        <v>7284</v>
      </c>
      <c r="C6924" t="str">
        <f>"9781608071920"</f>
        <v>9781608071920</v>
      </c>
      <c r="D6924" t="str">
        <f>"9781608071937"</f>
        <v>9781608071937</v>
      </c>
      <c r="E6924" t="s">
        <v>1441</v>
      </c>
      <c r="F6924" t="s">
        <v>7285</v>
      </c>
      <c r="G6924" s="1">
        <v>40756</v>
      </c>
      <c r="H6924" s="1">
        <v>40897</v>
      </c>
      <c r="I6924" t="s">
        <v>12</v>
      </c>
      <c r="J6924" t="s">
        <v>17694</v>
      </c>
    </row>
    <row r="6925" spans="1:10" x14ac:dyDescent="0.25">
      <c r="A6925">
        <v>829906</v>
      </c>
      <c r="B6925" t="s">
        <v>7286</v>
      </c>
      <c r="C6925" t="str">
        <f>"9789280811438"</f>
        <v>9789280811438</v>
      </c>
      <c r="D6925" t="str">
        <f>"9789280871128"</f>
        <v>9789280871128</v>
      </c>
      <c r="E6925" t="s">
        <v>7287</v>
      </c>
      <c r="F6925" t="s">
        <v>7287</v>
      </c>
      <c r="G6925" s="1">
        <v>39326</v>
      </c>
      <c r="H6925" s="1">
        <v>40354</v>
      </c>
      <c r="I6925" t="s">
        <v>12</v>
      </c>
      <c r="J6925" t="s">
        <v>17695</v>
      </c>
    </row>
    <row r="6926" spans="1:10" x14ac:dyDescent="0.25">
      <c r="A6926">
        <v>830122</v>
      </c>
      <c r="B6926" t="s">
        <v>7288</v>
      </c>
      <c r="C6926" t="str">
        <f>"9781845118648"</f>
        <v>9781845118648</v>
      </c>
      <c r="D6926" t="str">
        <f>"9780857730800"</f>
        <v>9780857730800</v>
      </c>
      <c r="E6926" t="s">
        <v>6867</v>
      </c>
      <c r="F6926" t="s">
        <v>6867</v>
      </c>
      <c r="G6926" s="1">
        <v>40754</v>
      </c>
      <c r="H6926" s="1">
        <v>42346</v>
      </c>
      <c r="I6926" t="s">
        <v>12</v>
      </c>
      <c r="J6926" t="s">
        <v>17696</v>
      </c>
    </row>
    <row r="6927" spans="1:10" x14ac:dyDescent="0.25">
      <c r="A6927">
        <v>830126</v>
      </c>
      <c r="B6927" t="s">
        <v>7289</v>
      </c>
      <c r="C6927" t="str">
        <f>"9781848851665"</f>
        <v>9781848851665</v>
      </c>
      <c r="D6927" t="str">
        <f>"9780857720306"</f>
        <v>9780857720306</v>
      </c>
      <c r="E6927" t="s">
        <v>6867</v>
      </c>
      <c r="F6927" t="s">
        <v>6867</v>
      </c>
      <c r="G6927" s="1">
        <v>40442</v>
      </c>
      <c r="H6927" s="1">
        <v>40913</v>
      </c>
      <c r="I6927" t="s">
        <v>12</v>
      </c>
      <c r="J6927" t="s">
        <v>17697</v>
      </c>
    </row>
    <row r="6928" spans="1:10" x14ac:dyDescent="0.25">
      <c r="A6928">
        <v>831488</v>
      </c>
      <c r="B6928" t="s">
        <v>7290</v>
      </c>
      <c r="C6928" t="str">
        <f>"9781472505569"</f>
        <v>9781472505569</v>
      </c>
      <c r="D6928" t="str">
        <f>"9781441166289"</f>
        <v>9781441166289</v>
      </c>
      <c r="E6928" t="s">
        <v>4180</v>
      </c>
      <c r="F6928" t="s">
        <v>4180</v>
      </c>
      <c r="G6928" s="1">
        <v>41445</v>
      </c>
      <c r="H6928" s="1">
        <v>41878</v>
      </c>
      <c r="I6928" t="s">
        <v>12</v>
      </c>
      <c r="J6928" t="s">
        <v>17698</v>
      </c>
    </row>
    <row r="6929" spans="1:10" x14ac:dyDescent="0.25">
      <c r="A6929">
        <v>831490</v>
      </c>
      <c r="B6929" t="s">
        <v>7291</v>
      </c>
      <c r="C6929" t="str">
        <f>"9781441148711"</f>
        <v>9781441148711</v>
      </c>
      <c r="D6929" t="str">
        <f>"9781441108265"</f>
        <v>9781441108265</v>
      </c>
      <c r="E6929" t="s">
        <v>4180</v>
      </c>
      <c r="F6929" t="s">
        <v>4180</v>
      </c>
      <c r="G6929" s="1">
        <v>40955</v>
      </c>
      <c r="H6929" s="1">
        <v>42326</v>
      </c>
      <c r="I6929" t="s">
        <v>12</v>
      </c>
      <c r="J6929" t="s">
        <v>17699</v>
      </c>
    </row>
    <row r="6930" spans="1:10" x14ac:dyDescent="0.25">
      <c r="A6930">
        <v>831506</v>
      </c>
      <c r="B6930" t="s">
        <v>7292</v>
      </c>
      <c r="C6930" t="str">
        <f>"9781472505804"</f>
        <v>9781472505804</v>
      </c>
      <c r="D6930" t="str">
        <f>"9781441168030"</f>
        <v>9781441168030</v>
      </c>
      <c r="E6930" t="s">
        <v>4180</v>
      </c>
      <c r="F6930" t="s">
        <v>4180</v>
      </c>
      <c r="G6930" s="1">
        <v>41445</v>
      </c>
      <c r="H6930" s="1">
        <v>41845</v>
      </c>
      <c r="I6930" t="s">
        <v>12</v>
      </c>
      <c r="J6930" t="s">
        <v>17700</v>
      </c>
    </row>
    <row r="6931" spans="1:10" x14ac:dyDescent="0.25">
      <c r="A6931">
        <v>831514</v>
      </c>
      <c r="B6931" t="s">
        <v>7293</v>
      </c>
      <c r="C6931" t="str">
        <f>"9781441103208"</f>
        <v>9781441103208</v>
      </c>
      <c r="D6931" t="str">
        <f>"9781441197818"</f>
        <v>9781441197818</v>
      </c>
      <c r="E6931" t="s">
        <v>6601</v>
      </c>
      <c r="F6931" t="s">
        <v>6578</v>
      </c>
      <c r="G6931" s="1">
        <v>40878</v>
      </c>
      <c r="H6931" s="1">
        <v>41845</v>
      </c>
      <c r="I6931" t="s">
        <v>12</v>
      </c>
      <c r="J6931" t="s">
        <v>17701</v>
      </c>
    </row>
    <row r="6932" spans="1:10" x14ac:dyDescent="0.25">
      <c r="A6932">
        <v>831519</v>
      </c>
      <c r="B6932" t="s">
        <v>7294</v>
      </c>
      <c r="C6932" t="str">
        <f>"9781441149978"</f>
        <v>9781441149978</v>
      </c>
      <c r="D6932" t="str">
        <f>"9781441190246"</f>
        <v>9781441190246</v>
      </c>
      <c r="E6932" t="s">
        <v>6601</v>
      </c>
      <c r="F6932" t="s">
        <v>6578</v>
      </c>
      <c r="G6932" s="1">
        <v>40871</v>
      </c>
      <c r="H6932" s="1">
        <v>41845</v>
      </c>
      <c r="I6932" t="s">
        <v>12</v>
      </c>
      <c r="J6932" t="s">
        <v>17702</v>
      </c>
    </row>
    <row r="6933" spans="1:10" x14ac:dyDescent="0.25">
      <c r="A6933">
        <v>831525</v>
      </c>
      <c r="B6933" t="s">
        <v>7295</v>
      </c>
      <c r="C6933" t="str">
        <f>"9781441165961"</f>
        <v>9781441165961</v>
      </c>
      <c r="D6933" t="str">
        <f>"9781441172617"</f>
        <v>9781441172617</v>
      </c>
      <c r="E6933" t="s">
        <v>4180</v>
      </c>
      <c r="F6933" t="s">
        <v>4180</v>
      </c>
      <c r="G6933" s="1">
        <v>40941</v>
      </c>
      <c r="H6933" s="1">
        <v>41845</v>
      </c>
      <c r="I6933" t="s">
        <v>12</v>
      </c>
      <c r="J6933" t="s">
        <v>17703</v>
      </c>
    </row>
    <row r="6934" spans="1:10" x14ac:dyDescent="0.25">
      <c r="A6934">
        <v>831533</v>
      </c>
      <c r="B6934" t="s">
        <v>7296</v>
      </c>
      <c r="C6934" t="str">
        <f>"9780826420558"</f>
        <v>9780826420558</v>
      </c>
      <c r="D6934" t="str">
        <f>"9781441138422"</f>
        <v>9781441138422</v>
      </c>
      <c r="E6934" t="s">
        <v>4180</v>
      </c>
      <c r="F6934" t="s">
        <v>4180</v>
      </c>
      <c r="G6934" s="1">
        <v>40941</v>
      </c>
      <c r="H6934" s="1">
        <v>41844</v>
      </c>
      <c r="I6934" t="s">
        <v>12</v>
      </c>
      <c r="J6934" t="s">
        <v>17704</v>
      </c>
    </row>
    <row r="6935" spans="1:10" x14ac:dyDescent="0.25">
      <c r="A6935">
        <v>832265</v>
      </c>
      <c r="B6935" t="s">
        <v>7297</v>
      </c>
      <c r="C6935" t="str">
        <f>"9781416614289"</f>
        <v>9781416614289</v>
      </c>
      <c r="D6935" t="str">
        <f>"9781416614364"</f>
        <v>9781416614364</v>
      </c>
      <c r="E6935" t="s">
        <v>2492</v>
      </c>
      <c r="F6935" t="s">
        <v>2492</v>
      </c>
      <c r="G6935" s="1">
        <v>40877</v>
      </c>
      <c r="H6935" s="1">
        <v>40911</v>
      </c>
      <c r="I6935" t="s">
        <v>12</v>
      </c>
      <c r="J6935" t="s">
        <v>17705</v>
      </c>
    </row>
    <row r="6936" spans="1:10" x14ac:dyDescent="0.25">
      <c r="A6936">
        <v>832303</v>
      </c>
      <c r="B6936" t="s">
        <v>7298</v>
      </c>
      <c r="C6936" t="str">
        <f>"9789027256218"</f>
        <v>9789027256218</v>
      </c>
      <c r="D6936" t="str">
        <f>"9789027275011"</f>
        <v>9789027275011</v>
      </c>
      <c r="E6936" t="s">
        <v>6670</v>
      </c>
      <c r="F6936" t="s">
        <v>6670</v>
      </c>
      <c r="G6936" s="1">
        <v>40927</v>
      </c>
      <c r="H6936" s="1">
        <v>40900</v>
      </c>
      <c r="I6936" t="s">
        <v>12</v>
      </c>
      <c r="J6936" t="s">
        <v>17706</v>
      </c>
    </row>
    <row r="6937" spans="1:10" x14ac:dyDescent="0.25">
      <c r="A6937">
        <v>832304</v>
      </c>
      <c r="B6937" t="s">
        <v>7299</v>
      </c>
      <c r="C6937" t="str">
        <f>"9789027210302"</f>
        <v>9789027210302</v>
      </c>
      <c r="D6937" t="str">
        <f>"9789027275028"</f>
        <v>9789027275028</v>
      </c>
      <c r="E6937" t="s">
        <v>6670</v>
      </c>
      <c r="F6937" t="s">
        <v>6670</v>
      </c>
      <c r="G6937" s="1">
        <v>40919</v>
      </c>
      <c r="H6937" s="1">
        <v>40900</v>
      </c>
      <c r="I6937" t="s">
        <v>12</v>
      </c>
      <c r="J6937" t="s">
        <v>17707</v>
      </c>
    </row>
    <row r="6938" spans="1:10" x14ac:dyDescent="0.25">
      <c r="A6938">
        <v>832306</v>
      </c>
      <c r="B6938" t="s">
        <v>7300</v>
      </c>
      <c r="C6938" t="str">
        <f>"9789027207210"</f>
        <v>9789027207210</v>
      </c>
      <c r="D6938" t="str">
        <f>"9789027281821"</f>
        <v>9789027281821</v>
      </c>
      <c r="E6938" t="s">
        <v>6670</v>
      </c>
      <c r="F6938" t="s">
        <v>6670</v>
      </c>
      <c r="G6938" s="1">
        <v>40919</v>
      </c>
      <c r="H6938" s="1">
        <v>40900</v>
      </c>
      <c r="I6938" t="s">
        <v>12</v>
      </c>
      <c r="J6938" t="s">
        <v>17708</v>
      </c>
    </row>
    <row r="6939" spans="1:10" x14ac:dyDescent="0.25">
      <c r="A6939">
        <v>835002</v>
      </c>
      <c r="B6939" t="s">
        <v>7301</v>
      </c>
      <c r="C6939" t="str">
        <f>"9789027213501"</f>
        <v>9789027213501</v>
      </c>
      <c r="D6939" t="str">
        <f>"9789027281678"</f>
        <v>9789027281678</v>
      </c>
      <c r="E6939" t="s">
        <v>6670</v>
      </c>
      <c r="F6939" t="s">
        <v>6670</v>
      </c>
      <c r="G6939" s="1">
        <v>40933</v>
      </c>
      <c r="H6939" s="1">
        <v>40917</v>
      </c>
      <c r="I6939" t="s">
        <v>12</v>
      </c>
      <c r="J6939" t="s">
        <v>17709</v>
      </c>
    </row>
    <row r="6940" spans="1:10" x14ac:dyDescent="0.25">
      <c r="A6940">
        <v>835003</v>
      </c>
      <c r="B6940" t="s">
        <v>7302</v>
      </c>
      <c r="C6940" t="str">
        <f>"9789027249029"</f>
        <v>9789027249029</v>
      </c>
      <c r="D6940" t="str">
        <f>"9789027281838"</f>
        <v>9789027281838</v>
      </c>
      <c r="E6940" t="s">
        <v>6670</v>
      </c>
      <c r="F6940" t="s">
        <v>6670</v>
      </c>
      <c r="G6940" s="1">
        <v>40932</v>
      </c>
      <c r="H6940" s="1">
        <v>40917</v>
      </c>
      <c r="I6940" t="s">
        <v>12</v>
      </c>
      <c r="J6940" t="s">
        <v>17710</v>
      </c>
    </row>
    <row r="6941" spans="1:10" x14ac:dyDescent="0.25">
      <c r="A6941">
        <v>835699</v>
      </c>
      <c r="B6941" t="s">
        <v>7303</v>
      </c>
      <c r="C6941" t="str">
        <f>"9780817307042"</f>
        <v>9780817307042</v>
      </c>
      <c r="D6941" t="str">
        <f>"9780817383466"</f>
        <v>9780817383466</v>
      </c>
      <c r="E6941" t="s">
        <v>5744</v>
      </c>
      <c r="F6941" t="s">
        <v>5744</v>
      </c>
      <c r="G6941" s="1">
        <v>34211</v>
      </c>
      <c r="H6941" s="1">
        <v>40918</v>
      </c>
      <c r="I6941" t="s">
        <v>12</v>
      </c>
      <c r="J6941" t="s">
        <v>17711</v>
      </c>
    </row>
    <row r="6942" spans="1:10" x14ac:dyDescent="0.25">
      <c r="A6942">
        <v>835815</v>
      </c>
      <c r="B6942" t="s">
        <v>7304</v>
      </c>
      <c r="C6942" t="str">
        <f>"9781906884536"</f>
        <v>9781906884536</v>
      </c>
      <c r="D6942" t="str">
        <f>"9781906884710"</f>
        <v>9781906884710</v>
      </c>
      <c r="E6942" t="s">
        <v>7305</v>
      </c>
      <c r="F6942" t="s">
        <v>7305</v>
      </c>
      <c r="G6942" s="1">
        <v>40817</v>
      </c>
      <c r="H6942" s="1">
        <v>41157</v>
      </c>
      <c r="I6942" t="s">
        <v>12</v>
      </c>
      <c r="J6942" t="s">
        <v>17712</v>
      </c>
    </row>
    <row r="6943" spans="1:10" x14ac:dyDescent="0.25">
      <c r="A6943">
        <v>836978</v>
      </c>
      <c r="B6943" t="s">
        <v>7306</v>
      </c>
      <c r="C6943" t="str">
        <f>"9780739144039"</f>
        <v>9780739144039</v>
      </c>
      <c r="D6943" t="str">
        <f>"9780739144053"</f>
        <v>9780739144053</v>
      </c>
      <c r="E6943" t="s">
        <v>6256</v>
      </c>
      <c r="F6943" t="s">
        <v>6256</v>
      </c>
      <c r="G6943" s="1">
        <v>40905</v>
      </c>
      <c r="H6943" s="1">
        <v>40920</v>
      </c>
      <c r="I6943" t="s">
        <v>12</v>
      </c>
      <c r="J6943" t="s">
        <v>17713</v>
      </c>
    </row>
    <row r="6944" spans="1:10" x14ac:dyDescent="0.25">
      <c r="A6944">
        <v>837761</v>
      </c>
      <c r="B6944" t="s">
        <v>7307</v>
      </c>
      <c r="C6944" t="str">
        <f>"9781593321420"</f>
        <v>9781593321420</v>
      </c>
      <c r="D6944" t="str">
        <f>"9781593322212"</f>
        <v>9781593322212</v>
      </c>
      <c r="E6944" t="s">
        <v>7308</v>
      </c>
      <c r="F6944" t="s">
        <v>7308</v>
      </c>
      <c r="G6944" s="1">
        <v>38808</v>
      </c>
      <c r="H6944" s="1">
        <v>40921</v>
      </c>
      <c r="I6944" t="s">
        <v>12</v>
      </c>
      <c r="J6944" t="s">
        <v>17714</v>
      </c>
    </row>
    <row r="6945" spans="1:10" x14ac:dyDescent="0.25">
      <c r="A6945">
        <v>837785</v>
      </c>
      <c r="B6945" t="s">
        <v>7309</v>
      </c>
      <c r="C6945" t="str">
        <f>"9781847693075"</f>
        <v>9781847693075</v>
      </c>
      <c r="D6945" t="str">
        <f>"9781847693082"</f>
        <v>9781847693082</v>
      </c>
      <c r="E6945" t="s">
        <v>886</v>
      </c>
      <c r="F6945" t="s">
        <v>887</v>
      </c>
      <c r="G6945" s="1">
        <v>40396</v>
      </c>
      <c r="H6945" s="1">
        <v>41598</v>
      </c>
      <c r="I6945" t="s">
        <v>12</v>
      </c>
      <c r="J6945" t="s">
        <v>17715</v>
      </c>
    </row>
    <row r="6946" spans="1:10" x14ac:dyDescent="0.25">
      <c r="A6946">
        <v>837790</v>
      </c>
      <c r="B6946" t="s">
        <v>7310</v>
      </c>
      <c r="C6946" t="str">
        <f>"9781847693648"</f>
        <v>9781847693648</v>
      </c>
      <c r="D6946" t="str">
        <f>"9781847693655"</f>
        <v>9781847693655</v>
      </c>
      <c r="E6946" t="s">
        <v>886</v>
      </c>
      <c r="F6946" t="s">
        <v>887</v>
      </c>
      <c r="G6946" s="1">
        <v>40681</v>
      </c>
      <c r="H6946" s="1">
        <v>41598</v>
      </c>
      <c r="I6946" t="s">
        <v>12</v>
      </c>
      <c r="J6946" t="s">
        <v>17716</v>
      </c>
    </row>
    <row r="6947" spans="1:10" x14ac:dyDescent="0.25">
      <c r="A6947">
        <v>837791</v>
      </c>
      <c r="B6947" t="s">
        <v>7311</v>
      </c>
      <c r="C6947" t="str">
        <f>"9781847693754"</f>
        <v>9781847693754</v>
      </c>
      <c r="D6947" t="str">
        <f>"9781847693761"</f>
        <v>9781847693761</v>
      </c>
      <c r="E6947" t="s">
        <v>886</v>
      </c>
      <c r="F6947" t="s">
        <v>887</v>
      </c>
      <c r="G6947" s="1">
        <v>40700</v>
      </c>
      <c r="H6947" s="1">
        <v>41598</v>
      </c>
      <c r="I6947" t="s">
        <v>12</v>
      </c>
      <c r="J6947" t="s">
        <v>17717</v>
      </c>
    </row>
    <row r="6948" spans="1:10" x14ac:dyDescent="0.25">
      <c r="A6948">
        <v>837792</v>
      </c>
      <c r="B6948" t="s">
        <v>7312</v>
      </c>
      <c r="C6948" t="str">
        <f>"9781847693471"</f>
        <v>9781847693471</v>
      </c>
      <c r="D6948" t="str">
        <f>"9781847693488"</f>
        <v>9781847693488</v>
      </c>
      <c r="E6948" t="s">
        <v>886</v>
      </c>
      <c r="F6948" t="s">
        <v>887</v>
      </c>
      <c r="G6948" s="1">
        <v>40700</v>
      </c>
      <c r="H6948" s="1">
        <v>41598</v>
      </c>
      <c r="I6948" t="s">
        <v>12</v>
      </c>
      <c r="J6948" t="s">
        <v>17718</v>
      </c>
    </row>
    <row r="6949" spans="1:10" x14ac:dyDescent="0.25">
      <c r="A6949">
        <v>837793</v>
      </c>
      <c r="B6949" t="s">
        <v>7313</v>
      </c>
      <c r="C6949" t="str">
        <f>"9781847693679"</f>
        <v>9781847693679</v>
      </c>
      <c r="D6949" t="str">
        <f>"9781847693686"</f>
        <v>9781847693686</v>
      </c>
      <c r="E6949" t="s">
        <v>886</v>
      </c>
      <c r="F6949" t="s">
        <v>887</v>
      </c>
      <c r="G6949" s="1">
        <v>40702</v>
      </c>
      <c r="H6949" s="1">
        <v>41598</v>
      </c>
      <c r="I6949" t="s">
        <v>12</v>
      </c>
      <c r="J6949" t="s">
        <v>17719</v>
      </c>
    </row>
    <row r="6950" spans="1:10" x14ac:dyDescent="0.25">
      <c r="A6950">
        <v>837794</v>
      </c>
      <c r="B6950" t="s">
        <v>7314</v>
      </c>
      <c r="C6950" t="str">
        <f>"9781845411831"</f>
        <v>9781845411831</v>
      </c>
      <c r="D6950" t="str">
        <f>"9781845411848"</f>
        <v>9781845411848</v>
      </c>
      <c r="E6950" t="s">
        <v>886</v>
      </c>
      <c r="F6950" t="s">
        <v>886</v>
      </c>
      <c r="G6950" s="1">
        <v>40697</v>
      </c>
      <c r="H6950" s="1">
        <v>41598</v>
      </c>
      <c r="I6950" t="s">
        <v>12</v>
      </c>
      <c r="J6950" t="s">
        <v>17720</v>
      </c>
    </row>
    <row r="6951" spans="1:10" x14ac:dyDescent="0.25">
      <c r="A6951">
        <v>837796</v>
      </c>
      <c r="B6951" t="s">
        <v>7315</v>
      </c>
      <c r="C6951" t="str">
        <f>"9781847694096"</f>
        <v>9781847694096</v>
      </c>
      <c r="D6951" t="str">
        <f>"9781847694102"</f>
        <v>9781847694102</v>
      </c>
      <c r="E6951" t="s">
        <v>886</v>
      </c>
      <c r="F6951" t="s">
        <v>887</v>
      </c>
      <c r="G6951" s="1">
        <v>40711</v>
      </c>
      <c r="H6951" s="1">
        <v>41598</v>
      </c>
      <c r="I6951" t="s">
        <v>12</v>
      </c>
      <c r="J6951" t="s">
        <v>17721</v>
      </c>
    </row>
    <row r="6952" spans="1:10" x14ac:dyDescent="0.25">
      <c r="A6952">
        <v>837797</v>
      </c>
      <c r="B6952" t="s">
        <v>7316</v>
      </c>
      <c r="C6952" t="str">
        <f>"9781847694119"</f>
        <v>9781847694119</v>
      </c>
      <c r="D6952" t="str">
        <f>"9781847694126"</f>
        <v>9781847694126</v>
      </c>
      <c r="E6952" t="s">
        <v>886</v>
      </c>
      <c r="F6952" t="s">
        <v>887</v>
      </c>
      <c r="G6952" s="1">
        <v>40728</v>
      </c>
      <c r="H6952" s="1">
        <v>41598</v>
      </c>
      <c r="I6952" t="s">
        <v>12</v>
      </c>
      <c r="J6952" t="s">
        <v>17722</v>
      </c>
    </row>
    <row r="6953" spans="1:10" x14ac:dyDescent="0.25">
      <c r="A6953">
        <v>837798</v>
      </c>
      <c r="B6953" t="s">
        <v>7317</v>
      </c>
      <c r="C6953" t="str">
        <f>"9781847694034"</f>
        <v>9781847694034</v>
      </c>
      <c r="D6953" t="str">
        <f>"9781847694041"</f>
        <v>9781847694041</v>
      </c>
      <c r="E6953" t="s">
        <v>886</v>
      </c>
      <c r="F6953" t="s">
        <v>887</v>
      </c>
      <c r="G6953" s="1">
        <v>40729</v>
      </c>
      <c r="H6953" s="1">
        <v>41598</v>
      </c>
      <c r="I6953" t="s">
        <v>12</v>
      </c>
      <c r="J6953" t="s">
        <v>17723</v>
      </c>
    </row>
    <row r="6954" spans="1:10" x14ac:dyDescent="0.25">
      <c r="A6954">
        <v>837799</v>
      </c>
      <c r="B6954" t="s">
        <v>7318</v>
      </c>
      <c r="C6954" t="str">
        <f>"9781847694065"</f>
        <v>9781847694065</v>
      </c>
      <c r="D6954" t="str">
        <f>"9781847694072"</f>
        <v>9781847694072</v>
      </c>
      <c r="E6954" t="s">
        <v>886</v>
      </c>
      <c r="F6954" t="s">
        <v>887</v>
      </c>
      <c r="G6954" s="1">
        <v>40742</v>
      </c>
      <c r="H6954" s="1">
        <v>41598</v>
      </c>
      <c r="I6954" t="s">
        <v>12</v>
      </c>
      <c r="J6954" t="s">
        <v>17724</v>
      </c>
    </row>
    <row r="6955" spans="1:10" x14ac:dyDescent="0.25">
      <c r="A6955">
        <v>837800</v>
      </c>
      <c r="B6955" t="s">
        <v>7319</v>
      </c>
      <c r="C6955" t="str">
        <f>"9781847694171"</f>
        <v>9781847694171</v>
      </c>
      <c r="D6955" t="str">
        <f>"9781847694188"</f>
        <v>9781847694188</v>
      </c>
      <c r="E6955" t="s">
        <v>886</v>
      </c>
      <c r="F6955" t="s">
        <v>887</v>
      </c>
      <c r="G6955" s="1">
        <v>40742</v>
      </c>
      <c r="H6955" s="1">
        <v>41598</v>
      </c>
      <c r="I6955" t="s">
        <v>12</v>
      </c>
      <c r="J6955" t="s">
        <v>17725</v>
      </c>
    </row>
    <row r="6956" spans="1:10" x14ac:dyDescent="0.25">
      <c r="A6956">
        <v>837801</v>
      </c>
      <c r="B6956" t="s">
        <v>7320</v>
      </c>
      <c r="C6956" t="str">
        <f>"9781847694140"</f>
        <v>9781847694140</v>
      </c>
      <c r="D6956" t="str">
        <f>"9781847694157"</f>
        <v>9781847694157</v>
      </c>
      <c r="E6956" t="s">
        <v>886</v>
      </c>
      <c r="F6956" t="s">
        <v>887</v>
      </c>
      <c r="G6956" s="1">
        <v>40742</v>
      </c>
      <c r="H6956" s="1">
        <v>41598</v>
      </c>
      <c r="I6956" t="s">
        <v>12</v>
      </c>
      <c r="J6956" t="s">
        <v>17726</v>
      </c>
    </row>
    <row r="6957" spans="1:10" x14ac:dyDescent="0.25">
      <c r="A6957">
        <v>837802</v>
      </c>
      <c r="B6957" t="s">
        <v>7321</v>
      </c>
      <c r="C6957" t="str">
        <f>"9781847694201"</f>
        <v>9781847694201</v>
      </c>
      <c r="D6957" t="str">
        <f>"9781847694218"</f>
        <v>9781847694218</v>
      </c>
      <c r="E6957" t="s">
        <v>886</v>
      </c>
      <c r="F6957" t="s">
        <v>887</v>
      </c>
      <c r="G6957" s="1">
        <v>40774</v>
      </c>
      <c r="H6957" s="1">
        <v>41598</v>
      </c>
      <c r="I6957" t="s">
        <v>12</v>
      </c>
      <c r="J6957" t="s">
        <v>17727</v>
      </c>
    </row>
    <row r="6958" spans="1:10" x14ac:dyDescent="0.25">
      <c r="A6958">
        <v>837806</v>
      </c>
      <c r="B6958" t="s">
        <v>7322</v>
      </c>
      <c r="C6958" t="str">
        <f>"9781845411954"</f>
        <v>9781845411954</v>
      </c>
      <c r="D6958" t="str">
        <f>"9781845411961"</f>
        <v>9781845411961</v>
      </c>
      <c r="E6958" t="s">
        <v>886</v>
      </c>
      <c r="F6958" t="s">
        <v>886</v>
      </c>
      <c r="G6958" s="1">
        <v>40777</v>
      </c>
      <c r="H6958" s="1">
        <v>41598</v>
      </c>
      <c r="I6958" t="s">
        <v>12</v>
      </c>
      <c r="J6958" t="s">
        <v>17728</v>
      </c>
    </row>
    <row r="6959" spans="1:10" x14ac:dyDescent="0.25">
      <c r="A6959">
        <v>837809</v>
      </c>
      <c r="B6959" t="s">
        <v>7323</v>
      </c>
      <c r="C6959" t="str">
        <f>"9781847694232"</f>
        <v>9781847694232</v>
      </c>
      <c r="D6959" t="str">
        <f>"9781847694249"</f>
        <v>9781847694249</v>
      </c>
      <c r="E6959" t="s">
        <v>886</v>
      </c>
      <c r="F6959" t="s">
        <v>887</v>
      </c>
      <c r="G6959" s="1">
        <v>40822</v>
      </c>
      <c r="H6959" s="1">
        <v>41598</v>
      </c>
      <c r="I6959" t="s">
        <v>12</v>
      </c>
      <c r="J6959" t="s">
        <v>17729</v>
      </c>
    </row>
    <row r="6960" spans="1:10" x14ac:dyDescent="0.25">
      <c r="A6960">
        <v>840412</v>
      </c>
      <c r="B6960" t="s">
        <v>7324</v>
      </c>
      <c r="C6960" t="str">
        <f>"9781783080694"</f>
        <v>9781783080694</v>
      </c>
      <c r="D6960" t="str">
        <f>"9780857283986"</f>
        <v>9780857283986</v>
      </c>
      <c r="E6960" t="s">
        <v>7325</v>
      </c>
      <c r="F6960" t="s">
        <v>7325</v>
      </c>
      <c r="G6960" s="1">
        <v>41548</v>
      </c>
      <c r="H6960" s="1">
        <v>40940</v>
      </c>
      <c r="I6960" t="s">
        <v>12</v>
      </c>
      <c r="J6960" t="s">
        <v>17730</v>
      </c>
    </row>
    <row r="6961" spans="1:10" x14ac:dyDescent="0.25">
      <c r="A6961">
        <v>840419</v>
      </c>
      <c r="B6961" t="s">
        <v>7326</v>
      </c>
      <c r="C6961" t="str">
        <f>"9788190757072"</f>
        <v>9788190757072</v>
      </c>
      <c r="D6961" t="str">
        <f>"9781843313373"</f>
        <v>9781843313373</v>
      </c>
      <c r="E6961" t="s">
        <v>7325</v>
      </c>
      <c r="F6961" t="s">
        <v>7325</v>
      </c>
      <c r="G6961" s="1">
        <v>40330</v>
      </c>
      <c r="H6961" s="1">
        <v>40940</v>
      </c>
      <c r="I6961" t="s">
        <v>12</v>
      </c>
      <c r="J6961" t="s">
        <v>17731</v>
      </c>
    </row>
    <row r="6962" spans="1:10" x14ac:dyDescent="0.25">
      <c r="A6962">
        <v>840434</v>
      </c>
      <c r="B6962" t="s">
        <v>7327</v>
      </c>
      <c r="C6962" t="str">
        <f>"9781843317913"</f>
        <v>9781843317913</v>
      </c>
      <c r="D6962" t="str">
        <f>"9781843318071"</f>
        <v>9781843318071</v>
      </c>
      <c r="E6962" t="s">
        <v>7325</v>
      </c>
      <c r="F6962" t="s">
        <v>7325</v>
      </c>
      <c r="G6962" s="1">
        <v>40026</v>
      </c>
      <c r="H6962" s="1">
        <v>40940</v>
      </c>
      <c r="I6962" t="s">
        <v>12</v>
      </c>
      <c r="J6962" t="s">
        <v>17732</v>
      </c>
    </row>
    <row r="6963" spans="1:10" x14ac:dyDescent="0.25">
      <c r="A6963">
        <v>840440</v>
      </c>
      <c r="B6963" t="s">
        <v>7328</v>
      </c>
      <c r="C6963" t="str">
        <f>"9781843318446"</f>
        <v>9781843318446</v>
      </c>
      <c r="D6963" t="str">
        <f>"9781843318996"</f>
        <v>9781843318996</v>
      </c>
      <c r="E6963" t="s">
        <v>7325</v>
      </c>
      <c r="F6963" t="s">
        <v>7325</v>
      </c>
      <c r="G6963" s="1">
        <v>40238</v>
      </c>
      <c r="H6963" s="1">
        <v>40940</v>
      </c>
      <c r="I6963" t="s">
        <v>12</v>
      </c>
      <c r="J6963" t="s">
        <v>17733</v>
      </c>
    </row>
    <row r="6964" spans="1:10" x14ac:dyDescent="0.25">
      <c r="A6964">
        <v>840442</v>
      </c>
      <c r="B6964" t="s">
        <v>7329</v>
      </c>
      <c r="C6964" t="str">
        <f>"9780857289841"</f>
        <v>9780857289841</v>
      </c>
      <c r="D6964" t="str">
        <f>"9780857286581"</f>
        <v>9780857286581</v>
      </c>
      <c r="E6964" t="s">
        <v>7325</v>
      </c>
      <c r="F6964" t="s">
        <v>7325</v>
      </c>
      <c r="G6964" s="1">
        <v>40575</v>
      </c>
      <c r="H6964" s="1">
        <v>40940</v>
      </c>
      <c r="I6964" t="s">
        <v>12</v>
      </c>
      <c r="J6964" t="s">
        <v>17734</v>
      </c>
    </row>
    <row r="6965" spans="1:10" x14ac:dyDescent="0.25">
      <c r="A6965">
        <v>840456</v>
      </c>
      <c r="B6965" t="s">
        <v>7330</v>
      </c>
      <c r="C6965" t="str">
        <f>"9781843318439"</f>
        <v>9781843318439</v>
      </c>
      <c r="D6965" t="str">
        <f>"9781843313830"</f>
        <v>9781843313830</v>
      </c>
      <c r="E6965" t="s">
        <v>7325</v>
      </c>
      <c r="F6965" t="s">
        <v>7325</v>
      </c>
      <c r="G6965" s="1">
        <v>40678</v>
      </c>
      <c r="H6965" s="1">
        <v>40941</v>
      </c>
      <c r="I6965" t="s">
        <v>12</v>
      </c>
      <c r="J6965" t="s">
        <v>17735</v>
      </c>
    </row>
    <row r="6966" spans="1:10" x14ac:dyDescent="0.25">
      <c r="A6966">
        <v>840510</v>
      </c>
      <c r="B6966" t="s">
        <v>7331</v>
      </c>
      <c r="C6966" t="str">
        <f>"9780857287724"</f>
        <v>9780857287724</v>
      </c>
      <c r="D6966" t="str">
        <f>"9780857284006"</f>
        <v>9780857284006</v>
      </c>
      <c r="E6966" t="s">
        <v>7325</v>
      </c>
      <c r="F6966" t="s">
        <v>7325</v>
      </c>
      <c r="G6966" s="1">
        <v>40787</v>
      </c>
      <c r="H6966" s="1">
        <v>40940</v>
      </c>
      <c r="I6966" t="s">
        <v>12</v>
      </c>
      <c r="J6966" t="s">
        <v>17736</v>
      </c>
    </row>
    <row r="6967" spans="1:10" x14ac:dyDescent="0.25">
      <c r="A6967">
        <v>840535</v>
      </c>
      <c r="B6967" t="s">
        <v>7332</v>
      </c>
      <c r="C6967" t="str">
        <f>"9781848166936"</f>
        <v>9781848166936</v>
      </c>
      <c r="D6967" t="str">
        <f>"9781848166943"</f>
        <v>9781848166943</v>
      </c>
      <c r="E6967" t="s">
        <v>1042</v>
      </c>
      <c r="F6967" t="s">
        <v>3986</v>
      </c>
      <c r="G6967" s="1">
        <v>40606</v>
      </c>
      <c r="H6967" s="1">
        <v>41528</v>
      </c>
      <c r="I6967" t="s">
        <v>12</v>
      </c>
      <c r="J6967" t="s">
        <v>17737</v>
      </c>
    </row>
    <row r="6968" spans="1:10" x14ac:dyDescent="0.25">
      <c r="A6968">
        <v>840569</v>
      </c>
      <c r="B6968" t="s">
        <v>7333</v>
      </c>
      <c r="C6968" t="str">
        <f>"9789814327947"</f>
        <v>9789814327947</v>
      </c>
      <c r="D6968" t="str">
        <f>"9789814327954"</f>
        <v>9789814327954</v>
      </c>
      <c r="E6968" t="s">
        <v>1042</v>
      </c>
      <c r="F6968" t="s">
        <v>1043</v>
      </c>
      <c r="G6968" s="1">
        <v>40528</v>
      </c>
      <c r="H6968" s="1">
        <v>41528</v>
      </c>
      <c r="I6968" t="s">
        <v>12</v>
      </c>
      <c r="J6968" t="s">
        <v>17738</v>
      </c>
    </row>
    <row r="6969" spans="1:10" x14ac:dyDescent="0.25">
      <c r="A6969">
        <v>840594</v>
      </c>
      <c r="B6969" t="s">
        <v>7334</v>
      </c>
      <c r="C6969" t="str">
        <f>"9789814343848"</f>
        <v>9789814343848</v>
      </c>
      <c r="D6969" t="str">
        <f>"9789814343855"</f>
        <v>9789814343855</v>
      </c>
      <c r="E6969" t="s">
        <v>1042</v>
      </c>
      <c r="F6969" t="s">
        <v>1043</v>
      </c>
      <c r="G6969" s="1">
        <v>40634</v>
      </c>
      <c r="H6969" s="1">
        <v>41528</v>
      </c>
      <c r="I6969" t="s">
        <v>12</v>
      </c>
      <c r="J6969" t="s">
        <v>17739</v>
      </c>
    </row>
    <row r="6970" spans="1:10" x14ac:dyDescent="0.25">
      <c r="A6970">
        <v>843189</v>
      </c>
      <c r="B6970" t="s">
        <v>7335</v>
      </c>
      <c r="C6970" t="str">
        <f>"9780877459736"</f>
        <v>9780877459736</v>
      </c>
      <c r="D6970" t="str">
        <f>"9781587296703"</f>
        <v>9781587296703</v>
      </c>
      <c r="E6970" t="s">
        <v>7336</v>
      </c>
      <c r="F6970" t="s">
        <v>7337</v>
      </c>
      <c r="G6970" s="1">
        <v>38777</v>
      </c>
      <c r="H6970" s="1">
        <v>40926</v>
      </c>
      <c r="I6970" t="s">
        <v>12</v>
      </c>
      <c r="J6970" t="s">
        <v>17740</v>
      </c>
    </row>
    <row r="6971" spans="1:10" x14ac:dyDescent="0.25">
      <c r="A6971">
        <v>846057</v>
      </c>
      <c r="B6971" t="s">
        <v>7338</v>
      </c>
      <c r="C6971" t="str">
        <f>"9780813037264"</f>
        <v>9780813037264</v>
      </c>
      <c r="D6971" t="str">
        <f>"9780813040554"</f>
        <v>9780813040554</v>
      </c>
      <c r="E6971" t="s">
        <v>2935</v>
      </c>
      <c r="F6971" t="s">
        <v>2935</v>
      </c>
      <c r="G6971" s="1">
        <v>40832</v>
      </c>
      <c r="H6971" s="1">
        <v>40932</v>
      </c>
      <c r="I6971" t="s">
        <v>12</v>
      </c>
      <c r="J6971" t="s">
        <v>17741</v>
      </c>
    </row>
    <row r="6972" spans="1:10" x14ac:dyDescent="0.25">
      <c r="A6972">
        <v>846153</v>
      </c>
      <c r="B6972" t="s">
        <v>7339</v>
      </c>
      <c r="C6972" t="str">
        <f>"9780786464586"</f>
        <v>9780786464586</v>
      </c>
      <c r="D6972" t="str">
        <f>"9780786488520"</f>
        <v>9780786488520</v>
      </c>
      <c r="E6972" t="s">
        <v>6269</v>
      </c>
      <c r="F6972" t="s">
        <v>6269</v>
      </c>
      <c r="G6972" s="1">
        <v>40921</v>
      </c>
      <c r="H6972" s="1">
        <v>40932</v>
      </c>
      <c r="I6972" t="s">
        <v>12</v>
      </c>
      <c r="J6972" t="s">
        <v>17742</v>
      </c>
    </row>
    <row r="6973" spans="1:10" x14ac:dyDescent="0.25">
      <c r="A6973">
        <v>849498</v>
      </c>
      <c r="B6973" t="s">
        <v>7340</v>
      </c>
      <c r="C6973" t="str">
        <f>"9783525530955"</f>
        <v>9783525530955</v>
      </c>
      <c r="D6973" t="str">
        <f>"9783647530956"</f>
        <v>9783647530956</v>
      </c>
      <c r="E6973" t="s">
        <v>7341</v>
      </c>
      <c r="F6973" t="s">
        <v>7341</v>
      </c>
      <c r="G6973" s="1">
        <v>40072</v>
      </c>
      <c r="H6973" s="1">
        <v>41300</v>
      </c>
      <c r="I6973" t="s">
        <v>12</v>
      </c>
      <c r="J6973" t="s">
        <v>17743</v>
      </c>
    </row>
    <row r="6974" spans="1:10" x14ac:dyDescent="0.25">
      <c r="A6974">
        <v>849732</v>
      </c>
      <c r="B6974" t="s">
        <v>7342</v>
      </c>
      <c r="C6974" t="str">
        <f>"9783525403273"</f>
        <v>9783525403273</v>
      </c>
      <c r="D6974" t="str">
        <f>"9783647403274"</f>
        <v>9783647403274</v>
      </c>
      <c r="E6974" t="s">
        <v>7341</v>
      </c>
      <c r="F6974" t="s">
        <v>7341</v>
      </c>
      <c r="G6974" s="1">
        <v>40436</v>
      </c>
      <c r="H6974" s="1">
        <v>41301</v>
      </c>
      <c r="I6974" t="s">
        <v>12</v>
      </c>
      <c r="J6974" t="s">
        <v>17744</v>
      </c>
    </row>
    <row r="6975" spans="1:10" x14ac:dyDescent="0.25">
      <c r="A6975">
        <v>849771</v>
      </c>
      <c r="B6975" t="s">
        <v>7343</v>
      </c>
      <c r="C6975" t="str">
        <f>"9783525532546"</f>
        <v>9783525532546</v>
      </c>
      <c r="D6975" t="str">
        <f>"9783647532547"</f>
        <v>9783647532547</v>
      </c>
      <c r="E6975" t="s">
        <v>7341</v>
      </c>
      <c r="F6975" t="s">
        <v>7341</v>
      </c>
      <c r="G6975" s="1">
        <v>40611</v>
      </c>
      <c r="H6975" s="1">
        <v>41301</v>
      </c>
      <c r="I6975" t="s">
        <v>12</v>
      </c>
      <c r="J6975" t="s">
        <v>17745</v>
      </c>
    </row>
    <row r="6976" spans="1:10" x14ac:dyDescent="0.25">
      <c r="A6976">
        <v>863943</v>
      </c>
      <c r="B6976" t="s">
        <v>7344</v>
      </c>
      <c r="C6976" t="str">
        <f>"9780814474020"</f>
        <v>9780814474020</v>
      </c>
      <c r="D6976" t="str">
        <f>"9780814429761"</f>
        <v>9780814429761</v>
      </c>
      <c r="E6976" t="s">
        <v>1080</v>
      </c>
      <c r="F6976" t="s">
        <v>1080</v>
      </c>
      <c r="G6976" s="1">
        <v>39150</v>
      </c>
      <c r="H6976" s="1">
        <v>41395</v>
      </c>
      <c r="I6976" t="s">
        <v>12</v>
      </c>
      <c r="J6976" t="s">
        <v>17746</v>
      </c>
    </row>
    <row r="6977" spans="1:10" x14ac:dyDescent="0.25">
      <c r="A6977">
        <v>864189</v>
      </c>
      <c r="B6977" t="s">
        <v>7345</v>
      </c>
      <c r="C6977" t="str">
        <f>"9781608055609"</f>
        <v>9781608055609</v>
      </c>
      <c r="D6977" t="str">
        <f>"9781608051700"</f>
        <v>9781608051700</v>
      </c>
      <c r="E6977" t="s">
        <v>7346</v>
      </c>
      <c r="F6977" t="s">
        <v>7346</v>
      </c>
      <c r="G6977" s="1">
        <v>40508</v>
      </c>
      <c r="H6977" s="1">
        <v>40963</v>
      </c>
      <c r="I6977" t="s">
        <v>12</v>
      </c>
      <c r="J6977" t="s">
        <v>17747</v>
      </c>
    </row>
    <row r="6978" spans="1:10" x14ac:dyDescent="0.25">
      <c r="A6978">
        <v>864193</v>
      </c>
      <c r="B6978" t="s">
        <v>7347</v>
      </c>
      <c r="C6978" t="str">
        <f>"9781608055739"</f>
        <v>9781608055739</v>
      </c>
      <c r="D6978" t="str">
        <f>"9781608050079"</f>
        <v>9781608050079</v>
      </c>
      <c r="E6978" t="s">
        <v>7346</v>
      </c>
      <c r="F6978" t="s">
        <v>7346</v>
      </c>
      <c r="G6978" s="1">
        <v>40511</v>
      </c>
      <c r="H6978" s="1">
        <v>40963</v>
      </c>
      <c r="I6978" t="s">
        <v>12</v>
      </c>
      <c r="J6978" t="s">
        <v>17748</v>
      </c>
    </row>
    <row r="6979" spans="1:10" x14ac:dyDescent="0.25">
      <c r="A6979">
        <v>864196</v>
      </c>
      <c r="B6979" t="s">
        <v>7348</v>
      </c>
      <c r="C6979" t="str">
        <f>"9781608054985"</f>
        <v>9781608054985</v>
      </c>
      <c r="D6979" t="str">
        <f>"9781608050963"</f>
        <v>9781608050963</v>
      </c>
      <c r="E6979" t="s">
        <v>7346</v>
      </c>
      <c r="F6979" t="s">
        <v>7346</v>
      </c>
      <c r="G6979" s="1">
        <v>40511</v>
      </c>
      <c r="H6979" s="1">
        <v>40963</v>
      </c>
      <c r="I6979" t="s">
        <v>12</v>
      </c>
      <c r="J6979" t="s">
        <v>17749</v>
      </c>
    </row>
    <row r="6980" spans="1:10" x14ac:dyDescent="0.25">
      <c r="A6980">
        <v>864213</v>
      </c>
      <c r="B6980" t="s">
        <v>7349</v>
      </c>
      <c r="C6980" t="str">
        <f>"9781608055197"</f>
        <v>9781608055197</v>
      </c>
      <c r="D6980" t="str">
        <f>"9781608051328"</f>
        <v>9781608051328</v>
      </c>
      <c r="E6980" t="s">
        <v>7346</v>
      </c>
      <c r="F6980" t="s">
        <v>7346</v>
      </c>
      <c r="G6980" s="1">
        <v>40540</v>
      </c>
      <c r="H6980" s="1">
        <v>40963</v>
      </c>
      <c r="I6980" t="s">
        <v>12</v>
      </c>
      <c r="J6980" t="s">
        <v>17750</v>
      </c>
    </row>
    <row r="6981" spans="1:10" x14ac:dyDescent="0.25">
      <c r="A6981">
        <v>864228</v>
      </c>
      <c r="B6981" t="s">
        <v>7350</v>
      </c>
      <c r="C6981" t="str">
        <f>"9781608053766"</f>
        <v>9781608053766</v>
      </c>
      <c r="D6981" t="str">
        <f>"9781608050925"</f>
        <v>9781608050925</v>
      </c>
      <c r="E6981" t="s">
        <v>7346</v>
      </c>
      <c r="F6981" t="s">
        <v>7346</v>
      </c>
      <c r="G6981" s="1">
        <v>40568</v>
      </c>
      <c r="H6981" s="1">
        <v>40963</v>
      </c>
      <c r="I6981" t="s">
        <v>12</v>
      </c>
      <c r="J6981" t="s">
        <v>17751</v>
      </c>
    </row>
    <row r="6982" spans="1:10" x14ac:dyDescent="0.25">
      <c r="A6982">
        <v>864265</v>
      </c>
      <c r="B6982" t="s">
        <v>7351</v>
      </c>
      <c r="C6982" t="str">
        <f>"9781608056927"</f>
        <v>9781608056927</v>
      </c>
      <c r="D6982" t="str">
        <f>"9781608052509"</f>
        <v>9781608052509</v>
      </c>
      <c r="E6982" t="s">
        <v>7346</v>
      </c>
      <c r="F6982" t="s">
        <v>7346</v>
      </c>
      <c r="G6982" s="1">
        <v>40647</v>
      </c>
      <c r="H6982" s="1">
        <v>40963</v>
      </c>
      <c r="I6982" t="s">
        <v>12</v>
      </c>
      <c r="J6982" t="s">
        <v>17752</v>
      </c>
    </row>
    <row r="6983" spans="1:10" x14ac:dyDescent="0.25">
      <c r="A6983">
        <v>864281</v>
      </c>
      <c r="B6983" t="s">
        <v>7352</v>
      </c>
      <c r="C6983" t="str">
        <f>"9781608053858"</f>
        <v>9781608053858</v>
      </c>
      <c r="D6983" t="str">
        <f>"9781608051915"</f>
        <v>9781608051915</v>
      </c>
      <c r="E6983" t="s">
        <v>7346</v>
      </c>
      <c r="F6983" t="s">
        <v>7346</v>
      </c>
      <c r="G6983" s="1">
        <v>40508</v>
      </c>
      <c r="H6983" s="1">
        <v>40963</v>
      </c>
      <c r="I6983" t="s">
        <v>12</v>
      </c>
      <c r="J6983" t="s">
        <v>17753</v>
      </c>
    </row>
    <row r="6984" spans="1:10" x14ac:dyDescent="0.25">
      <c r="A6984">
        <v>864293</v>
      </c>
      <c r="B6984" t="s">
        <v>7353</v>
      </c>
      <c r="C6984" t="str">
        <f>"9781608052622"</f>
        <v>9781608052622</v>
      </c>
      <c r="D6984" t="str">
        <f>"9781608050215"</f>
        <v>9781608050215</v>
      </c>
      <c r="E6984" t="s">
        <v>7346</v>
      </c>
      <c r="F6984" t="s">
        <v>7346</v>
      </c>
      <c r="G6984" s="1">
        <v>39906</v>
      </c>
      <c r="H6984" s="1">
        <v>40963</v>
      </c>
      <c r="I6984" t="s">
        <v>12</v>
      </c>
      <c r="J6984" t="s">
        <v>17754</v>
      </c>
    </row>
    <row r="6985" spans="1:10" x14ac:dyDescent="0.25">
      <c r="A6985">
        <v>864302</v>
      </c>
      <c r="B6985" t="s">
        <v>7354</v>
      </c>
      <c r="C6985" t="str">
        <f>"9781608050918"</f>
        <v>9781608050918</v>
      </c>
      <c r="D6985" t="str">
        <f>"9781608050635"</f>
        <v>9781608050635</v>
      </c>
      <c r="E6985" t="s">
        <v>7346</v>
      </c>
      <c r="F6985" t="s">
        <v>7346</v>
      </c>
      <c r="G6985" s="1">
        <v>40393</v>
      </c>
      <c r="H6985" s="1">
        <v>40963</v>
      </c>
      <c r="I6985" t="s">
        <v>12</v>
      </c>
      <c r="J6985" t="s">
        <v>17755</v>
      </c>
    </row>
    <row r="6986" spans="1:10" x14ac:dyDescent="0.25">
      <c r="A6986">
        <v>864321</v>
      </c>
      <c r="B6986" t="s">
        <v>7355</v>
      </c>
      <c r="C6986" t="str">
        <f>"9781608053964"</f>
        <v>9781608053964</v>
      </c>
      <c r="D6986" t="str">
        <f>"9781608051960"</f>
        <v>9781608051960</v>
      </c>
      <c r="E6986" t="s">
        <v>7346</v>
      </c>
      <c r="F6986" t="s">
        <v>7346</v>
      </c>
      <c r="G6986" s="1">
        <v>40536</v>
      </c>
      <c r="H6986" s="1">
        <v>40963</v>
      </c>
      <c r="I6986" t="s">
        <v>12</v>
      </c>
      <c r="J6986" t="s">
        <v>17756</v>
      </c>
    </row>
    <row r="6987" spans="1:10" x14ac:dyDescent="0.25">
      <c r="A6987">
        <v>864329</v>
      </c>
      <c r="B6987" t="s">
        <v>7356</v>
      </c>
      <c r="C6987" t="str">
        <f>"9781608053322"</f>
        <v>9781608053322</v>
      </c>
      <c r="D6987" t="str">
        <f>"9781608051847"</f>
        <v>9781608051847</v>
      </c>
      <c r="E6987" t="s">
        <v>7346</v>
      </c>
      <c r="F6987" t="s">
        <v>7346</v>
      </c>
      <c r="G6987" s="1">
        <v>40508</v>
      </c>
      <c r="H6987" s="1">
        <v>40963</v>
      </c>
      <c r="I6987" t="s">
        <v>12</v>
      </c>
      <c r="J6987" t="s">
        <v>17757</v>
      </c>
    </row>
    <row r="6988" spans="1:10" x14ac:dyDescent="0.25">
      <c r="A6988">
        <v>865483</v>
      </c>
      <c r="B6988" t="s">
        <v>7357</v>
      </c>
      <c r="C6988" t="str">
        <f>"9780814731796"</f>
        <v>9780814731796</v>
      </c>
      <c r="D6988" t="str">
        <f>"9780814733066"</f>
        <v>9780814733066</v>
      </c>
      <c r="E6988" t="s">
        <v>7358</v>
      </c>
      <c r="F6988" t="s">
        <v>7358</v>
      </c>
      <c r="G6988" s="1">
        <v>39417</v>
      </c>
      <c r="H6988" s="1">
        <v>40975</v>
      </c>
      <c r="I6988" t="s">
        <v>12</v>
      </c>
      <c r="J6988" t="s">
        <v>17758</v>
      </c>
    </row>
    <row r="6989" spans="1:10" x14ac:dyDescent="0.25">
      <c r="A6989">
        <v>865567</v>
      </c>
      <c r="B6989" t="s">
        <v>7359</v>
      </c>
      <c r="C6989" t="str">
        <f>"9780814742860"</f>
        <v>9780814742860</v>
      </c>
      <c r="D6989" t="str">
        <f>"9780814743607"</f>
        <v>9780814743607</v>
      </c>
      <c r="E6989" t="s">
        <v>7358</v>
      </c>
      <c r="F6989" t="s">
        <v>7358</v>
      </c>
      <c r="G6989" s="1">
        <v>39356</v>
      </c>
      <c r="H6989" s="1">
        <v>40975</v>
      </c>
      <c r="I6989" t="s">
        <v>12</v>
      </c>
      <c r="J6989" t="s">
        <v>17759</v>
      </c>
    </row>
    <row r="6990" spans="1:10" x14ac:dyDescent="0.25">
      <c r="A6990">
        <v>865698</v>
      </c>
      <c r="B6990" t="s">
        <v>7360</v>
      </c>
      <c r="C6990" t="str">
        <f>"9780814795545"</f>
        <v>9780814795545</v>
      </c>
      <c r="D6990" t="str">
        <f>"9780814759578"</f>
        <v>9780814759578</v>
      </c>
      <c r="E6990" t="s">
        <v>7358</v>
      </c>
      <c r="F6990" t="s">
        <v>7358</v>
      </c>
      <c r="G6990" s="1">
        <v>40252</v>
      </c>
      <c r="H6990" s="1">
        <v>40975</v>
      </c>
      <c r="I6990" t="s">
        <v>12</v>
      </c>
      <c r="J6990" t="s">
        <v>17760</v>
      </c>
    </row>
    <row r="6991" spans="1:10" x14ac:dyDescent="0.25">
      <c r="A6991">
        <v>865802</v>
      </c>
      <c r="B6991" t="s">
        <v>7361</v>
      </c>
      <c r="C6991" t="str">
        <f>"9780814767269"</f>
        <v>9780814767269</v>
      </c>
      <c r="D6991" t="str">
        <f>"9780814768419"</f>
        <v>9780814768419</v>
      </c>
      <c r="E6991" t="s">
        <v>7358</v>
      </c>
      <c r="F6991" t="s">
        <v>7358</v>
      </c>
      <c r="G6991" s="1">
        <v>39356</v>
      </c>
      <c r="H6991" s="1">
        <v>40975</v>
      </c>
      <c r="I6991" t="s">
        <v>12</v>
      </c>
      <c r="J6991" t="s">
        <v>17761</v>
      </c>
    </row>
    <row r="6992" spans="1:10" x14ac:dyDescent="0.25">
      <c r="A6992">
        <v>865803</v>
      </c>
      <c r="B6992" t="s">
        <v>7362</v>
      </c>
      <c r="C6992" t="str">
        <f>"9780814767078"</f>
        <v>9780814767078</v>
      </c>
      <c r="D6992" t="str">
        <f>"9780814768426"</f>
        <v>9780814768426</v>
      </c>
      <c r="E6992" t="s">
        <v>7358</v>
      </c>
      <c r="F6992" t="s">
        <v>7358</v>
      </c>
      <c r="G6992" s="1">
        <v>39448</v>
      </c>
      <c r="H6992" s="1">
        <v>40975</v>
      </c>
      <c r="I6992" t="s">
        <v>12</v>
      </c>
      <c r="J6992" t="s">
        <v>17762</v>
      </c>
    </row>
    <row r="6993" spans="1:10" x14ac:dyDescent="0.25">
      <c r="A6993">
        <v>865882</v>
      </c>
      <c r="B6993" t="s">
        <v>7363</v>
      </c>
      <c r="C6993" t="str">
        <f>"9780814716311"</f>
        <v>9780814716311</v>
      </c>
      <c r="D6993" t="str">
        <f>"9780814772911"</f>
        <v>9780814772911</v>
      </c>
      <c r="E6993" t="s">
        <v>7358</v>
      </c>
      <c r="F6993" t="s">
        <v>7358</v>
      </c>
      <c r="G6993" s="1">
        <v>39387</v>
      </c>
      <c r="H6993" s="1">
        <v>41003</v>
      </c>
      <c r="I6993" t="s">
        <v>12</v>
      </c>
      <c r="J6993" t="s">
        <v>17763</v>
      </c>
    </row>
    <row r="6994" spans="1:10" x14ac:dyDescent="0.25">
      <c r="A6994">
        <v>865910</v>
      </c>
      <c r="B6994" t="s">
        <v>7364</v>
      </c>
      <c r="C6994" t="str">
        <f>"9780814775950"</f>
        <v>9780814775950</v>
      </c>
      <c r="D6994" t="str">
        <f>"9780814777442"</f>
        <v>9780814777442</v>
      </c>
      <c r="E6994" t="s">
        <v>7358</v>
      </c>
      <c r="F6994" t="s">
        <v>7358</v>
      </c>
      <c r="G6994" s="1">
        <v>39783</v>
      </c>
      <c r="H6994" s="1">
        <v>40975</v>
      </c>
      <c r="I6994" t="s">
        <v>12</v>
      </c>
      <c r="J6994" t="s">
        <v>17764</v>
      </c>
    </row>
    <row r="6995" spans="1:10" x14ac:dyDescent="0.25">
      <c r="A6995">
        <v>866003</v>
      </c>
      <c r="B6995" t="s">
        <v>7365</v>
      </c>
      <c r="C6995" t="str">
        <f>"9780814740149"</f>
        <v>9780814740149</v>
      </c>
      <c r="D6995" t="str">
        <f>"9780814786505"</f>
        <v>9780814786505</v>
      </c>
      <c r="E6995" t="s">
        <v>7358</v>
      </c>
      <c r="F6995" t="s">
        <v>7358</v>
      </c>
      <c r="G6995" s="1">
        <v>39142</v>
      </c>
      <c r="H6995" s="1">
        <v>40975</v>
      </c>
      <c r="I6995" t="s">
        <v>12</v>
      </c>
      <c r="J6995" t="s">
        <v>17765</v>
      </c>
    </row>
    <row r="6996" spans="1:10" x14ac:dyDescent="0.25">
      <c r="A6996">
        <v>866008</v>
      </c>
      <c r="B6996" t="s">
        <v>7366</v>
      </c>
      <c r="C6996" t="str">
        <f>"9780814741405"</f>
        <v>9780814741405</v>
      </c>
      <c r="D6996" t="str">
        <f>"9780814786550"</f>
        <v>9780814786550</v>
      </c>
      <c r="E6996" t="s">
        <v>7358</v>
      </c>
      <c r="F6996" t="s">
        <v>7358</v>
      </c>
      <c r="G6996" s="1">
        <v>40457</v>
      </c>
      <c r="H6996" s="1">
        <v>40975</v>
      </c>
      <c r="I6996" t="s">
        <v>12</v>
      </c>
      <c r="J6996" t="s">
        <v>17766</v>
      </c>
    </row>
    <row r="6997" spans="1:10" x14ac:dyDescent="0.25">
      <c r="A6997">
        <v>866107</v>
      </c>
      <c r="B6997" t="s">
        <v>7367</v>
      </c>
      <c r="C6997" t="str">
        <f>"9780814737033"</f>
        <v>9780814737033</v>
      </c>
      <c r="D6997" t="str">
        <f>"9780814790793"</f>
        <v>9780814790793</v>
      </c>
      <c r="E6997" t="s">
        <v>7358</v>
      </c>
      <c r="F6997" t="s">
        <v>7358</v>
      </c>
      <c r="G6997" s="1">
        <v>40547</v>
      </c>
      <c r="H6997" s="1">
        <v>40975</v>
      </c>
      <c r="I6997" t="s">
        <v>12</v>
      </c>
      <c r="J6997" t="s">
        <v>17767</v>
      </c>
    </row>
    <row r="6998" spans="1:10" x14ac:dyDescent="0.25">
      <c r="A6998">
        <v>866147</v>
      </c>
      <c r="B6998" t="s">
        <v>7368</v>
      </c>
      <c r="C6998" t="str">
        <f>"9780814740446"</f>
        <v>9780814740446</v>
      </c>
      <c r="D6998" t="str">
        <f>"9780814708828"</f>
        <v>9780814708828</v>
      </c>
      <c r="E6998" t="s">
        <v>7358</v>
      </c>
      <c r="F6998" t="s">
        <v>7358</v>
      </c>
      <c r="G6998" s="1">
        <v>39387</v>
      </c>
      <c r="H6998" s="1">
        <v>40994</v>
      </c>
      <c r="I6998" t="s">
        <v>12</v>
      </c>
      <c r="J6998" t="s">
        <v>17768</v>
      </c>
    </row>
    <row r="6999" spans="1:10" x14ac:dyDescent="0.25">
      <c r="A6999">
        <v>866178</v>
      </c>
      <c r="B6999" t="s">
        <v>7369</v>
      </c>
      <c r="C6999" t="str">
        <f>"9780814752227"</f>
        <v>9780814752227</v>
      </c>
      <c r="D6999" t="str">
        <f>"9780814753408"</f>
        <v>9780814753408</v>
      </c>
      <c r="E6999" t="s">
        <v>7358</v>
      </c>
      <c r="F6999" t="s">
        <v>7358</v>
      </c>
      <c r="G6999" s="1">
        <v>39387</v>
      </c>
      <c r="H6999" s="1">
        <v>40975</v>
      </c>
      <c r="I6999" t="s">
        <v>12</v>
      </c>
      <c r="J6999" t="s">
        <v>17769</v>
      </c>
    </row>
    <row r="7000" spans="1:10" x14ac:dyDescent="0.25">
      <c r="A7000">
        <v>866205</v>
      </c>
      <c r="B7000" t="s">
        <v>7370</v>
      </c>
      <c r="C7000" t="str">
        <f>"9780814775837"</f>
        <v>9780814775837</v>
      </c>
      <c r="D7000" t="str">
        <f>"9780814777497"</f>
        <v>9780814777497</v>
      </c>
      <c r="E7000" t="s">
        <v>7358</v>
      </c>
      <c r="F7000" t="s">
        <v>7358</v>
      </c>
      <c r="G7000" s="1">
        <v>39264</v>
      </c>
      <c r="H7000" s="1">
        <v>40981</v>
      </c>
      <c r="I7000" t="s">
        <v>12</v>
      </c>
      <c r="J7000" t="s">
        <v>17770</v>
      </c>
    </row>
    <row r="7001" spans="1:10" x14ac:dyDescent="0.25">
      <c r="A7001">
        <v>868678</v>
      </c>
      <c r="B7001" t="s">
        <v>7371</v>
      </c>
      <c r="C7001" t="str">
        <f>"9780465025183"</f>
        <v>9780465025183</v>
      </c>
      <c r="D7001" t="str">
        <f>"9780465020027"</f>
        <v>9780465020027</v>
      </c>
      <c r="E7001" t="s">
        <v>6227</v>
      </c>
      <c r="F7001" t="s">
        <v>6227</v>
      </c>
      <c r="G7001" s="1">
        <v>40092</v>
      </c>
      <c r="H7001" s="1">
        <v>40975</v>
      </c>
      <c r="I7001" t="s">
        <v>12</v>
      </c>
      <c r="J7001" t="s">
        <v>17771</v>
      </c>
    </row>
    <row r="7002" spans="1:10" x14ac:dyDescent="0.25">
      <c r="A7002">
        <v>870067</v>
      </c>
      <c r="B7002" t="s">
        <v>7372</v>
      </c>
      <c r="C7002" t="str">
        <f>"9780813547343"</f>
        <v>9780813547343</v>
      </c>
      <c r="D7002" t="str">
        <f>"9780813549163"</f>
        <v>9780813549163</v>
      </c>
      <c r="E7002" t="s">
        <v>4859</v>
      </c>
      <c r="F7002" t="s">
        <v>7373</v>
      </c>
      <c r="G7002" s="1">
        <v>40203</v>
      </c>
      <c r="H7002" s="1">
        <v>40992</v>
      </c>
      <c r="I7002" t="s">
        <v>12</v>
      </c>
      <c r="J7002" t="s">
        <v>17772</v>
      </c>
    </row>
    <row r="7003" spans="1:10" x14ac:dyDescent="0.25">
      <c r="A7003">
        <v>870069</v>
      </c>
      <c r="B7003" t="s">
        <v>7374</v>
      </c>
      <c r="C7003" t="str">
        <f>"9780813546919"</f>
        <v>9780813546919</v>
      </c>
      <c r="D7003" t="str">
        <f>"9780813549125"</f>
        <v>9780813549125</v>
      </c>
      <c r="E7003" t="s">
        <v>4859</v>
      </c>
      <c r="F7003" t="s">
        <v>4859</v>
      </c>
      <c r="G7003" s="1">
        <v>40224</v>
      </c>
      <c r="H7003" s="1">
        <v>40992</v>
      </c>
      <c r="I7003" t="s">
        <v>12</v>
      </c>
      <c r="J7003" t="s">
        <v>17773</v>
      </c>
    </row>
    <row r="7004" spans="1:10" x14ac:dyDescent="0.25">
      <c r="A7004">
        <v>870070</v>
      </c>
      <c r="B7004" t="s">
        <v>7375</v>
      </c>
      <c r="C7004" t="str">
        <f>"9780813546865"</f>
        <v>9780813546865</v>
      </c>
      <c r="D7004" t="str">
        <f>"9780813549101"</f>
        <v>9780813549101</v>
      </c>
      <c r="E7004" t="s">
        <v>4859</v>
      </c>
      <c r="F7004" t="s">
        <v>4859</v>
      </c>
      <c r="G7004" s="1">
        <v>40197</v>
      </c>
      <c r="H7004" s="1">
        <v>40992</v>
      </c>
      <c r="I7004" t="s">
        <v>12</v>
      </c>
      <c r="J7004" t="s">
        <v>17774</v>
      </c>
    </row>
    <row r="7005" spans="1:10" x14ac:dyDescent="0.25">
      <c r="A7005">
        <v>870911</v>
      </c>
      <c r="B7005" t="s">
        <v>7376</v>
      </c>
      <c r="C7005" t="str">
        <f>"9780813545899"</f>
        <v>9780813545899</v>
      </c>
      <c r="D7005" t="str">
        <f>"9780813548159"</f>
        <v>9780813548159</v>
      </c>
      <c r="E7005" t="s">
        <v>4859</v>
      </c>
      <c r="F7005" t="s">
        <v>4859</v>
      </c>
      <c r="G7005" s="1">
        <v>40132</v>
      </c>
      <c r="H7005" s="1">
        <v>40995</v>
      </c>
      <c r="I7005" t="s">
        <v>12</v>
      </c>
      <c r="J7005" t="s">
        <v>17775</v>
      </c>
    </row>
    <row r="7006" spans="1:10" x14ac:dyDescent="0.25">
      <c r="A7006">
        <v>876801</v>
      </c>
      <c r="B7006" t="s">
        <v>7377</v>
      </c>
      <c r="C7006" t="str">
        <f>"9780814409145"</f>
        <v>9780814409145</v>
      </c>
      <c r="D7006" t="str">
        <f>"9780814400845"</f>
        <v>9780814400845</v>
      </c>
      <c r="E7006" t="s">
        <v>1080</v>
      </c>
      <c r="F7006" t="s">
        <v>1080</v>
      </c>
      <c r="G7006" s="1">
        <v>39211</v>
      </c>
      <c r="H7006" s="1">
        <v>40996</v>
      </c>
      <c r="I7006" t="s">
        <v>12</v>
      </c>
      <c r="J7006" t="s">
        <v>17776</v>
      </c>
    </row>
    <row r="7007" spans="1:10" x14ac:dyDescent="0.25">
      <c r="A7007">
        <v>879606</v>
      </c>
      <c r="B7007" t="s">
        <v>7378</v>
      </c>
      <c r="C7007" t="str">
        <f>"9781930485167"</f>
        <v>9781930485167</v>
      </c>
      <c r="D7007" t="str">
        <f>"9781930485617"</f>
        <v>9781930485617</v>
      </c>
      <c r="E7007" t="s">
        <v>7379</v>
      </c>
      <c r="F7007" t="s">
        <v>7379</v>
      </c>
      <c r="G7007" s="1">
        <v>39524</v>
      </c>
      <c r="H7007" s="1">
        <v>40998</v>
      </c>
      <c r="I7007" t="s">
        <v>12</v>
      </c>
      <c r="J7007" t="s">
        <v>17777</v>
      </c>
    </row>
    <row r="7008" spans="1:10" x14ac:dyDescent="0.25">
      <c r="A7008">
        <v>880997</v>
      </c>
      <c r="B7008" t="s">
        <v>7380</v>
      </c>
      <c r="C7008" t="str">
        <f>"9781598292329"</f>
        <v>9781598292329</v>
      </c>
      <c r="D7008" t="str">
        <f>"9781598292336"</f>
        <v>9781598292336</v>
      </c>
      <c r="E7008" t="s">
        <v>7381</v>
      </c>
      <c r="F7008" t="s">
        <v>7381</v>
      </c>
      <c r="G7008" s="1">
        <v>40137</v>
      </c>
      <c r="H7008" s="1">
        <v>40998</v>
      </c>
      <c r="I7008" t="s">
        <v>12</v>
      </c>
      <c r="J7008" t="s">
        <v>17778</v>
      </c>
    </row>
    <row r="7009" spans="1:10" x14ac:dyDescent="0.25">
      <c r="A7009">
        <v>881037</v>
      </c>
      <c r="B7009" t="s">
        <v>7382</v>
      </c>
      <c r="C7009" t="str">
        <f>"9781598296112"</f>
        <v>9781598296112</v>
      </c>
      <c r="D7009" t="str">
        <f>"9781598296129"</f>
        <v>9781598296129</v>
      </c>
      <c r="E7009" t="s">
        <v>7381</v>
      </c>
      <c r="F7009" t="s">
        <v>7381</v>
      </c>
      <c r="G7009" s="1">
        <v>39797</v>
      </c>
      <c r="H7009" s="1">
        <v>40998</v>
      </c>
      <c r="I7009" t="s">
        <v>12</v>
      </c>
      <c r="J7009" t="s">
        <v>17779</v>
      </c>
    </row>
    <row r="7010" spans="1:10" x14ac:dyDescent="0.25">
      <c r="A7010">
        <v>881084</v>
      </c>
      <c r="B7010" t="s">
        <v>7383</v>
      </c>
      <c r="C7010" t="str">
        <f>"9781598298444"</f>
        <v>9781598298444</v>
      </c>
      <c r="D7010" t="str">
        <f>"9781598298451"</f>
        <v>9781598298451</v>
      </c>
      <c r="E7010" t="s">
        <v>7381</v>
      </c>
      <c r="F7010" t="s">
        <v>7381</v>
      </c>
      <c r="G7010" s="1">
        <v>40040</v>
      </c>
      <c r="H7010" s="1">
        <v>40998</v>
      </c>
      <c r="I7010" t="s">
        <v>12</v>
      </c>
      <c r="J7010" t="s">
        <v>17780</v>
      </c>
    </row>
    <row r="7011" spans="1:10" x14ac:dyDescent="0.25">
      <c r="A7011">
        <v>881087</v>
      </c>
      <c r="B7011" t="s">
        <v>7384</v>
      </c>
      <c r="C7011" t="str">
        <f>"9781598298604"</f>
        <v>9781598298604</v>
      </c>
      <c r="D7011" t="str">
        <f>"9781598298611"</f>
        <v>9781598298611</v>
      </c>
      <c r="E7011" t="s">
        <v>7381</v>
      </c>
      <c r="F7011" t="s">
        <v>7381</v>
      </c>
      <c r="G7011" s="1">
        <v>40040</v>
      </c>
      <c r="H7011" s="1">
        <v>40998</v>
      </c>
      <c r="I7011" t="s">
        <v>12</v>
      </c>
      <c r="J7011" t="s">
        <v>17781</v>
      </c>
    </row>
    <row r="7012" spans="1:10" x14ac:dyDescent="0.25">
      <c r="A7012">
        <v>881093</v>
      </c>
      <c r="B7012" t="s">
        <v>7385</v>
      </c>
      <c r="C7012" t="str">
        <f>"9781598298901"</f>
        <v>9781598298901</v>
      </c>
      <c r="D7012" t="str">
        <f>"9781598298918"</f>
        <v>9781598298918</v>
      </c>
      <c r="E7012" t="s">
        <v>7381</v>
      </c>
      <c r="F7012" t="s">
        <v>7381</v>
      </c>
      <c r="G7012" s="1">
        <v>39873</v>
      </c>
      <c r="H7012" s="1">
        <v>40998</v>
      </c>
      <c r="I7012" t="s">
        <v>12</v>
      </c>
      <c r="J7012" t="s">
        <v>17782</v>
      </c>
    </row>
    <row r="7013" spans="1:10" x14ac:dyDescent="0.25">
      <c r="A7013">
        <v>881094</v>
      </c>
      <c r="B7013" t="s">
        <v>7386</v>
      </c>
      <c r="C7013" t="str">
        <f>"9781598298932"</f>
        <v>9781598298932</v>
      </c>
      <c r="D7013" t="str">
        <f>"9781598298949"</f>
        <v>9781598298949</v>
      </c>
      <c r="E7013" t="s">
        <v>7381</v>
      </c>
      <c r="F7013" t="s">
        <v>7381</v>
      </c>
      <c r="G7013" s="1">
        <v>39873</v>
      </c>
      <c r="H7013" s="1">
        <v>40998</v>
      </c>
      <c r="I7013" t="s">
        <v>12</v>
      </c>
      <c r="J7013" t="s">
        <v>17783</v>
      </c>
    </row>
    <row r="7014" spans="1:10" x14ac:dyDescent="0.25">
      <c r="A7014">
        <v>881095</v>
      </c>
      <c r="B7014" t="s">
        <v>7387</v>
      </c>
      <c r="C7014" t="str">
        <f>"9781598298963"</f>
        <v>9781598298963</v>
      </c>
      <c r="D7014" t="str">
        <f>"9781598298970"</f>
        <v>9781598298970</v>
      </c>
      <c r="E7014" t="s">
        <v>7381</v>
      </c>
      <c r="F7014" t="s">
        <v>7381</v>
      </c>
      <c r="G7014" s="1">
        <v>39873</v>
      </c>
      <c r="H7014" s="1">
        <v>40998</v>
      </c>
      <c r="I7014" t="s">
        <v>12</v>
      </c>
      <c r="J7014" t="s">
        <v>17784</v>
      </c>
    </row>
    <row r="7015" spans="1:10" x14ac:dyDescent="0.25">
      <c r="A7015">
        <v>881096</v>
      </c>
      <c r="B7015" t="s">
        <v>7388</v>
      </c>
      <c r="C7015" t="str">
        <f>"9781598298994"</f>
        <v>9781598298994</v>
      </c>
      <c r="D7015" t="str">
        <f>"9781598299007"</f>
        <v>9781598299007</v>
      </c>
      <c r="E7015" t="s">
        <v>7381</v>
      </c>
      <c r="F7015" t="s">
        <v>7381</v>
      </c>
      <c r="G7015" s="1">
        <v>39873</v>
      </c>
      <c r="H7015" s="1">
        <v>40998</v>
      </c>
      <c r="I7015" t="s">
        <v>12</v>
      </c>
      <c r="J7015" t="s">
        <v>17785</v>
      </c>
    </row>
    <row r="7016" spans="1:10" x14ac:dyDescent="0.25">
      <c r="A7016">
        <v>884827</v>
      </c>
      <c r="B7016" t="s">
        <v>7389</v>
      </c>
      <c r="C7016" t="str">
        <f>"9780749466237"</f>
        <v>9780749466237</v>
      </c>
      <c r="D7016" t="str">
        <f>"9780749466404"</f>
        <v>9780749466404</v>
      </c>
      <c r="E7016" t="s">
        <v>1059</v>
      </c>
      <c r="F7016" t="s">
        <v>1059</v>
      </c>
      <c r="G7016" s="1">
        <v>40880</v>
      </c>
      <c r="H7016" s="1">
        <v>41047</v>
      </c>
      <c r="I7016" t="s">
        <v>12</v>
      </c>
      <c r="J7016" t="s">
        <v>17786</v>
      </c>
    </row>
    <row r="7017" spans="1:10" x14ac:dyDescent="0.25">
      <c r="A7017">
        <v>888558</v>
      </c>
      <c r="B7017" t="s">
        <v>7390</v>
      </c>
      <c r="C7017" t="str">
        <f>"9780804781947"</f>
        <v>9780804781947</v>
      </c>
      <c r="D7017" t="str">
        <f>"9780804783873"</f>
        <v>9780804783873</v>
      </c>
      <c r="E7017" t="s">
        <v>6225</v>
      </c>
      <c r="F7017" t="s">
        <v>7069</v>
      </c>
      <c r="G7017" s="1">
        <v>41073</v>
      </c>
      <c r="H7017" s="1">
        <v>41009</v>
      </c>
      <c r="I7017" t="s">
        <v>12</v>
      </c>
      <c r="J7017" t="s">
        <v>17787</v>
      </c>
    </row>
    <row r="7018" spans="1:10" x14ac:dyDescent="0.25">
      <c r="A7018">
        <v>895130</v>
      </c>
      <c r="B7018" t="s">
        <v>7391</v>
      </c>
      <c r="C7018" t="str">
        <f>"9780231148399"</f>
        <v>9780231148399</v>
      </c>
      <c r="D7018" t="str">
        <f>"9780231519908"</f>
        <v>9780231519908</v>
      </c>
      <c r="E7018" t="s">
        <v>7392</v>
      </c>
      <c r="F7018" t="s">
        <v>7392</v>
      </c>
      <c r="G7018" s="1">
        <v>40330</v>
      </c>
      <c r="H7018" s="1">
        <v>41300</v>
      </c>
      <c r="I7018" t="s">
        <v>12</v>
      </c>
      <c r="J7018" t="s">
        <v>17788</v>
      </c>
    </row>
    <row r="7019" spans="1:10" x14ac:dyDescent="0.25">
      <c r="A7019">
        <v>895140</v>
      </c>
      <c r="B7019" t="s">
        <v>7393</v>
      </c>
      <c r="C7019" t="str">
        <f>"9780231140959"</f>
        <v>9780231140959</v>
      </c>
      <c r="D7019" t="str">
        <f>"9780231526258"</f>
        <v>9780231526258</v>
      </c>
      <c r="E7019" t="s">
        <v>7392</v>
      </c>
      <c r="F7019" t="s">
        <v>7392</v>
      </c>
      <c r="G7019" s="1">
        <v>40330</v>
      </c>
      <c r="H7019" s="1">
        <v>41301</v>
      </c>
      <c r="I7019" t="s">
        <v>12</v>
      </c>
      <c r="J7019" t="s">
        <v>17789</v>
      </c>
    </row>
    <row r="7020" spans="1:10" x14ac:dyDescent="0.25">
      <c r="A7020">
        <v>895165</v>
      </c>
      <c r="B7020" t="s">
        <v>7394</v>
      </c>
      <c r="C7020" t="str">
        <f>"9780231129053"</f>
        <v>9780231129053</v>
      </c>
      <c r="D7020" t="str">
        <f>"9780231503020"</f>
        <v>9780231503020</v>
      </c>
      <c r="E7020" t="s">
        <v>7392</v>
      </c>
      <c r="F7020" t="s">
        <v>7392</v>
      </c>
      <c r="G7020" s="1">
        <v>40444</v>
      </c>
      <c r="H7020" s="1">
        <v>41300</v>
      </c>
      <c r="I7020" t="s">
        <v>12</v>
      </c>
      <c r="J7020" t="s">
        <v>17790</v>
      </c>
    </row>
    <row r="7021" spans="1:10" x14ac:dyDescent="0.25">
      <c r="A7021">
        <v>895174</v>
      </c>
      <c r="B7021" t="s">
        <v>7395</v>
      </c>
      <c r="C7021" t="str">
        <f>"9780231132251"</f>
        <v>9780231132251</v>
      </c>
      <c r="D7021" t="str">
        <f>"9780231507073"</f>
        <v>9780231507073</v>
      </c>
      <c r="E7021" t="s">
        <v>7392</v>
      </c>
      <c r="F7021" t="s">
        <v>7392</v>
      </c>
      <c r="G7021" s="1">
        <v>40221</v>
      </c>
      <c r="H7021" s="1">
        <v>41353</v>
      </c>
      <c r="I7021" t="s">
        <v>12</v>
      </c>
      <c r="J7021" t="s">
        <v>17791</v>
      </c>
    </row>
    <row r="7022" spans="1:10" x14ac:dyDescent="0.25">
      <c r="A7022">
        <v>895299</v>
      </c>
      <c r="B7022" t="s">
        <v>7396</v>
      </c>
      <c r="C7022" t="str">
        <f>"9781845280970"</f>
        <v>9781845280970</v>
      </c>
      <c r="D7022" t="str">
        <f>"9781848035980"</f>
        <v>9781848035980</v>
      </c>
      <c r="E7022" t="s">
        <v>7397</v>
      </c>
      <c r="F7022" t="s">
        <v>4908</v>
      </c>
      <c r="G7022" s="1">
        <v>40787</v>
      </c>
      <c r="H7022" s="1">
        <v>41018</v>
      </c>
      <c r="I7022" t="s">
        <v>12</v>
      </c>
      <c r="J7022" t="s">
        <v>17792</v>
      </c>
    </row>
    <row r="7023" spans="1:10" x14ac:dyDescent="0.25">
      <c r="A7023">
        <v>898740</v>
      </c>
      <c r="B7023" t="s">
        <v>7398</v>
      </c>
      <c r="C7023" t="str">
        <f>"9781845282561"</f>
        <v>9781845282561</v>
      </c>
      <c r="D7023" t="str">
        <f>"9781848032576"</f>
        <v>9781848032576</v>
      </c>
      <c r="E7023" t="s">
        <v>7397</v>
      </c>
      <c r="F7023" t="s">
        <v>4908</v>
      </c>
      <c r="G7023" s="1">
        <v>40787</v>
      </c>
      <c r="H7023" s="1">
        <v>41052</v>
      </c>
      <c r="I7023" t="s">
        <v>12</v>
      </c>
      <c r="J7023" t="s">
        <v>17793</v>
      </c>
    </row>
    <row r="7024" spans="1:10" x14ac:dyDescent="0.25">
      <c r="A7024">
        <v>903920</v>
      </c>
      <c r="B7024" t="s">
        <v>7399</v>
      </c>
      <c r="C7024" t="str">
        <f>"9780465004751"</f>
        <v>9780465004751</v>
      </c>
      <c r="D7024" t="str">
        <f>"9780465019977"</f>
        <v>9780465019977</v>
      </c>
      <c r="E7024" t="s">
        <v>6227</v>
      </c>
      <c r="F7024" t="s">
        <v>6227</v>
      </c>
      <c r="G7024" s="1">
        <v>40078</v>
      </c>
      <c r="H7024" s="1">
        <v>41056</v>
      </c>
      <c r="I7024" t="s">
        <v>12</v>
      </c>
      <c r="J7024" t="s">
        <v>17794</v>
      </c>
    </row>
    <row r="7025" spans="1:10" x14ac:dyDescent="0.25">
      <c r="A7025">
        <v>908104</v>
      </c>
      <c r="B7025" t="s">
        <v>7400</v>
      </c>
      <c r="C7025" t="str">
        <f>"9781596985216"</f>
        <v>9781596985216</v>
      </c>
      <c r="D7025" t="str">
        <f>"9781596985407"</f>
        <v>9781596985407</v>
      </c>
      <c r="E7025" t="s">
        <v>7401</v>
      </c>
      <c r="F7025" t="s">
        <v>7401</v>
      </c>
      <c r="G7025" s="1">
        <v>39315</v>
      </c>
      <c r="H7025" s="1">
        <v>41361</v>
      </c>
      <c r="I7025" t="s">
        <v>12</v>
      </c>
      <c r="J7025" t="s">
        <v>17795</v>
      </c>
    </row>
    <row r="7026" spans="1:10" x14ac:dyDescent="0.25">
      <c r="A7026">
        <v>908295</v>
      </c>
      <c r="B7026" t="s">
        <v>7402</v>
      </c>
      <c r="C7026" t="str">
        <f>"9780231152082"</f>
        <v>9780231152082</v>
      </c>
      <c r="D7026" t="str">
        <f>"9780231525497"</f>
        <v>9780231525497</v>
      </c>
      <c r="E7026" t="s">
        <v>7392</v>
      </c>
      <c r="F7026" t="s">
        <v>7392</v>
      </c>
      <c r="G7026" s="1">
        <v>40340</v>
      </c>
      <c r="H7026" s="1">
        <v>41331</v>
      </c>
      <c r="I7026" t="s">
        <v>12</v>
      </c>
      <c r="J7026" t="s">
        <v>17796</v>
      </c>
    </row>
    <row r="7027" spans="1:10" x14ac:dyDescent="0.25">
      <c r="A7027">
        <v>908765</v>
      </c>
      <c r="B7027" t="s">
        <v>7403</v>
      </c>
      <c r="C7027" t="str">
        <f>"9780231148627"</f>
        <v>9780231148627</v>
      </c>
      <c r="D7027" t="str">
        <f>"9780231520072"</f>
        <v>9780231520072</v>
      </c>
      <c r="E7027" t="s">
        <v>7392</v>
      </c>
      <c r="F7027" t="s">
        <v>7392</v>
      </c>
      <c r="G7027" s="1">
        <v>40364</v>
      </c>
      <c r="H7027" s="1">
        <v>41311</v>
      </c>
      <c r="I7027" t="s">
        <v>12</v>
      </c>
      <c r="J7027" t="s">
        <v>17797</v>
      </c>
    </row>
    <row r="7028" spans="1:10" x14ac:dyDescent="0.25">
      <c r="A7028">
        <v>908785</v>
      </c>
      <c r="B7028" t="s">
        <v>7404</v>
      </c>
      <c r="C7028" t="str">
        <f>"9780231115254"</f>
        <v>9780231115254</v>
      </c>
      <c r="D7028" t="str">
        <f>"9780231520935"</f>
        <v>9780231520935</v>
      </c>
      <c r="E7028" t="s">
        <v>7392</v>
      </c>
      <c r="F7028" t="s">
        <v>7392</v>
      </c>
      <c r="G7028" s="1">
        <v>40290</v>
      </c>
      <c r="H7028" s="1">
        <v>41207</v>
      </c>
      <c r="I7028" t="s">
        <v>12</v>
      </c>
      <c r="J7028" t="s">
        <v>17798</v>
      </c>
    </row>
    <row r="7029" spans="1:10" x14ac:dyDescent="0.25">
      <c r="A7029">
        <v>908798</v>
      </c>
      <c r="B7029" t="s">
        <v>7405</v>
      </c>
      <c r="C7029" t="str">
        <f>"9780231150071"</f>
        <v>9780231150071</v>
      </c>
      <c r="D7029" t="str">
        <f>"9780231526623"</f>
        <v>9780231526623</v>
      </c>
      <c r="E7029" t="s">
        <v>7392</v>
      </c>
      <c r="F7029" t="s">
        <v>7392</v>
      </c>
      <c r="G7029" s="1">
        <v>40560</v>
      </c>
      <c r="H7029" s="1">
        <v>41311</v>
      </c>
      <c r="I7029" t="s">
        <v>12</v>
      </c>
      <c r="J7029" t="s">
        <v>17799</v>
      </c>
    </row>
    <row r="7030" spans="1:10" x14ac:dyDescent="0.25">
      <c r="A7030">
        <v>912097</v>
      </c>
      <c r="B7030" t="s">
        <v>7406</v>
      </c>
      <c r="C7030" t="str">
        <f>"9780804760096"</f>
        <v>9780804760096</v>
      </c>
      <c r="D7030" t="str">
        <f>"9780804771047"</f>
        <v>9780804771047</v>
      </c>
      <c r="E7030" t="s">
        <v>6225</v>
      </c>
      <c r="F7030" t="s">
        <v>6225</v>
      </c>
      <c r="G7030" s="1">
        <v>39870</v>
      </c>
      <c r="H7030" s="1">
        <v>41052</v>
      </c>
      <c r="I7030" t="s">
        <v>12</v>
      </c>
      <c r="J7030" t="s">
        <v>17800</v>
      </c>
    </row>
    <row r="7031" spans="1:10" x14ac:dyDescent="0.25">
      <c r="A7031">
        <v>912109</v>
      </c>
      <c r="B7031" t="s">
        <v>7407</v>
      </c>
      <c r="C7031" t="str">
        <f>"9780804759984"</f>
        <v>9780804759984</v>
      </c>
      <c r="D7031" t="str">
        <f>"9780804770996"</f>
        <v>9780804770996</v>
      </c>
      <c r="E7031" t="s">
        <v>6225</v>
      </c>
      <c r="F7031" t="s">
        <v>6225</v>
      </c>
      <c r="G7031" s="1">
        <v>39836</v>
      </c>
      <c r="H7031" s="1">
        <v>41030</v>
      </c>
      <c r="I7031" t="s">
        <v>12</v>
      </c>
      <c r="J7031" t="s">
        <v>17801</v>
      </c>
    </row>
    <row r="7032" spans="1:10" x14ac:dyDescent="0.25">
      <c r="A7032">
        <v>922852</v>
      </c>
      <c r="B7032" t="s">
        <v>7408</v>
      </c>
      <c r="C7032" t="str">
        <f>"9781845412524"</f>
        <v>9781845412524</v>
      </c>
      <c r="D7032" t="str">
        <f>"9781845412548"</f>
        <v>9781845412548</v>
      </c>
      <c r="E7032" t="s">
        <v>886</v>
      </c>
      <c r="F7032" t="s">
        <v>886</v>
      </c>
      <c r="G7032" s="1">
        <v>40948</v>
      </c>
      <c r="H7032" s="1">
        <v>41598</v>
      </c>
      <c r="I7032" t="s">
        <v>12</v>
      </c>
      <c r="J7032" t="s">
        <v>17802</v>
      </c>
    </row>
    <row r="7033" spans="1:10" x14ac:dyDescent="0.25">
      <c r="A7033">
        <v>922853</v>
      </c>
      <c r="B7033" t="s">
        <v>7409</v>
      </c>
      <c r="C7033" t="str">
        <f>"9781847695130"</f>
        <v>9781847695130</v>
      </c>
      <c r="D7033" t="str">
        <f>"9781847695147"</f>
        <v>9781847695147</v>
      </c>
      <c r="E7033" t="s">
        <v>886</v>
      </c>
      <c r="F7033" t="s">
        <v>887</v>
      </c>
      <c r="G7033" s="1">
        <v>40959</v>
      </c>
      <c r="H7033" s="1">
        <v>41598</v>
      </c>
      <c r="I7033" t="s">
        <v>12</v>
      </c>
      <c r="J7033" t="s">
        <v>17803</v>
      </c>
    </row>
    <row r="7034" spans="1:10" x14ac:dyDescent="0.25">
      <c r="A7034">
        <v>928355</v>
      </c>
      <c r="B7034" t="s">
        <v>7410</v>
      </c>
      <c r="C7034" t="str">
        <f>"9780803216457"</f>
        <v>9780803216457</v>
      </c>
      <c r="D7034" t="str">
        <f>"9780803226869"</f>
        <v>9780803226869</v>
      </c>
      <c r="E7034" t="s">
        <v>2735</v>
      </c>
      <c r="F7034" t="s">
        <v>2728</v>
      </c>
      <c r="G7034" s="1">
        <v>40725</v>
      </c>
      <c r="H7034" s="1">
        <v>41058</v>
      </c>
      <c r="I7034" t="s">
        <v>12</v>
      </c>
      <c r="J7034" t="s">
        <v>17804</v>
      </c>
    </row>
    <row r="7035" spans="1:10" x14ac:dyDescent="0.25">
      <c r="A7035">
        <v>943596</v>
      </c>
      <c r="B7035" t="s">
        <v>7411</v>
      </c>
      <c r="C7035" t="str">
        <f>"9781442208988"</f>
        <v>9781442208988</v>
      </c>
      <c r="D7035" t="str">
        <f>"9781442209008"</f>
        <v>9781442209008</v>
      </c>
      <c r="E7035" t="s">
        <v>6253</v>
      </c>
      <c r="F7035" t="s">
        <v>6253</v>
      </c>
      <c r="G7035" s="1">
        <v>41060</v>
      </c>
      <c r="H7035" s="1">
        <v>41477</v>
      </c>
      <c r="I7035" t="s">
        <v>12</v>
      </c>
      <c r="J7035" t="s">
        <v>17805</v>
      </c>
    </row>
    <row r="7036" spans="1:10" x14ac:dyDescent="0.25">
      <c r="A7036">
        <v>945517</v>
      </c>
      <c r="B7036" t="s">
        <v>7412</v>
      </c>
      <c r="C7036" t="str">
        <f>"9781780760049"</f>
        <v>9781780760049</v>
      </c>
      <c r="D7036" t="str">
        <f>"9780857721280"</f>
        <v>9780857721280</v>
      </c>
      <c r="E7036" t="s">
        <v>6867</v>
      </c>
      <c r="F7036" t="s">
        <v>6867</v>
      </c>
      <c r="G7036" s="1">
        <v>40956</v>
      </c>
      <c r="H7036" s="1">
        <v>42346</v>
      </c>
      <c r="I7036" t="s">
        <v>12</v>
      </c>
      <c r="J7036" t="s">
        <v>17806</v>
      </c>
    </row>
    <row r="7037" spans="1:10" x14ac:dyDescent="0.25">
      <c r="A7037">
        <v>946522</v>
      </c>
      <c r="B7037" t="s">
        <v>7413</v>
      </c>
      <c r="C7037" t="str">
        <f>"9781607832348"</f>
        <v>9781607832348</v>
      </c>
      <c r="D7037" t="str">
        <f>"9781607832355"</f>
        <v>9781607832355</v>
      </c>
      <c r="E7037" t="s">
        <v>1441</v>
      </c>
      <c r="F7037" t="s">
        <v>7285</v>
      </c>
      <c r="G7037" s="1">
        <v>39965</v>
      </c>
      <c r="H7037" s="1">
        <v>41080</v>
      </c>
      <c r="I7037" t="s">
        <v>12</v>
      </c>
      <c r="J7037" t="s">
        <v>17807</v>
      </c>
    </row>
    <row r="7038" spans="1:10" x14ac:dyDescent="0.25">
      <c r="A7038">
        <v>946543</v>
      </c>
      <c r="B7038" t="s">
        <v>7414</v>
      </c>
      <c r="C7038" t="str">
        <f>"9781596934566"</f>
        <v>9781596934566</v>
      </c>
      <c r="D7038" t="str">
        <f>"9781596934573"</f>
        <v>9781596934573</v>
      </c>
      <c r="E7038" t="s">
        <v>1441</v>
      </c>
      <c r="F7038" t="s">
        <v>1441</v>
      </c>
      <c r="G7038" s="1">
        <v>39995</v>
      </c>
      <c r="H7038" s="1">
        <v>41080</v>
      </c>
      <c r="I7038" t="s">
        <v>12</v>
      </c>
      <c r="J7038" t="s">
        <v>17808</v>
      </c>
    </row>
    <row r="7039" spans="1:10" x14ac:dyDescent="0.25">
      <c r="A7039">
        <v>946544</v>
      </c>
      <c r="B7039" t="s">
        <v>7415</v>
      </c>
      <c r="C7039" t="str">
        <f>"9781608070374"</f>
        <v>9781608070374</v>
      </c>
      <c r="D7039" t="str">
        <f>"9781608070381"</f>
        <v>9781608070381</v>
      </c>
      <c r="E7039" t="s">
        <v>1441</v>
      </c>
      <c r="F7039" t="s">
        <v>7285</v>
      </c>
      <c r="G7039" s="1">
        <v>40148</v>
      </c>
      <c r="H7039" s="1">
        <v>41080</v>
      </c>
      <c r="I7039" t="s">
        <v>12</v>
      </c>
      <c r="J7039" t="s">
        <v>17809</v>
      </c>
    </row>
    <row r="7040" spans="1:10" x14ac:dyDescent="0.25">
      <c r="A7040">
        <v>946551</v>
      </c>
      <c r="B7040" t="s">
        <v>7416</v>
      </c>
      <c r="C7040" t="str">
        <f>"9781596933453"</f>
        <v>9781596933453</v>
      </c>
      <c r="D7040" t="str">
        <f>"9781596933460"</f>
        <v>9781596933460</v>
      </c>
      <c r="E7040" t="s">
        <v>1441</v>
      </c>
      <c r="F7040" t="s">
        <v>1441</v>
      </c>
      <c r="G7040" s="1">
        <v>39934</v>
      </c>
      <c r="H7040" s="1">
        <v>41080</v>
      </c>
      <c r="I7040" t="s">
        <v>12</v>
      </c>
      <c r="J7040" t="s">
        <v>17810</v>
      </c>
    </row>
    <row r="7041" spans="1:10" x14ac:dyDescent="0.25">
      <c r="A7041">
        <v>946553</v>
      </c>
      <c r="B7041" t="s">
        <v>7417</v>
      </c>
      <c r="C7041" t="str">
        <f>"9781607839859"</f>
        <v>9781607839859</v>
      </c>
      <c r="D7041" t="str">
        <f>"9781607839866"</f>
        <v>9781607839866</v>
      </c>
      <c r="E7041" t="s">
        <v>1441</v>
      </c>
      <c r="F7041" t="s">
        <v>7285</v>
      </c>
      <c r="G7041" s="1">
        <v>40148</v>
      </c>
      <c r="H7041" s="1">
        <v>41080</v>
      </c>
      <c r="I7041" t="s">
        <v>12</v>
      </c>
      <c r="J7041" t="s">
        <v>17811</v>
      </c>
    </row>
    <row r="7042" spans="1:10" x14ac:dyDescent="0.25">
      <c r="A7042">
        <v>947811</v>
      </c>
      <c r="B7042" t="s">
        <v>7418</v>
      </c>
      <c r="C7042" t="str">
        <f>"9781608459100"</f>
        <v>9781608459100</v>
      </c>
      <c r="D7042" t="str">
        <f>"9781608459117"</f>
        <v>9781608459117</v>
      </c>
      <c r="E7042" t="s">
        <v>7381</v>
      </c>
      <c r="F7042" t="s">
        <v>7381</v>
      </c>
      <c r="G7042" s="1">
        <v>41091</v>
      </c>
      <c r="H7042" s="1">
        <v>41151</v>
      </c>
      <c r="I7042" t="s">
        <v>12</v>
      </c>
      <c r="J7042" t="s">
        <v>17812</v>
      </c>
    </row>
    <row r="7043" spans="1:10" x14ac:dyDescent="0.25">
      <c r="A7043">
        <v>950439</v>
      </c>
      <c r="B7043" t="s">
        <v>7419</v>
      </c>
      <c r="C7043" t="str">
        <f>"9780739171233"</f>
        <v>9780739171233</v>
      </c>
      <c r="D7043" t="str">
        <f>"9780739171240"</f>
        <v>9780739171240</v>
      </c>
      <c r="E7043" t="s">
        <v>6256</v>
      </c>
      <c r="F7043" t="s">
        <v>6256</v>
      </c>
      <c r="G7043" s="1">
        <v>41074</v>
      </c>
      <c r="H7043" s="1">
        <v>41477</v>
      </c>
      <c r="I7043" t="s">
        <v>12</v>
      </c>
      <c r="J7043" t="s">
        <v>17813</v>
      </c>
    </row>
    <row r="7044" spans="1:10" x14ac:dyDescent="0.25">
      <c r="A7044">
        <v>950533</v>
      </c>
      <c r="B7044" t="s">
        <v>7420</v>
      </c>
      <c r="C7044" t="str">
        <f>"9781847193414"</f>
        <v>9781847193414</v>
      </c>
      <c r="D7044" t="str">
        <f>"9781847193421"</f>
        <v>9781847193421</v>
      </c>
      <c r="E7044" t="s">
        <v>7421</v>
      </c>
      <c r="F7044" t="s">
        <v>7422</v>
      </c>
      <c r="G7044" s="1">
        <v>39535</v>
      </c>
      <c r="H7044" s="1">
        <v>41086</v>
      </c>
      <c r="I7044" t="s">
        <v>12</v>
      </c>
      <c r="J7044" t="s">
        <v>17814</v>
      </c>
    </row>
    <row r="7045" spans="1:10" x14ac:dyDescent="0.25">
      <c r="A7045">
        <v>950534</v>
      </c>
      <c r="B7045" t="s">
        <v>7423</v>
      </c>
      <c r="C7045" t="str">
        <f>"9781847193438"</f>
        <v>9781847193438</v>
      </c>
      <c r="D7045" t="str">
        <f>"9781847193445"</f>
        <v>9781847193445</v>
      </c>
      <c r="E7045" t="s">
        <v>7421</v>
      </c>
      <c r="F7045" t="s">
        <v>7422</v>
      </c>
      <c r="G7045" s="1">
        <v>39484</v>
      </c>
      <c r="H7045" s="1">
        <v>41086</v>
      </c>
      <c r="I7045" t="s">
        <v>12</v>
      </c>
      <c r="J7045" t="s">
        <v>17815</v>
      </c>
    </row>
    <row r="7046" spans="1:10" x14ac:dyDescent="0.25">
      <c r="A7046">
        <v>952063</v>
      </c>
      <c r="B7046" t="s">
        <v>7424</v>
      </c>
      <c r="C7046" t="str">
        <f>"9781849512381"</f>
        <v>9781849512381</v>
      </c>
      <c r="D7046" t="str">
        <f>"9781849512398"</f>
        <v>9781849512398</v>
      </c>
      <c r="E7046" t="s">
        <v>7421</v>
      </c>
      <c r="F7046" t="s">
        <v>7422</v>
      </c>
      <c r="G7046" s="1">
        <v>40472</v>
      </c>
      <c r="H7046" s="1">
        <v>41090</v>
      </c>
      <c r="I7046" t="s">
        <v>12</v>
      </c>
      <c r="J7046" t="s">
        <v>17816</v>
      </c>
    </row>
    <row r="7047" spans="1:10" x14ac:dyDescent="0.25">
      <c r="A7047">
        <v>957959</v>
      </c>
      <c r="B7047" t="s">
        <v>7425</v>
      </c>
      <c r="C7047" t="str">
        <f>"9780415420778"</f>
        <v>9780415420778</v>
      </c>
      <c r="D7047" t="str">
        <f>"9780203016305"</f>
        <v>9780203016305</v>
      </c>
      <c r="E7047" t="s">
        <v>15</v>
      </c>
      <c r="F7047" t="s">
        <v>16</v>
      </c>
      <c r="G7047" s="1">
        <v>39386</v>
      </c>
      <c r="H7047" s="1">
        <v>41878</v>
      </c>
      <c r="I7047" t="s">
        <v>12</v>
      </c>
      <c r="J7047" t="s">
        <v>17817</v>
      </c>
    </row>
    <row r="7048" spans="1:10" x14ac:dyDescent="0.25">
      <c r="A7048">
        <v>966956</v>
      </c>
      <c r="B7048" t="s">
        <v>7426</v>
      </c>
      <c r="C7048" t="str">
        <f>"9780813536941"</f>
        <v>9780813536941</v>
      </c>
      <c r="D7048" t="str">
        <f>"9780813541075"</f>
        <v>9780813541075</v>
      </c>
      <c r="E7048" t="s">
        <v>4859</v>
      </c>
      <c r="F7048" t="s">
        <v>4859</v>
      </c>
      <c r="G7048" s="1">
        <v>38853</v>
      </c>
      <c r="H7048" s="1">
        <v>41099</v>
      </c>
      <c r="I7048" t="s">
        <v>12</v>
      </c>
      <c r="J7048" t="s">
        <v>17818</v>
      </c>
    </row>
    <row r="7049" spans="1:10" x14ac:dyDescent="0.25">
      <c r="A7049">
        <v>966960</v>
      </c>
      <c r="B7049" t="s">
        <v>7427</v>
      </c>
      <c r="C7049" t="str">
        <f>"9780813537146"</f>
        <v>9780813537146</v>
      </c>
      <c r="D7049" t="str">
        <f>"9780813539300"</f>
        <v>9780813539300</v>
      </c>
      <c r="E7049" t="s">
        <v>4859</v>
      </c>
      <c r="F7049" t="s">
        <v>4859</v>
      </c>
      <c r="G7049" s="1">
        <v>38763</v>
      </c>
      <c r="H7049" s="1">
        <v>41099</v>
      </c>
      <c r="I7049" t="s">
        <v>12</v>
      </c>
      <c r="J7049" t="s">
        <v>17819</v>
      </c>
    </row>
    <row r="7050" spans="1:10" x14ac:dyDescent="0.25">
      <c r="A7050">
        <v>967377</v>
      </c>
      <c r="B7050" t="s">
        <v>7428</v>
      </c>
      <c r="C7050" t="str">
        <f>"9780813536538"</f>
        <v>9780813536538</v>
      </c>
      <c r="D7050" t="str">
        <f>"9780813537528"</f>
        <v>9780813537528</v>
      </c>
      <c r="E7050" t="s">
        <v>4859</v>
      </c>
      <c r="F7050" t="s">
        <v>4859</v>
      </c>
      <c r="G7050" s="1">
        <v>38777</v>
      </c>
      <c r="H7050" s="1">
        <v>41101</v>
      </c>
      <c r="I7050" t="s">
        <v>12</v>
      </c>
      <c r="J7050" t="s">
        <v>17820</v>
      </c>
    </row>
    <row r="7051" spans="1:10" x14ac:dyDescent="0.25">
      <c r="A7051">
        <v>967984</v>
      </c>
      <c r="B7051" t="s">
        <v>7429</v>
      </c>
      <c r="C7051" t="str">
        <f>"9780826109699"</f>
        <v>9780826109699</v>
      </c>
      <c r="D7051" t="str">
        <f>"9780826109705"</f>
        <v>9780826109705</v>
      </c>
      <c r="E7051" t="s">
        <v>3016</v>
      </c>
      <c r="F7051" t="s">
        <v>3016</v>
      </c>
      <c r="G7051" s="1">
        <v>41113</v>
      </c>
      <c r="H7051" s="1">
        <v>41102</v>
      </c>
      <c r="I7051" t="s">
        <v>12</v>
      </c>
      <c r="J7051" t="s">
        <v>17821</v>
      </c>
    </row>
    <row r="7052" spans="1:10" x14ac:dyDescent="0.25">
      <c r="A7052">
        <v>977453</v>
      </c>
      <c r="B7052" t="s">
        <v>7430</v>
      </c>
      <c r="C7052" t="str">
        <f>"9780813536675"</f>
        <v>9780813536675</v>
      </c>
      <c r="D7052" t="str">
        <f>"9780813537702"</f>
        <v>9780813537702</v>
      </c>
      <c r="E7052" t="s">
        <v>4859</v>
      </c>
      <c r="F7052" t="s">
        <v>4859</v>
      </c>
      <c r="G7052" s="1">
        <v>38587</v>
      </c>
      <c r="H7052" s="1">
        <v>41110</v>
      </c>
      <c r="I7052" t="s">
        <v>12</v>
      </c>
      <c r="J7052" t="s">
        <v>17822</v>
      </c>
    </row>
    <row r="7053" spans="1:10" x14ac:dyDescent="0.25">
      <c r="A7053">
        <v>977733</v>
      </c>
      <c r="B7053" t="s">
        <v>7431</v>
      </c>
      <c r="C7053" t="str">
        <f>"9781847697028"</f>
        <v>9781847697028</v>
      </c>
      <c r="D7053" t="str">
        <f>"9781847697042"</f>
        <v>9781847697042</v>
      </c>
      <c r="E7053" t="s">
        <v>886</v>
      </c>
      <c r="F7053" t="s">
        <v>887</v>
      </c>
      <c r="G7053" s="1">
        <v>40984</v>
      </c>
      <c r="H7053" s="1">
        <v>41110</v>
      </c>
      <c r="I7053" t="s">
        <v>12</v>
      </c>
      <c r="J7053" t="s">
        <v>17823</v>
      </c>
    </row>
    <row r="7054" spans="1:10" x14ac:dyDescent="0.25">
      <c r="A7054">
        <v>977736</v>
      </c>
      <c r="B7054" t="s">
        <v>7432</v>
      </c>
      <c r="C7054" t="str">
        <f>"9781845412807"</f>
        <v>9781845412807</v>
      </c>
      <c r="D7054" t="str">
        <f>"9781845412821"</f>
        <v>9781845412821</v>
      </c>
      <c r="E7054" t="s">
        <v>886</v>
      </c>
      <c r="F7054" t="s">
        <v>886</v>
      </c>
      <c r="G7054" s="1">
        <v>40991</v>
      </c>
      <c r="H7054" s="1">
        <v>41110</v>
      </c>
      <c r="I7054" t="s">
        <v>12</v>
      </c>
      <c r="J7054" t="s">
        <v>17824</v>
      </c>
    </row>
    <row r="7055" spans="1:10" x14ac:dyDescent="0.25">
      <c r="A7055">
        <v>977740</v>
      </c>
      <c r="B7055" t="s">
        <v>7433</v>
      </c>
      <c r="C7055" t="str">
        <f>"9781847697295"</f>
        <v>9781847697295</v>
      </c>
      <c r="D7055" t="str">
        <f>"9781847697318"</f>
        <v>9781847697318</v>
      </c>
      <c r="E7055" t="s">
        <v>886</v>
      </c>
      <c r="F7055" t="s">
        <v>887</v>
      </c>
      <c r="G7055" s="1">
        <v>41066</v>
      </c>
      <c r="H7055" s="1">
        <v>41110</v>
      </c>
      <c r="I7055" t="s">
        <v>12</v>
      </c>
      <c r="J7055" t="s">
        <v>17825</v>
      </c>
    </row>
    <row r="7056" spans="1:10" x14ac:dyDescent="0.25">
      <c r="A7056">
        <v>977742</v>
      </c>
      <c r="B7056" t="s">
        <v>7434</v>
      </c>
      <c r="C7056" t="str">
        <f>"9781847697141"</f>
        <v>9781847697141</v>
      </c>
      <c r="D7056" t="str">
        <f>"9781847697165"</f>
        <v>9781847697165</v>
      </c>
      <c r="E7056" t="s">
        <v>886</v>
      </c>
      <c r="F7056" t="s">
        <v>887</v>
      </c>
      <c r="G7056" s="1">
        <v>41053</v>
      </c>
      <c r="H7056" s="1">
        <v>41110</v>
      </c>
      <c r="I7056" t="s">
        <v>12</v>
      </c>
      <c r="J7056" t="s">
        <v>17826</v>
      </c>
    </row>
    <row r="7057" spans="1:10" x14ac:dyDescent="0.25">
      <c r="A7057">
        <v>977743</v>
      </c>
      <c r="B7057" t="s">
        <v>7435</v>
      </c>
      <c r="C7057" t="str">
        <f>"9781847697240"</f>
        <v>9781847697240</v>
      </c>
      <c r="D7057" t="str">
        <f>"9781847697264"</f>
        <v>9781847697264</v>
      </c>
      <c r="E7057" t="s">
        <v>886</v>
      </c>
      <c r="F7057" t="s">
        <v>887</v>
      </c>
      <c r="G7057" s="1">
        <v>41012</v>
      </c>
      <c r="H7057" s="1">
        <v>41110</v>
      </c>
      <c r="I7057" t="s">
        <v>12</v>
      </c>
      <c r="J7057" t="s">
        <v>17827</v>
      </c>
    </row>
    <row r="7058" spans="1:10" x14ac:dyDescent="0.25">
      <c r="A7058">
        <v>978113</v>
      </c>
      <c r="B7058" t="s">
        <v>7436</v>
      </c>
      <c r="C7058" t="str">
        <f>"9781847194145"</f>
        <v>9781847194145</v>
      </c>
      <c r="D7058" t="str">
        <f>"9781847194152"</f>
        <v>9781847194152</v>
      </c>
      <c r="E7058" t="s">
        <v>7421</v>
      </c>
      <c r="F7058" t="s">
        <v>7422</v>
      </c>
      <c r="G7058" s="1">
        <v>39652</v>
      </c>
      <c r="H7058" s="1">
        <v>41110</v>
      </c>
      <c r="I7058" t="s">
        <v>12</v>
      </c>
      <c r="J7058" t="s">
        <v>17828</v>
      </c>
    </row>
    <row r="7059" spans="1:10" x14ac:dyDescent="0.25">
      <c r="A7059">
        <v>979609</v>
      </c>
      <c r="B7059" t="s">
        <v>7437</v>
      </c>
      <c r="C7059" t="str">
        <f>"9781442213616"</f>
        <v>9781442213616</v>
      </c>
      <c r="D7059" t="str">
        <f>"9781442213630"</f>
        <v>9781442213630</v>
      </c>
      <c r="E7059" t="s">
        <v>6253</v>
      </c>
      <c r="F7059" t="s">
        <v>6253</v>
      </c>
      <c r="G7059" s="1">
        <v>41103</v>
      </c>
      <c r="H7059" s="1">
        <v>42341</v>
      </c>
      <c r="I7059" t="s">
        <v>12</v>
      </c>
      <c r="J7059" t="s">
        <v>17829</v>
      </c>
    </row>
    <row r="7060" spans="1:10" x14ac:dyDescent="0.25">
      <c r="A7060">
        <v>979961</v>
      </c>
      <c r="B7060" t="s">
        <v>7438</v>
      </c>
      <c r="C7060" t="str">
        <f>"9781847193216"</f>
        <v>9781847193216</v>
      </c>
      <c r="D7060" t="str">
        <f>"9781847193223"</f>
        <v>9781847193223</v>
      </c>
      <c r="E7060" t="s">
        <v>7421</v>
      </c>
      <c r="F7060" t="s">
        <v>7422</v>
      </c>
      <c r="G7060" s="1">
        <v>39625</v>
      </c>
      <c r="H7060" s="1">
        <v>41122</v>
      </c>
      <c r="I7060" t="s">
        <v>12</v>
      </c>
      <c r="J7060" t="s">
        <v>17830</v>
      </c>
    </row>
    <row r="7061" spans="1:10" x14ac:dyDescent="0.25">
      <c r="A7061">
        <v>979971</v>
      </c>
      <c r="B7061" t="s">
        <v>7439</v>
      </c>
      <c r="C7061" t="str">
        <f>"9781847194060"</f>
        <v>9781847194060</v>
      </c>
      <c r="D7061" t="str">
        <f>"9781847194077"</f>
        <v>9781847194077</v>
      </c>
      <c r="E7061" t="s">
        <v>7421</v>
      </c>
      <c r="F7061" t="s">
        <v>7422</v>
      </c>
      <c r="G7061" s="1">
        <v>39541</v>
      </c>
      <c r="H7061" s="1">
        <v>41122</v>
      </c>
      <c r="I7061" t="s">
        <v>12</v>
      </c>
      <c r="J7061" t="s">
        <v>17831</v>
      </c>
    </row>
    <row r="7062" spans="1:10" x14ac:dyDescent="0.25">
      <c r="A7062">
        <v>979974</v>
      </c>
      <c r="B7062" t="s">
        <v>7440</v>
      </c>
      <c r="C7062" t="str">
        <f>"9781847195302"</f>
        <v>9781847195302</v>
      </c>
      <c r="D7062" t="str">
        <f>"9781847195319"</f>
        <v>9781847195319</v>
      </c>
      <c r="E7062" t="s">
        <v>7421</v>
      </c>
      <c r="F7062" t="s">
        <v>7422</v>
      </c>
      <c r="G7062" s="1">
        <v>39535</v>
      </c>
      <c r="H7062" s="1">
        <v>41122</v>
      </c>
      <c r="I7062" t="s">
        <v>12</v>
      </c>
      <c r="J7062" t="s">
        <v>17832</v>
      </c>
    </row>
    <row r="7063" spans="1:10" x14ac:dyDescent="0.25">
      <c r="A7063">
        <v>981597</v>
      </c>
      <c r="B7063" t="s">
        <v>7441</v>
      </c>
      <c r="C7063" t="str">
        <f>"9781844076123"</f>
        <v>9781844076123</v>
      </c>
      <c r="D7063" t="str">
        <f>"9781849772709"</f>
        <v>9781849772709</v>
      </c>
      <c r="E7063" t="s">
        <v>15</v>
      </c>
      <c r="F7063" t="s">
        <v>16</v>
      </c>
      <c r="G7063" s="1">
        <v>41052</v>
      </c>
      <c r="H7063" s="1">
        <v>41120</v>
      </c>
      <c r="I7063" t="s">
        <v>12</v>
      </c>
      <c r="J7063" t="s">
        <v>17833</v>
      </c>
    </row>
    <row r="7064" spans="1:10" x14ac:dyDescent="0.25">
      <c r="A7064">
        <v>995543</v>
      </c>
      <c r="B7064" t="s">
        <v>7442</v>
      </c>
      <c r="C7064" t="str">
        <f>"9781593852290"</f>
        <v>9781593852290</v>
      </c>
      <c r="D7064" t="str">
        <f>"9781593856656"</f>
        <v>9781593856656</v>
      </c>
      <c r="E7064" t="s">
        <v>3740</v>
      </c>
      <c r="F7064" t="s">
        <v>3741</v>
      </c>
      <c r="G7064" s="1">
        <v>41786</v>
      </c>
      <c r="H7064" s="1">
        <v>41130</v>
      </c>
      <c r="I7064" t="s">
        <v>12</v>
      </c>
      <c r="J7064" t="s">
        <v>17834</v>
      </c>
    </row>
    <row r="7065" spans="1:10" x14ac:dyDescent="0.25">
      <c r="A7065">
        <v>995607</v>
      </c>
      <c r="B7065" t="s">
        <v>7443</v>
      </c>
      <c r="C7065" t="str">
        <f>"9781847191007"</f>
        <v>9781847191007</v>
      </c>
      <c r="D7065" t="str">
        <f>"9781847191014"</f>
        <v>9781847191014</v>
      </c>
      <c r="E7065" t="s">
        <v>7421</v>
      </c>
      <c r="F7065" t="s">
        <v>7422</v>
      </c>
      <c r="G7065" s="1">
        <v>39128</v>
      </c>
      <c r="H7065" s="1">
        <v>41134</v>
      </c>
      <c r="I7065" t="s">
        <v>12</v>
      </c>
      <c r="J7065" t="s">
        <v>17835</v>
      </c>
    </row>
    <row r="7066" spans="1:10" x14ac:dyDescent="0.25">
      <c r="A7066">
        <v>995627</v>
      </c>
      <c r="B7066" t="s">
        <v>7444</v>
      </c>
      <c r="C7066" t="str">
        <f>"9781851667192"</f>
        <v>9781851667192</v>
      </c>
      <c r="D7066" t="str">
        <f>"9781135378516"</f>
        <v>9781135378516</v>
      </c>
      <c r="E7066" t="s">
        <v>144</v>
      </c>
      <c r="F7066" t="s">
        <v>16</v>
      </c>
      <c r="G7066" s="1">
        <v>33238</v>
      </c>
      <c r="H7066" s="1">
        <v>41335</v>
      </c>
      <c r="I7066" t="s">
        <v>12</v>
      </c>
      <c r="J7066" t="s">
        <v>17836</v>
      </c>
    </row>
    <row r="7067" spans="1:10" x14ac:dyDescent="0.25">
      <c r="A7067">
        <v>997186</v>
      </c>
      <c r="B7067" t="s">
        <v>7445</v>
      </c>
      <c r="C7067" t="str">
        <f>"9781412952101"</f>
        <v>9781412952101</v>
      </c>
      <c r="D7067" t="str">
        <f>"9781452212081"</f>
        <v>9781452212081</v>
      </c>
      <c r="E7067" t="s">
        <v>1569</v>
      </c>
      <c r="F7067" t="s">
        <v>7446</v>
      </c>
      <c r="G7067" s="1">
        <v>39714</v>
      </c>
      <c r="H7067" s="1">
        <v>41135</v>
      </c>
      <c r="I7067" t="s">
        <v>12</v>
      </c>
      <c r="J7067" t="s">
        <v>17837</v>
      </c>
    </row>
    <row r="7068" spans="1:10" x14ac:dyDescent="0.25">
      <c r="A7068">
        <v>1020192</v>
      </c>
      <c r="B7068" t="s">
        <v>7447</v>
      </c>
      <c r="C7068" t="str">
        <f>"9780415099981"</f>
        <v>9780415099981</v>
      </c>
      <c r="D7068" t="str">
        <f>"9781134856701"</f>
        <v>9781134856701</v>
      </c>
      <c r="E7068" t="s">
        <v>15</v>
      </c>
      <c r="F7068" t="s">
        <v>16</v>
      </c>
      <c r="G7068" s="1">
        <v>33976</v>
      </c>
      <c r="H7068" s="1">
        <v>41160</v>
      </c>
      <c r="I7068" t="s">
        <v>12</v>
      </c>
      <c r="J7068" t="s">
        <v>17838</v>
      </c>
    </row>
    <row r="7069" spans="1:10" x14ac:dyDescent="0.25">
      <c r="A7069">
        <v>1021423</v>
      </c>
      <c r="B7069" t="s">
        <v>7448</v>
      </c>
      <c r="C7069" t="str">
        <f>"9781608458493"</f>
        <v>9781608458493</v>
      </c>
      <c r="D7069" t="str">
        <f>"9781608458509"</f>
        <v>9781608458509</v>
      </c>
      <c r="E7069" t="s">
        <v>7381</v>
      </c>
      <c r="F7069" t="s">
        <v>7381</v>
      </c>
      <c r="G7069" s="1">
        <v>41153</v>
      </c>
      <c r="H7069" s="1">
        <v>41186</v>
      </c>
      <c r="I7069" t="s">
        <v>12</v>
      </c>
      <c r="J7069" t="s">
        <v>17839</v>
      </c>
    </row>
    <row r="7070" spans="1:10" x14ac:dyDescent="0.25">
      <c r="A7070">
        <v>1029114</v>
      </c>
      <c r="B7070" t="s">
        <v>7449</v>
      </c>
      <c r="C7070" t="str">
        <f>"9780826107848"</f>
        <v>9780826107848</v>
      </c>
      <c r="D7070" t="str">
        <f>"9780826107855"</f>
        <v>9780826107855</v>
      </c>
      <c r="E7070" t="s">
        <v>3016</v>
      </c>
      <c r="F7070" t="s">
        <v>3016</v>
      </c>
      <c r="G7070" s="1">
        <v>41162</v>
      </c>
      <c r="H7070" s="1">
        <v>41173</v>
      </c>
      <c r="I7070" t="s">
        <v>12</v>
      </c>
      <c r="J7070" t="s">
        <v>17840</v>
      </c>
    </row>
    <row r="7071" spans="1:10" x14ac:dyDescent="0.25">
      <c r="A7071">
        <v>1035963</v>
      </c>
      <c r="B7071" t="s">
        <v>7450</v>
      </c>
      <c r="C7071" t="str">
        <f>"9781840244946"</f>
        <v>9781840244946</v>
      </c>
      <c r="D7071" t="str">
        <f>"9781840248098"</f>
        <v>9781840248098</v>
      </c>
      <c r="E7071" t="s">
        <v>7451</v>
      </c>
      <c r="F7071" t="s">
        <v>7451</v>
      </c>
      <c r="G7071" s="1">
        <v>38838</v>
      </c>
      <c r="H7071" s="1">
        <v>41183</v>
      </c>
      <c r="I7071" t="s">
        <v>12</v>
      </c>
      <c r="J7071" t="s">
        <v>17841</v>
      </c>
    </row>
    <row r="7072" spans="1:10" x14ac:dyDescent="0.25">
      <c r="A7072">
        <v>1039387</v>
      </c>
      <c r="B7072" t="s">
        <v>7452</v>
      </c>
      <c r="C7072" t="str">
        <f>"9780240808420"</f>
        <v>9780240808420</v>
      </c>
      <c r="D7072" t="str">
        <f>"9781136067426"</f>
        <v>9781136067426</v>
      </c>
      <c r="E7072" t="s">
        <v>15</v>
      </c>
      <c r="F7072" t="s">
        <v>16</v>
      </c>
      <c r="G7072" s="1">
        <v>39146</v>
      </c>
      <c r="H7072" s="1">
        <v>41188</v>
      </c>
      <c r="I7072" t="s">
        <v>12</v>
      </c>
      <c r="J7072" t="s">
        <v>17842</v>
      </c>
    </row>
    <row r="7073" spans="1:10" x14ac:dyDescent="0.25">
      <c r="A7073">
        <v>1042717</v>
      </c>
      <c r="B7073" t="s">
        <v>7453</v>
      </c>
      <c r="C7073" t="str">
        <f>"9780739197752"</f>
        <v>9780739197752</v>
      </c>
      <c r="D7073" t="str">
        <f>"9780739177112"</f>
        <v>9780739177112</v>
      </c>
      <c r="E7073" t="s">
        <v>6256</v>
      </c>
      <c r="F7073" t="s">
        <v>6256</v>
      </c>
      <c r="G7073" s="1">
        <v>41187</v>
      </c>
      <c r="H7073" s="1">
        <v>41431</v>
      </c>
      <c r="I7073" t="s">
        <v>12</v>
      </c>
      <c r="J7073" t="s">
        <v>17843</v>
      </c>
    </row>
    <row r="7074" spans="1:10" x14ac:dyDescent="0.25">
      <c r="A7074">
        <v>1043624</v>
      </c>
      <c r="B7074" t="s">
        <v>7454</v>
      </c>
      <c r="C7074" t="str">
        <f>"9780814473689"</f>
        <v>9780814473689</v>
      </c>
      <c r="D7074" t="str">
        <f>"9780814400517"</f>
        <v>9780814400517</v>
      </c>
      <c r="E7074" t="s">
        <v>1080</v>
      </c>
      <c r="F7074" t="s">
        <v>1080</v>
      </c>
      <c r="G7074" s="1">
        <v>39219</v>
      </c>
      <c r="H7074" s="1">
        <v>39219</v>
      </c>
      <c r="I7074" t="s">
        <v>12</v>
      </c>
      <c r="J7074" t="s">
        <v>17844</v>
      </c>
    </row>
    <row r="7075" spans="1:10" x14ac:dyDescent="0.25">
      <c r="A7075">
        <v>1043625</v>
      </c>
      <c r="B7075" t="s">
        <v>7455</v>
      </c>
      <c r="C7075" t="str">
        <f>"9780814473641"</f>
        <v>9780814473641</v>
      </c>
      <c r="D7075" t="str">
        <f>"9780814430187"</f>
        <v>9780814430187</v>
      </c>
      <c r="E7075" t="s">
        <v>1080</v>
      </c>
      <c r="F7075" t="s">
        <v>1080</v>
      </c>
      <c r="G7075" s="1">
        <v>39122</v>
      </c>
      <c r="H7075" s="1">
        <v>39122</v>
      </c>
      <c r="I7075" t="s">
        <v>12</v>
      </c>
      <c r="J7075" t="s">
        <v>17845</v>
      </c>
    </row>
    <row r="7076" spans="1:10" x14ac:dyDescent="0.25">
      <c r="A7076">
        <v>1043756</v>
      </c>
      <c r="B7076" t="s">
        <v>7456</v>
      </c>
      <c r="C7076" t="str">
        <f>"9780810861558"</f>
        <v>9780810861558</v>
      </c>
      <c r="D7076" t="str">
        <f>"9781461659198"</f>
        <v>9781461659198</v>
      </c>
      <c r="E7076" t="s">
        <v>6074</v>
      </c>
      <c r="F7076" t="s">
        <v>6074</v>
      </c>
      <c r="G7076" s="1">
        <v>40438</v>
      </c>
      <c r="H7076" s="1">
        <v>41442</v>
      </c>
      <c r="I7076" t="s">
        <v>12</v>
      </c>
      <c r="J7076" t="s">
        <v>17846</v>
      </c>
    </row>
    <row r="7077" spans="1:10" x14ac:dyDescent="0.25">
      <c r="A7077">
        <v>1057788</v>
      </c>
      <c r="B7077" t="s">
        <v>7457</v>
      </c>
      <c r="C7077" t="str">
        <f>"9781593324599"</f>
        <v>9781593324599</v>
      </c>
      <c r="D7077" t="str">
        <f>"9781593325053"</f>
        <v>9781593325053</v>
      </c>
      <c r="E7077" t="s">
        <v>7308</v>
      </c>
      <c r="F7077" t="s">
        <v>7308</v>
      </c>
      <c r="G7077" s="1">
        <v>40862</v>
      </c>
      <c r="H7077" s="1">
        <v>41216</v>
      </c>
      <c r="I7077" t="s">
        <v>12</v>
      </c>
      <c r="J7077" t="s">
        <v>17847</v>
      </c>
    </row>
    <row r="7078" spans="1:10" x14ac:dyDescent="0.25">
      <c r="A7078">
        <v>1061994</v>
      </c>
      <c r="B7078" t="s">
        <v>7458</v>
      </c>
      <c r="C7078" t="str">
        <f>"9780857259271"</f>
        <v>9780857259271</v>
      </c>
      <c r="D7078" t="str">
        <f>"9780857259271"</f>
        <v>9780857259271</v>
      </c>
      <c r="E7078" t="s">
        <v>1569</v>
      </c>
      <c r="F7078" t="s">
        <v>6929</v>
      </c>
      <c r="G7078" s="1">
        <v>41082</v>
      </c>
      <c r="H7078" s="1">
        <v>41082</v>
      </c>
      <c r="I7078" t="s">
        <v>12</v>
      </c>
      <c r="J7078" t="s">
        <v>17848</v>
      </c>
    </row>
    <row r="7079" spans="1:10" x14ac:dyDescent="0.25">
      <c r="A7079">
        <v>1069793</v>
      </c>
      <c r="B7079" t="s">
        <v>7459</v>
      </c>
      <c r="C7079" t="str">
        <f>"9780826193346"</f>
        <v>9780826193346</v>
      </c>
      <c r="D7079" t="str">
        <f>"9780826193353"</f>
        <v>9780826193353</v>
      </c>
      <c r="E7079" t="s">
        <v>3016</v>
      </c>
      <c r="F7079" t="s">
        <v>3016</v>
      </c>
      <c r="G7079" s="1">
        <v>41229</v>
      </c>
      <c r="H7079" s="1">
        <v>41227</v>
      </c>
      <c r="I7079" t="s">
        <v>12</v>
      </c>
      <c r="J7079" t="s">
        <v>17849</v>
      </c>
    </row>
    <row r="7080" spans="1:10" x14ac:dyDescent="0.25">
      <c r="A7080">
        <v>1072760</v>
      </c>
      <c r="B7080" t="s">
        <v>7460</v>
      </c>
      <c r="C7080" t="str">
        <f>"9781857038576"</f>
        <v>9781857038576</v>
      </c>
      <c r="D7080" t="str">
        <f>"9781848031937"</f>
        <v>9781848031937</v>
      </c>
      <c r="E7080" t="s">
        <v>7397</v>
      </c>
      <c r="F7080" t="s">
        <v>4908</v>
      </c>
      <c r="G7080" s="1">
        <v>41219</v>
      </c>
      <c r="H7080" s="1">
        <v>41234</v>
      </c>
      <c r="I7080" t="s">
        <v>12</v>
      </c>
      <c r="J7080" t="s">
        <v>17850</v>
      </c>
    </row>
    <row r="7081" spans="1:10" x14ac:dyDescent="0.25">
      <c r="A7081">
        <v>1072766</v>
      </c>
      <c r="B7081" t="s">
        <v>7461</v>
      </c>
      <c r="C7081" t="str">
        <f>"9781845281618"</f>
        <v>9781845281618</v>
      </c>
      <c r="D7081" t="str">
        <f>"9781848036604"</f>
        <v>9781848036604</v>
      </c>
      <c r="E7081" t="s">
        <v>7397</v>
      </c>
      <c r="F7081" t="s">
        <v>4908</v>
      </c>
      <c r="G7081" s="1">
        <v>39066</v>
      </c>
      <c r="H7081" s="1">
        <v>41787</v>
      </c>
      <c r="I7081" t="s">
        <v>12</v>
      </c>
      <c r="J7081" t="s">
        <v>17851</v>
      </c>
    </row>
    <row r="7082" spans="1:10" x14ac:dyDescent="0.25">
      <c r="A7082">
        <v>1076196</v>
      </c>
      <c r="B7082" t="s">
        <v>7462</v>
      </c>
      <c r="C7082" t="str">
        <f>"9781442218468"</f>
        <v>9781442218468</v>
      </c>
      <c r="D7082" t="str">
        <f>"9781442218482"</f>
        <v>9781442218482</v>
      </c>
      <c r="E7082" t="s">
        <v>6253</v>
      </c>
      <c r="F7082" t="s">
        <v>6253</v>
      </c>
      <c r="G7082" s="1">
        <v>41186</v>
      </c>
      <c r="H7082" s="1">
        <v>41418</v>
      </c>
      <c r="I7082" t="s">
        <v>12</v>
      </c>
      <c r="J7082" t="s">
        <v>17852</v>
      </c>
    </row>
    <row r="7083" spans="1:10" x14ac:dyDescent="0.25">
      <c r="A7083">
        <v>1076199</v>
      </c>
      <c r="B7083" t="s">
        <v>7463</v>
      </c>
      <c r="C7083" t="str">
        <f>"9780739176085"</f>
        <v>9780739176085</v>
      </c>
      <c r="D7083" t="str">
        <f>"9780739176092"</f>
        <v>9780739176092</v>
      </c>
      <c r="E7083" t="s">
        <v>6256</v>
      </c>
      <c r="F7083" t="s">
        <v>6256</v>
      </c>
      <c r="G7083" s="1">
        <v>41221</v>
      </c>
      <c r="H7083" s="1">
        <v>41431</v>
      </c>
      <c r="I7083" t="s">
        <v>12</v>
      </c>
      <c r="J7083" t="s">
        <v>17853</v>
      </c>
    </row>
    <row r="7084" spans="1:10" x14ac:dyDescent="0.25">
      <c r="A7084">
        <v>1076209</v>
      </c>
      <c r="B7084" t="s">
        <v>7464</v>
      </c>
      <c r="C7084" t="str">
        <f>"9780810885561"</f>
        <v>9780810885561</v>
      </c>
      <c r="D7084" t="str">
        <f>"9780810885578"</f>
        <v>9780810885578</v>
      </c>
      <c r="E7084" t="s">
        <v>6074</v>
      </c>
      <c r="F7084" t="s">
        <v>6074</v>
      </c>
      <c r="G7084" s="1">
        <v>41228</v>
      </c>
      <c r="H7084" s="1">
        <v>41445</v>
      </c>
      <c r="I7084" t="s">
        <v>12</v>
      </c>
      <c r="J7084" t="s">
        <v>17854</v>
      </c>
    </row>
    <row r="7085" spans="1:10" x14ac:dyDescent="0.25">
      <c r="A7085">
        <v>1084884</v>
      </c>
      <c r="B7085" t="s">
        <v>7465</v>
      </c>
      <c r="C7085" t="str">
        <f>"9781584657910"</f>
        <v>9781584657910</v>
      </c>
      <c r="D7085" t="str">
        <f>"9781584658818"</f>
        <v>9781584658818</v>
      </c>
      <c r="E7085" t="s">
        <v>7466</v>
      </c>
      <c r="F7085" t="s">
        <v>7466</v>
      </c>
      <c r="G7085" s="1">
        <v>40132</v>
      </c>
      <c r="H7085" s="1">
        <v>41259</v>
      </c>
      <c r="I7085" t="s">
        <v>12</v>
      </c>
      <c r="J7085" t="s">
        <v>17855</v>
      </c>
    </row>
    <row r="7086" spans="1:10" x14ac:dyDescent="0.25">
      <c r="A7086">
        <v>1093633</v>
      </c>
      <c r="B7086" t="s">
        <v>7467</v>
      </c>
      <c r="C7086" t="str">
        <f>"9781845281786"</f>
        <v>9781845281786</v>
      </c>
      <c r="D7086" t="str">
        <f>"9781848030985"</f>
        <v>9781848030985</v>
      </c>
      <c r="E7086" t="s">
        <v>7397</v>
      </c>
      <c r="F7086" t="s">
        <v>4908</v>
      </c>
      <c r="G7086" s="1">
        <v>41219</v>
      </c>
      <c r="H7086" s="1">
        <v>41257</v>
      </c>
      <c r="I7086" t="s">
        <v>12</v>
      </c>
      <c r="J7086" t="s">
        <v>17856</v>
      </c>
    </row>
    <row r="7087" spans="1:10" x14ac:dyDescent="0.25">
      <c r="A7087">
        <v>1098937</v>
      </c>
      <c r="B7087" t="s">
        <v>7468</v>
      </c>
      <c r="C7087" t="str">
        <f>"9780415302203"</f>
        <v>9780415302203</v>
      </c>
      <c r="D7087" t="str">
        <f>"9781134415564"</f>
        <v>9781134415564</v>
      </c>
      <c r="E7087" t="s">
        <v>15</v>
      </c>
      <c r="F7087" t="s">
        <v>16</v>
      </c>
      <c r="G7087" s="1">
        <v>38509</v>
      </c>
      <c r="H7087" s="1">
        <v>41257</v>
      </c>
      <c r="I7087" t="s">
        <v>12</v>
      </c>
      <c r="J7087" t="s">
        <v>17857</v>
      </c>
    </row>
    <row r="7088" spans="1:10" x14ac:dyDescent="0.25">
      <c r="A7088">
        <v>1105926</v>
      </c>
      <c r="B7088" t="s">
        <v>7469</v>
      </c>
      <c r="C7088" t="str">
        <f>"9780520273870"</f>
        <v>9780520273870</v>
      </c>
      <c r="D7088" t="str">
        <f>"9780520955325"</f>
        <v>9780520955325</v>
      </c>
      <c r="E7088" t="s">
        <v>2000</v>
      </c>
      <c r="F7088" t="s">
        <v>2000</v>
      </c>
      <c r="G7088" s="1">
        <v>41312</v>
      </c>
      <c r="H7088" s="1">
        <v>41268</v>
      </c>
      <c r="I7088" t="s">
        <v>12</v>
      </c>
      <c r="J7088" t="s">
        <v>17858</v>
      </c>
    </row>
    <row r="7089" spans="1:10" x14ac:dyDescent="0.25">
      <c r="A7089">
        <v>1112356</v>
      </c>
      <c r="B7089" t="s">
        <v>7470</v>
      </c>
      <c r="C7089" t="str">
        <f>"9780415163026"</f>
        <v>9780415163026</v>
      </c>
      <c r="D7089" t="str">
        <f>"9781134714469"</f>
        <v>9781134714469</v>
      </c>
      <c r="E7089" t="s">
        <v>15</v>
      </c>
      <c r="F7089" t="s">
        <v>16</v>
      </c>
      <c r="G7089" s="1">
        <v>35788</v>
      </c>
      <c r="H7089" s="1">
        <v>41335</v>
      </c>
      <c r="I7089" t="s">
        <v>12</v>
      </c>
      <c r="J7089" t="s">
        <v>17859</v>
      </c>
    </row>
    <row r="7090" spans="1:10" x14ac:dyDescent="0.25">
      <c r="A7090">
        <v>1116053</v>
      </c>
      <c r="B7090" t="s">
        <v>7471</v>
      </c>
      <c r="C7090" t="str">
        <f>"9783428128396"</f>
        <v>9783428128396</v>
      </c>
      <c r="D7090" t="str">
        <f>"9783428528394"</f>
        <v>9783428528394</v>
      </c>
      <c r="E7090" t="s">
        <v>7472</v>
      </c>
      <c r="F7090" t="s">
        <v>7472</v>
      </c>
      <c r="G7090" s="1">
        <v>40150</v>
      </c>
      <c r="H7090" s="1">
        <v>41320</v>
      </c>
      <c r="I7090" t="s">
        <v>12</v>
      </c>
      <c r="J7090" t="s">
        <v>17860</v>
      </c>
    </row>
    <row r="7091" spans="1:10" x14ac:dyDescent="0.25">
      <c r="A7091">
        <v>1120188</v>
      </c>
      <c r="B7091" t="s">
        <v>7473</v>
      </c>
      <c r="C7091" t="str">
        <f>"9780826195555"</f>
        <v>9780826195555</v>
      </c>
      <c r="D7091" t="str">
        <f>"9780826195562"</f>
        <v>9780826195562</v>
      </c>
      <c r="E7091" t="s">
        <v>3016</v>
      </c>
      <c r="F7091" t="s">
        <v>3016</v>
      </c>
      <c r="G7091" s="1">
        <v>41348</v>
      </c>
      <c r="H7091" s="1">
        <v>42331</v>
      </c>
      <c r="I7091" t="s">
        <v>12</v>
      </c>
      <c r="J7091" t="s">
        <v>17861</v>
      </c>
    </row>
    <row r="7092" spans="1:10" x14ac:dyDescent="0.25">
      <c r="A7092">
        <v>1120198</v>
      </c>
      <c r="B7092" t="s">
        <v>7474</v>
      </c>
      <c r="C7092" t="str">
        <f>"9781442221055"</f>
        <v>9781442221055</v>
      </c>
      <c r="D7092" t="str">
        <f>"9781442221062"</f>
        <v>9781442221062</v>
      </c>
      <c r="E7092" t="s">
        <v>6253</v>
      </c>
      <c r="F7092" t="s">
        <v>6253</v>
      </c>
      <c r="G7092" s="1">
        <v>41250</v>
      </c>
      <c r="H7092" s="1">
        <v>41493</v>
      </c>
      <c r="I7092" t="s">
        <v>12</v>
      </c>
      <c r="J7092" t="s">
        <v>17862</v>
      </c>
    </row>
    <row r="7093" spans="1:10" x14ac:dyDescent="0.25">
      <c r="A7093">
        <v>1122887</v>
      </c>
      <c r="B7093" t="s">
        <v>466</v>
      </c>
      <c r="C7093" t="str">
        <f>"9780419120100"</f>
        <v>9780419120100</v>
      </c>
      <c r="D7093" t="str">
        <f>"9781135834845"</f>
        <v>9781135834845</v>
      </c>
      <c r="E7093" t="s">
        <v>15</v>
      </c>
      <c r="F7093" t="s">
        <v>153</v>
      </c>
      <c r="G7093" s="1">
        <v>38733</v>
      </c>
      <c r="H7093" s="1">
        <v>41311</v>
      </c>
      <c r="I7093" t="s">
        <v>12</v>
      </c>
      <c r="J7093" t="s">
        <v>17863</v>
      </c>
    </row>
    <row r="7094" spans="1:10" x14ac:dyDescent="0.25">
      <c r="A7094">
        <v>1122936</v>
      </c>
      <c r="B7094" t="s">
        <v>7475</v>
      </c>
      <c r="C7094" t="str">
        <f>"9780415978835"</f>
        <v>9780415978835</v>
      </c>
      <c r="D7094" t="str">
        <f>"9780203944189"</f>
        <v>9780203944189</v>
      </c>
      <c r="E7094" t="s">
        <v>15</v>
      </c>
      <c r="F7094" t="s">
        <v>16</v>
      </c>
      <c r="G7094" s="1">
        <v>38960</v>
      </c>
      <c r="H7094" s="1">
        <v>42334</v>
      </c>
      <c r="I7094" t="s">
        <v>12</v>
      </c>
      <c r="J7094" t="s">
        <v>17864</v>
      </c>
    </row>
    <row r="7095" spans="1:10" x14ac:dyDescent="0.25">
      <c r="A7095">
        <v>1131994</v>
      </c>
      <c r="B7095" t="s">
        <v>7476</v>
      </c>
      <c r="C7095" t="str">
        <f>"9780749457570"</f>
        <v>9780749457570</v>
      </c>
      <c r="D7095" t="str">
        <f>"9780749459239"</f>
        <v>9780749459239</v>
      </c>
      <c r="E7095" t="s">
        <v>1770</v>
      </c>
      <c r="F7095" t="s">
        <v>1770</v>
      </c>
      <c r="G7095" s="1">
        <v>40452</v>
      </c>
      <c r="H7095" s="1">
        <v>41326</v>
      </c>
      <c r="I7095" t="s">
        <v>12</v>
      </c>
      <c r="J7095" t="s">
        <v>17865</v>
      </c>
    </row>
    <row r="7096" spans="1:10" x14ac:dyDescent="0.25">
      <c r="A7096">
        <v>1137791</v>
      </c>
      <c r="B7096" t="s">
        <v>7477</v>
      </c>
      <c r="C7096" t="str">
        <f>"9780415319256"</f>
        <v>9780415319256</v>
      </c>
      <c r="D7096" t="str">
        <f>"9781134364817"</f>
        <v>9781134364817</v>
      </c>
      <c r="E7096" t="s">
        <v>15</v>
      </c>
      <c r="F7096" t="s">
        <v>16</v>
      </c>
      <c r="G7096" s="1">
        <v>38646</v>
      </c>
      <c r="H7096" s="1">
        <v>42018</v>
      </c>
      <c r="I7096" t="s">
        <v>12</v>
      </c>
      <c r="J7096" t="s">
        <v>17866</v>
      </c>
    </row>
    <row r="7097" spans="1:10" x14ac:dyDescent="0.25">
      <c r="A7097">
        <v>1137793</v>
      </c>
      <c r="B7097" t="s">
        <v>7478</v>
      </c>
      <c r="C7097" t="str">
        <f>"9780415362245"</f>
        <v>9780415362245</v>
      </c>
      <c r="D7097" t="str">
        <f>"9781134232239"</f>
        <v>9781134232239</v>
      </c>
      <c r="E7097" t="s">
        <v>15</v>
      </c>
      <c r="F7097" t="s">
        <v>16</v>
      </c>
      <c r="G7097" s="1">
        <v>38574</v>
      </c>
      <c r="H7097" s="1">
        <v>42018</v>
      </c>
      <c r="I7097" t="s">
        <v>12</v>
      </c>
      <c r="J7097" t="s">
        <v>17867</v>
      </c>
    </row>
    <row r="7098" spans="1:10" x14ac:dyDescent="0.25">
      <c r="A7098">
        <v>1137795</v>
      </c>
      <c r="B7098" t="s">
        <v>7479</v>
      </c>
      <c r="C7098" t="str">
        <f>"9789058096623"</f>
        <v>9789058096623</v>
      </c>
      <c r="D7098" t="str">
        <f>"9781135289898"</f>
        <v>9781135289898</v>
      </c>
      <c r="E7098" t="s">
        <v>15</v>
      </c>
      <c r="F7098" t="s">
        <v>139</v>
      </c>
      <c r="G7098" s="1">
        <v>38001</v>
      </c>
      <c r="H7098" s="1">
        <v>42018</v>
      </c>
      <c r="I7098" t="s">
        <v>12</v>
      </c>
      <c r="J7098" t="s">
        <v>17868</v>
      </c>
    </row>
    <row r="7099" spans="1:10" x14ac:dyDescent="0.25">
      <c r="A7099">
        <v>1138245</v>
      </c>
      <c r="B7099" t="s">
        <v>7480</v>
      </c>
      <c r="C7099" t="str">
        <f>"9780415341653"</f>
        <v>9780415341653</v>
      </c>
      <c r="D7099" t="str">
        <f>"9781134294671"</f>
        <v>9781134294671</v>
      </c>
      <c r="E7099" t="s">
        <v>15</v>
      </c>
      <c r="F7099" t="s">
        <v>16</v>
      </c>
      <c r="G7099" s="1">
        <v>38375</v>
      </c>
      <c r="H7099" s="1">
        <v>41380</v>
      </c>
      <c r="I7099" t="s">
        <v>12</v>
      </c>
      <c r="J7099" t="s">
        <v>17869</v>
      </c>
    </row>
    <row r="7100" spans="1:10" x14ac:dyDescent="0.25">
      <c r="A7100">
        <v>1138301</v>
      </c>
      <c r="B7100" t="s">
        <v>7481</v>
      </c>
      <c r="C7100" t="str">
        <f>"9780750706933"</f>
        <v>9780750706933</v>
      </c>
      <c r="D7100" t="str">
        <f>"9781135712761"</f>
        <v>9781135712761</v>
      </c>
      <c r="E7100" t="s">
        <v>15</v>
      </c>
      <c r="F7100" t="s">
        <v>16</v>
      </c>
      <c r="G7100" s="1">
        <v>35855</v>
      </c>
      <c r="H7100" s="1">
        <v>41786</v>
      </c>
      <c r="I7100" t="s">
        <v>12</v>
      </c>
      <c r="J7100" t="s">
        <v>17870</v>
      </c>
    </row>
    <row r="7101" spans="1:10" x14ac:dyDescent="0.25">
      <c r="A7101">
        <v>1138303</v>
      </c>
      <c r="B7101" t="s">
        <v>7482</v>
      </c>
      <c r="C7101" t="str">
        <f>"9780415156929"</f>
        <v>9780415156929</v>
      </c>
      <c r="D7101" t="str">
        <f>"9781134729722"</f>
        <v>9781134729722</v>
      </c>
      <c r="E7101" t="s">
        <v>15</v>
      </c>
      <c r="F7101" t="s">
        <v>16</v>
      </c>
      <c r="G7101" s="1">
        <v>36528</v>
      </c>
      <c r="H7101" s="1">
        <v>41955</v>
      </c>
      <c r="I7101" t="s">
        <v>12</v>
      </c>
      <c r="J7101" t="s">
        <v>17871</v>
      </c>
    </row>
    <row r="7102" spans="1:10" x14ac:dyDescent="0.25">
      <c r="A7102">
        <v>1138442</v>
      </c>
      <c r="B7102" t="s">
        <v>7483</v>
      </c>
      <c r="C7102" t="str">
        <f>"9780415971256"</f>
        <v>9780415971256</v>
      </c>
      <c r="D7102" t="str">
        <f>"9781135875374"</f>
        <v>9781135875374</v>
      </c>
      <c r="E7102" t="s">
        <v>15</v>
      </c>
      <c r="F7102" t="s">
        <v>16</v>
      </c>
      <c r="G7102" s="1">
        <v>38333</v>
      </c>
      <c r="H7102" s="1">
        <v>41791</v>
      </c>
      <c r="I7102" t="s">
        <v>12</v>
      </c>
      <c r="J7102" t="s">
        <v>17872</v>
      </c>
    </row>
    <row r="7103" spans="1:10" x14ac:dyDescent="0.25">
      <c r="A7103">
        <v>1144120</v>
      </c>
      <c r="B7103" t="s">
        <v>7484</v>
      </c>
      <c r="C7103" t="str">
        <f>"9780739168820"</f>
        <v>9780739168820</v>
      </c>
      <c r="D7103" t="str">
        <f>"9780739168837"</f>
        <v>9780739168837</v>
      </c>
      <c r="E7103" t="s">
        <v>6256</v>
      </c>
      <c r="F7103" t="s">
        <v>6256</v>
      </c>
      <c r="G7103" s="1">
        <v>41347</v>
      </c>
      <c r="H7103" s="1">
        <v>41493</v>
      </c>
      <c r="I7103" t="s">
        <v>12</v>
      </c>
      <c r="J7103" t="s">
        <v>17873</v>
      </c>
    </row>
    <row r="7104" spans="1:10" x14ac:dyDescent="0.25">
      <c r="A7104">
        <v>1157277</v>
      </c>
      <c r="B7104" t="s">
        <v>7485</v>
      </c>
      <c r="C7104" t="str">
        <f>"9781412961370"</f>
        <v>9781412961370</v>
      </c>
      <c r="D7104" t="str">
        <f>"9781452214672"</f>
        <v>9781452214672</v>
      </c>
      <c r="E7104" t="s">
        <v>1569</v>
      </c>
      <c r="F7104" t="s">
        <v>7486</v>
      </c>
      <c r="G7104" s="1">
        <v>39611</v>
      </c>
      <c r="H7104" s="1">
        <v>42218</v>
      </c>
      <c r="I7104" t="s">
        <v>12</v>
      </c>
      <c r="J7104" t="s">
        <v>17874</v>
      </c>
    </row>
    <row r="7105" spans="1:10" x14ac:dyDescent="0.25">
      <c r="A7105">
        <v>1157590</v>
      </c>
      <c r="B7105" t="s">
        <v>7487</v>
      </c>
      <c r="C7105" t="str">
        <f>"9780739181263"</f>
        <v>9780739181263</v>
      </c>
      <c r="D7105" t="str">
        <f>"9780739181270"</f>
        <v>9780739181270</v>
      </c>
      <c r="E7105" t="s">
        <v>6256</v>
      </c>
      <c r="F7105" t="s">
        <v>6256</v>
      </c>
      <c r="G7105" s="1">
        <v>41361</v>
      </c>
      <c r="H7105" s="1">
        <v>41493</v>
      </c>
      <c r="I7105" t="s">
        <v>12</v>
      </c>
      <c r="J7105" t="s">
        <v>17875</v>
      </c>
    </row>
    <row r="7106" spans="1:10" x14ac:dyDescent="0.25">
      <c r="A7106">
        <v>1168430</v>
      </c>
      <c r="B7106" t="s">
        <v>7488</v>
      </c>
      <c r="C7106" t="str">
        <f>"9780822337348"</f>
        <v>9780822337348</v>
      </c>
      <c r="D7106" t="str">
        <f>"9780822387565"</f>
        <v>9780822387565</v>
      </c>
      <c r="E7106" t="s">
        <v>7489</v>
      </c>
      <c r="F7106" t="s">
        <v>7489</v>
      </c>
      <c r="G7106" s="1">
        <v>38868</v>
      </c>
      <c r="H7106" s="1">
        <v>41376</v>
      </c>
      <c r="I7106" t="s">
        <v>12</v>
      </c>
      <c r="J7106" t="s">
        <v>17876</v>
      </c>
    </row>
    <row r="7107" spans="1:10" x14ac:dyDescent="0.25">
      <c r="A7107">
        <v>1169290</v>
      </c>
      <c r="B7107" t="s">
        <v>7490</v>
      </c>
      <c r="C7107" t="str">
        <f>"9780822337300"</f>
        <v>9780822337300</v>
      </c>
      <c r="D7107" t="str">
        <f>"9780822387787"</f>
        <v>9780822387787</v>
      </c>
      <c r="E7107" t="s">
        <v>7489</v>
      </c>
      <c r="F7107" t="s">
        <v>7489</v>
      </c>
      <c r="G7107" s="1">
        <v>38810</v>
      </c>
      <c r="H7107" s="1">
        <v>41377</v>
      </c>
      <c r="I7107" t="s">
        <v>12</v>
      </c>
      <c r="J7107" t="s">
        <v>17877</v>
      </c>
    </row>
    <row r="7108" spans="1:10" x14ac:dyDescent="0.25">
      <c r="A7108">
        <v>1169312</v>
      </c>
      <c r="B7108" t="s">
        <v>7491</v>
      </c>
      <c r="C7108" t="str">
        <f>"9780822338789"</f>
        <v>9780822338789</v>
      </c>
      <c r="D7108" t="str">
        <f>"9780822388296"</f>
        <v>9780822388296</v>
      </c>
      <c r="E7108" t="s">
        <v>7489</v>
      </c>
      <c r="F7108" t="s">
        <v>7489</v>
      </c>
      <c r="G7108" s="1">
        <v>39058</v>
      </c>
      <c r="H7108" s="1">
        <v>41377</v>
      </c>
      <c r="I7108" t="s">
        <v>12</v>
      </c>
      <c r="J7108" t="s">
        <v>17878</v>
      </c>
    </row>
    <row r="7109" spans="1:10" x14ac:dyDescent="0.25">
      <c r="A7109">
        <v>1169362</v>
      </c>
      <c r="B7109" t="s">
        <v>7492</v>
      </c>
      <c r="C7109" t="str">
        <f>"9780822338512"</f>
        <v>9780822338512</v>
      </c>
      <c r="D7109" t="str">
        <f>"9780822388579"</f>
        <v>9780822388579</v>
      </c>
      <c r="E7109" t="s">
        <v>7489</v>
      </c>
      <c r="F7109" t="s">
        <v>7489</v>
      </c>
      <c r="G7109" s="1">
        <v>39106</v>
      </c>
      <c r="H7109" s="1">
        <v>41377</v>
      </c>
      <c r="I7109" t="s">
        <v>12</v>
      </c>
      <c r="J7109" t="s">
        <v>17879</v>
      </c>
    </row>
    <row r="7110" spans="1:10" x14ac:dyDescent="0.25">
      <c r="A7110">
        <v>1169923</v>
      </c>
      <c r="B7110" t="s">
        <v>7493</v>
      </c>
      <c r="C7110" t="str">
        <f>"9780822339113"</f>
        <v>9780822339113</v>
      </c>
      <c r="D7110" t="str">
        <f>"9780822389606"</f>
        <v>9780822389606</v>
      </c>
      <c r="E7110" t="s">
        <v>7489</v>
      </c>
      <c r="F7110" t="s">
        <v>7489</v>
      </c>
      <c r="G7110" s="1">
        <v>39275</v>
      </c>
      <c r="H7110" s="1">
        <v>41377</v>
      </c>
      <c r="I7110" t="s">
        <v>12</v>
      </c>
      <c r="J7110" t="s">
        <v>17880</v>
      </c>
    </row>
    <row r="7111" spans="1:10" x14ac:dyDescent="0.25">
      <c r="A7111">
        <v>1170016</v>
      </c>
      <c r="B7111" t="s">
        <v>7494</v>
      </c>
      <c r="C7111" t="str">
        <f>"9780826195579"</f>
        <v>9780826195579</v>
      </c>
      <c r="D7111" t="str">
        <f>"9780826195586"</f>
        <v>9780826195586</v>
      </c>
      <c r="E7111" t="s">
        <v>3016</v>
      </c>
      <c r="F7111" t="s">
        <v>3016</v>
      </c>
      <c r="G7111" s="1">
        <v>41390</v>
      </c>
      <c r="H7111" s="1">
        <v>41377</v>
      </c>
      <c r="I7111" t="s">
        <v>12</v>
      </c>
      <c r="J7111" t="s">
        <v>17881</v>
      </c>
    </row>
    <row r="7112" spans="1:10" x14ac:dyDescent="0.25">
      <c r="A7112">
        <v>1170466</v>
      </c>
      <c r="B7112" t="s">
        <v>7495</v>
      </c>
      <c r="C7112" t="str">
        <f>"9780822344551"</f>
        <v>9780822344551</v>
      </c>
      <c r="D7112" t="str">
        <f>"9780822390732"</f>
        <v>9780822390732</v>
      </c>
      <c r="E7112" t="s">
        <v>7489</v>
      </c>
      <c r="F7112" t="s">
        <v>7489</v>
      </c>
      <c r="G7112" s="1">
        <v>40011</v>
      </c>
      <c r="H7112" s="1">
        <v>41378</v>
      </c>
      <c r="I7112" t="s">
        <v>12</v>
      </c>
      <c r="J7112" t="s">
        <v>17882</v>
      </c>
    </row>
    <row r="7113" spans="1:10" x14ac:dyDescent="0.25">
      <c r="A7113">
        <v>1170614</v>
      </c>
      <c r="B7113" t="s">
        <v>7496</v>
      </c>
      <c r="C7113" t="str">
        <f>"9780822345527"</f>
        <v>9780822345527</v>
      </c>
      <c r="D7113" t="str">
        <f>"9780822391227"</f>
        <v>9780822391227</v>
      </c>
      <c r="E7113" t="s">
        <v>7489</v>
      </c>
      <c r="F7113" t="s">
        <v>7489</v>
      </c>
      <c r="G7113" s="1">
        <v>40414</v>
      </c>
      <c r="H7113" s="1">
        <v>41378</v>
      </c>
      <c r="I7113" t="s">
        <v>12</v>
      </c>
      <c r="J7113" t="s">
        <v>17883</v>
      </c>
    </row>
    <row r="7114" spans="1:10" x14ac:dyDescent="0.25">
      <c r="A7114">
        <v>1170642</v>
      </c>
      <c r="B7114" t="s">
        <v>7497</v>
      </c>
      <c r="C7114" t="str">
        <f>"9780822345855"</f>
        <v>9780822345855</v>
      </c>
      <c r="D7114" t="str">
        <f>"9780822391517"</f>
        <v>9780822391517</v>
      </c>
      <c r="E7114" t="s">
        <v>7489</v>
      </c>
      <c r="F7114" t="s">
        <v>7489</v>
      </c>
      <c r="G7114" s="1">
        <v>40094</v>
      </c>
      <c r="H7114" s="1">
        <v>41378</v>
      </c>
      <c r="I7114" t="s">
        <v>12</v>
      </c>
      <c r="J7114" t="s">
        <v>17884</v>
      </c>
    </row>
    <row r="7115" spans="1:10" x14ac:dyDescent="0.25">
      <c r="A7115">
        <v>1171701</v>
      </c>
      <c r="B7115" t="s">
        <v>7498</v>
      </c>
      <c r="C7115" t="str">
        <f>"9780822343554"</f>
        <v>9780822343554</v>
      </c>
      <c r="D7115" t="str">
        <f>"9780822392262"</f>
        <v>9780822392262</v>
      </c>
      <c r="E7115" t="s">
        <v>7489</v>
      </c>
      <c r="F7115" t="s">
        <v>7489</v>
      </c>
      <c r="G7115" s="1">
        <v>39889</v>
      </c>
      <c r="H7115" s="1">
        <v>41379</v>
      </c>
      <c r="I7115" t="s">
        <v>12</v>
      </c>
      <c r="J7115" t="s">
        <v>17885</v>
      </c>
    </row>
    <row r="7116" spans="1:10" x14ac:dyDescent="0.25">
      <c r="A7116">
        <v>1171708</v>
      </c>
      <c r="B7116" t="s">
        <v>7499</v>
      </c>
      <c r="C7116" t="str">
        <f>"9780822346678"</f>
        <v>9780822346678</v>
      </c>
      <c r="D7116" t="str">
        <f>"9780822392620"</f>
        <v>9780822392620</v>
      </c>
      <c r="E7116" t="s">
        <v>7489</v>
      </c>
      <c r="F7116" t="s">
        <v>7489</v>
      </c>
      <c r="G7116" s="1">
        <v>40245</v>
      </c>
      <c r="H7116" s="1">
        <v>41379</v>
      </c>
      <c r="I7116" t="s">
        <v>12</v>
      </c>
      <c r="J7116" t="s">
        <v>17886</v>
      </c>
    </row>
    <row r="7117" spans="1:10" x14ac:dyDescent="0.25">
      <c r="A7117">
        <v>1185073</v>
      </c>
      <c r="B7117" t="s">
        <v>7500</v>
      </c>
      <c r="C7117" t="str">
        <f>"9781593851835"</f>
        <v>9781593851835</v>
      </c>
      <c r="D7117" t="str">
        <f>"9781593856892"</f>
        <v>9781593856892</v>
      </c>
      <c r="E7117" t="s">
        <v>3740</v>
      </c>
      <c r="F7117" t="s">
        <v>3741</v>
      </c>
      <c r="G7117" s="1">
        <v>38441</v>
      </c>
      <c r="H7117" s="1">
        <v>41399</v>
      </c>
      <c r="I7117" t="s">
        <v>12</v>
      </c>
      <c r="J7117" t="s">
        <v>17887</v>
      </c>
    </row>
    <row r="7118" spans="1:10" x14ac:dyDescent="0.25">
      <c r="A7118">
        <v>1190691</v>
      </c>
      <c r="B7118" t="s">
        <v>7501</v>
      </c>
      <c r="C7118" t="str">
        <f>"9780826109088"</f>
        <v>9780826109088</v>
      </c>
      <c r="D7118" t="str">
        <f>"9780826109095"</f>
        <v>9780826109095</v>
      </c>
      <c r="E7118" t="s">
        <v>3016</v>
      </c>
      <c r="F7118" t="s">
        <v>3016</v>
      </c>
      <c r="G7118" s="1">
        <v>41422</v>
      </c>
      <c r="H7118" s="1">
        <v>41419</v>
      </c>
      <c r="I7118" t="s">
        <v>12</v>
      </c>
      <c r="J7118" t="s">
        <v>17888</v>
      </c>
    </row>
    <row r="7119" spans="1:10" x14ac:dyDescent="0.25">
      <c r="A7119">
        <v>1195787</v>
      </c>
      <c r="B7119" t="s">
        <v>7502</v>
      </c>
      <c r="C7119" t="str">
        <f>"9780415278485"</f>
        <v>9780415278485</v>
      </c>
      <c r="D7119" t="str">
        <f>"9781136799136"</f>
        <v>9781136799136</v>
      </c>
      <c r="E7119" t="s">
        <v>15</v>
      </c>
      <c r="F7119" t="s">
        <v>16</v>
      </c>
      <c r="G7119" s="1">
        <v>25508</v>
      </c>
      <c r="H7119" s="1">
        <v>41429</v>
      </c>
      <c r="I7119" t="s">
        <v>12</v>
      </c>
      <c r="J7119" t="s">
        <v>17889</v>
      </c>
    </row>
    <row r="7120" spans="1:10" x14ac:dyDescent="0.25">
      <c r="A7120">
        <v>1203957</v>
      </c>
      <c r="B7120" t="s">
        <v>7503</v>
      </c>
      <c r="C7120" t="str">
        <f>"9780739174418"</f>
        <v>9780739174418</v>
      </c>
      <c r="D7120" t="str">
        <f>"9780739174425"</f>
        <v>9780739174425</v>
      </c>
      <c r="E7120" t="s">
        <v>6256</v>
      </c>
      <c r="F7120" t="s">
        <v>6256</v>
      </c>
      <c r="G7120" s="1">
        <v>41435</v>
      </c>
      <c r="H7120" s="1">
        <v>41426</v>
      </c>
      <c r="I7120" t="s">
        <v>12</v>
      </c>
      <c r="J7120" t="s">
        <v>17890</v>
      </c>
    </row>
    <row r="7121" spans="1:10" x14ac:dyDescent="0.25">
      <c r="A7121">
        <v>1205204</v>
      </c>
      <c r="B7121" t="s">
        <v>7504</v>
      </c>
      <c r="C7121" t="str">
        <f>"9781588291615"</f>
        <v>9781588291615</v>
      </c>
      <c r="D7121" t="str">
        <f>"9781592597789"</f>
        <v>9781592597789</v>
      </c>
      <c r="E7121" t="s">
        <v>7505</v>
      </c>
      <c r="F7121" t="s">
        <v>4780</v>
      </c>
      <c r="G7121" s="1">
        <v>38170</v>
      </c>
      <c r="H7121" s="1">
        <v>41458</v>
      </c>
      <c r="I7121" t="s">
        <v>12</v>
      </c>
      <c r="J7121" t="s">
        <v>17891</v>
      </c>
    </row>
    <row r="7122" spans="1:10" x14ac:dyDescent="0.25">
      <c r="A7122">
        <v>1207440</v>
      </c>
      <c r="B7122" t="s">
        <v>7506</v>
      </c>
      <c r="C7122" t="str">
        <f>"9781442223998"</f>
        <v>9781442223998</v>
      </c>
      <c r="D7122" t="str">
        <f>"9781442224001"</f>
        <v>9781442224001</v>
      </c>
      <c r="E7122" t="s">
        <v>6253</v>
      </c>
      <c r="F7122" t="s">
        <v>6253</v>
      </c>
      <c r="G7122" s="1">
        <v>41438</v>
      </c>
      <c r="H7122" s="1">
        <v>42341</v>
      </c>
      <c r="I7122" t="s">
        <v>12</v>
      </c>
      <c r="J7122" t="s">
        <v>17892</v>
      </c>
    </row>
    <row r="7123" spans="1:10" x14ac:dyDescent="0.25">
      <c r="A7123">
        <v>1209007</v>
      </c>
      <c r="B7123" t="s">
        <v>7507</v>
      </c>
      <c r="C7123" t="str">
        <f>"9781848851085"</f>
        <v>9781848851085</v>
      </c>
      <c r="D7123" t="str">
        <f>"9780857732156"</f>
        <v>9780857732156</v>
      </c>
      <c r="E7123" t="s">
        <v>6867</v>
      </c>
      <c r="F7123" t="s">
        <v>6867</v>
      </c>
      <c r="G7123" s="1">
        <v>40267</v>
      </c>
      <c r="H7123" s="1">
        <v>42346</v>
      </c>
      <c r="I7123" t="s">
        <v>12</v>
      </c>
      <c r="J7123" t="s">
        <v>17893</v>
      </c>
    </row>
    <row r="7124" spans="1:10" x14ac:dyDescent="0.25">
      <c r="A7124">
        <v>1213936</v>
      </c>
      <c r="B7124" t="s">
        <v>7508</v>
      </c>
      <c r="C7124" t="str">
        <f>"9781780761800"</f>
        <v>9781780761800</v>
      </c>
      <c r="D7124" t="str">
        <f>"9780857733153"</f>
        <v>9780857733153</v>
      </c>
      <c r="E7124" t="s">
        <v>6867</v>
      </c>
      <c r="F7124" t="s">
        <v>6867</v>
      </c>
      <c r="G7124" s="1">
        <v>41422</v>
      </c>
      <c r="H7124" s="1">
        <v>42346</v>
      </c>
      <c r="I7124" t="s">
        <v>12</v>
      </c>
      <c r="J7124" t="s">
        <v>17894</v>
      </c>
    </row>
    <row r="7125" spans="1:10" x14ac:dyDescent="0.25">
      <c r="A7125">
        <v>1213942</v>
      </c>
      <c r="B7125" t="s">
        <v>7509</v>
      </c>
      <c r="C7125" t="str">
        <f>"9781780763668"</f>
        <v>9781780763668</v>
      </c>
      <c r="D7125" t="str">
        <f>"9780857722157"</f>
        <v>9780857722157</v>
      </c>
      <c r="E7125" t="s">
        <v>6867</v>
      </c>
      <c r="F7125" t="s">
        <v>6867</v>
      </c>
      <c r="G7125" s="1">
        <v>41401</v>
      </c>
      <c r="H7125" s="1">
        <v>42346</v>
      </c>
      <c r="I7125" t="s">
        <v>12</v>
      </c>
      <c r="J7125" t="s">
        <v>17895</v>
      </c>
    </row>
    <row r="7126" spans="1:10" x14ac:dyDescent="0.25">
      <c r="A7126">
        <v>1214146</v>
      </c>
      <c r="B7126" t="s">
        <v>7510</v>
      </c>
      <c r="C7126" t="str">
        <f>"9781845414009"</f>
        <v>9781845414009</v>
      </c>
      <c r="D7126" t="str">
        <f>"9781845414023"</f>
        <v>9781845414023</v>
      </c>
      <c r="E7126" t="s">
        <v>886</v>
      </c>
      <c r="F7126" t="s">
        <v>886</v>
      </c>
      <c r="G7126" s="1">
        <v>41432</v>
      </c>
      <c r="H7126" s="1">
        <v>41459</v>
      </c>
      <c r="I7126" t="s">
        <v>12</v>
      </c>
      <c r="J7126" t="s">
        <v>17896</v>
      </c>
    </row>
    <row r="7127" spans="1:10" x14ac:dyDescent="0.25">
      <c r="A7127">
        <v>1214450</v>
      </c>
      <c r="B7127" t="s">
        <v>7511</v>
      </c>
      <c r="C7127" t="str">
        <f>"9789812564023"</f>
        <v>9789812564023</v>
      </c>
      <c r="D7127" t="str">
        <f>"9789812701008"</f>
        <v>9789812701008</v>
      </c>
      <c r="E7127" t="s">
        <v>7512</v>
      </c>
      <c r="F7127" t="s">
        <v>7512</v>
      </c>
      <c r="G7127" s="1">
        <v>38502</v>
      </c>
      <c r="H7127" s="1">
        <v>41481</v>
      </c>
      <c r="I7127" t="s">
        <v>12</v>
      </c>
      <c r="J7127" t="s">
        <v>17897</v>
      </c>
    </row>
    <row r="7128" spans="1:10" x14ac:dyDescent="0.25">
      <c r="A7128">
        <v>1214942</v>
      </c>
      <c r="B7128" t="s">
        <v>1210</v>
      </c>
      <c r="C7128" t="str">
        <f>"9789812561640"</f>
        <v>9789812561640</v>
      </c>
      <c r="D7128" t="str">
        <f>"9789812701213"</f>
        <v>9789812701213</v>
      </c>
      <c r="E7128" t="s">
        <v>1056</v>
      </c>
      <c r="F7128" t="s">
        <v>1056</v>
      </c>
      <c r="G7128" s="1">
        <v>38687</v>
      </c>
      <c r="H7128" s="1">
        <v>41481</v>
      </c>
      <c r="I7128" t="s">
        <v>12</v>
      </c>
      <c r="J7128" t="s">
        <v>17898</v>
      </c>
    </row>
    <row r="7129" spans="1:10" x14ac:dyDescent="0.25">
      <c r="A7129">
        <v>1215490</v>
      </c>
      <c r="B7129" t="s">
        <v>7513</v>
      </c>
      <c r="C7129" t="str">
        <f>"9780739140659"</f>
        <v>9780739140659</v>
      </c>
      <c r="D7129" t="str">
        <f>"9780739140673"</f>
        <v>9780739140673</v>
      </c>
      <c r="E7129" t="s">
        <v>6256</v>
      </c>
      <c r="F7129" t="s">
        <v>6256</v>
      </c>
      <c r="G7129" s="1">
        <v>40298</v>
      </c>
      <c r="H7129" s="1">
        <v>41459</v>
      </c>
      <c r="I7129" t="s">
        <v>12</v>
      </c>
      <c r="J7129" t="s">
        <v>17899</v>
      </c>
    </row>
    <row r="7130" spans="1:10" x14ac:dyDescent="0.25">
      <c r="A7130">
        <v>1221587</v>
      </c>
      <c r="B7130" t="s">
        <v>7514</v>
      </c>
      <c r="C7130" t="str">
        <f>"9780814474310"</f>
        <v>9780814474310</v>
      </c>
      <c r="D7130" t="str">
        <f>"9780814400548"</f>
        <v>9780814400548</v>
      </c>
      <c r="E7130" t="s">
        <v>1080</v>
      </c>
      <c r="F7130" t="s">
        <v>1080</v>
      </c>
      <c r="G7130" s="1">
        <v>39225</v>
      </c>
      <c r="H7130" s="1">
        <v>39225</v>
      </c>
      <c r="I7130" t="s">
        <v>12</v>
      </c>
      <c r="J7130" t="s">
        <v>17900</v>
      </c>
    </row>
    <row r="7131" spans="1:10" x14ac:dyDescent="0.25">
      <c r="A7131">
        <v>1222027</v>
      </c>
      <c r="B7131" t="s">
        <v>7515</v>
      </c>
      <c r="C7131" t="str">
        <f>"9780739168196"</f>
        <v>9780739168196</v>
      </c>
      <c r="D7131" t="str">
        <f>"9780739168202"</f>
        <v>9780739168202</v>
      </c>
      <c r="E7131" t="s">
        <v>6256</v>
      </c>
      <c r="F7131" t="s">
        <v>6256</v>
      </c>
      <c r="G7131" s="1">
        <v>41138</v>
      </c>
      <c r="H7131" s="1">
        <v>41460</v>
      </c>
      <c r="I7131" t="s">
        <v>12</v>
      </c>
      <c r="J7131" t="s">
        <v>17901</v>
      </c>
    </row>
    <row r="7132" spans="1:10" x14ac:dyDescent="0.25">
      <c r="A7132">
        <v>1237934</v>
      </c>
      <c r="B7132" t="s">
        <v>7516</v>
      </c>
      <c r="C7132" t="str">
        <f>"9781498510875"</f>
        <v>9781498510875</v>
      </c>
      <c r="D7132" t="str">
        <f>"9780739175347"</f>
        <v>9780739175347</v>
      </c>
      <c r="E7132" t="s">
        <v>6256</v>
      </c>
      <c r="F7132" t="s">
        <v>6256</v>
      </c>
      <c r="G7132" s="1">
        <v>41445</v>
      </c>
      <c r="H7132" s="1">
        <v>41461</v>
      </c>
      <c r="I7132" t="s">
        <v>12</v>
      </c>
      <c r="J7132" t="s">
        <v>17902</v>
      </c>
    </row>
    <row r="7133" spans="1:10" x14ac:dyDescent="0.25">
      <c r="A7133">
        <v>1251031</v>
      </c>
      <c r="B7133" t="s">
        <v>7517</v>
      </c>
      <c r="C7133" t="str">
        <f>"9789004254411"</f>
        <v>9789004254411</v>
      </c>
      <c r="D7133" t="str">
        <f>"9789004254428"</f>
        <v>9789004254428</v>
      </c>
      <c r="E7133" t="s">
        <v>1447</v>
      </c>
      <c r="F7133" t="s">
        <v>1447</v>
      </c>
      <c r="G7133" s="1">
        <v>41464</v>
      </c>
      <c r="H7133" s="1">
        <v>41462</v>
      </c>
      <c r="I7133" t="s">
        <v>12</v>
      </c>
      <c r="J7133" t="s">
        <v>17903</v>
      </c>
    </row>
    <row r="7134" spans="1:10" x14ac:dyDescent="0.25">
      <c r="A7134">
        <v>1272863</v>
      </c>
      <c r="B7134" t="s">
        <v>7518</v>
      </c>
      <c r="C7134" t="str">
        <f>"9781844074808"</f>
        <v>9781844074808</v>
      </c>
      <c r="D7134" t="str">
        <f>"9781136569395"</f>
        <v>9781136569395</v>
      </c>
      <c r="E7134" t="s">
        <v>15</v>
      </c>
      <c r="F7134" t="s">
        <v>16</v>
      </c>
      <c r="G7134" s="1">
        <v>41459</v>
      </c>
      <c r="H7134" s="1">
        <v>41462</v>
      </c>
      <c r="I7134" t="s">
        <v>12</v>
      </c>
      <c r="J7134" t="s">
        <v>17904</v>
      </c>
    </row>
    <row r="7135" spans="1:10" x14ac:dyDescent="0.25">
      <c r="A7135">
        <v>1315697</v>
      </c>
      <c r="B7135" t="s">
        <v>7519</v>
      </c>
      <c r="C7135" t="str">
        <f>"9780810878730"</f>
        <v>9780810878730</v>
      </c>
      <c r="D7135" t="str">
        <f>"9780810878747"</f>
        <v>9780810878747</v>
      </c>
      <c r="E7135" t="s">
        <v>6074</v>
      </c>
      <c r="F7135" t="s">
        <v>6074</v>
      </c>
      <c r="G7135" s="1">
        <v>41484</v>
      </c>
      <c r="H7135" s="1">
        <v>42341</v>
      </c>
      <c r="I7135" t="s">
        <v>12</v>
      </c>
      <c r="J7135" t="s">
        <v>17905</v>
      </c>
    </row>
    <row r="7136" spans="1:10" x14ac:dyDescent="0.25">
      <c r="A7136">
        <v>1318361</v>
      </c>
      <c r="B7136" t="s">
        <v>7520</v>
      </c>
      <c r="C7136" t="str">
        <f>"9780826109637"</f>
        <v>9780826109637</v>
      </c>
      <c r="D7136" t="str">
        <f>"9780826109644"</f>
        <v>9780826109644</v>
      </c>
      <c r="E7136" t="s">
        <v>3016</v>
      </c>
      <c r="F7136" t="s">
        <v>3016</v>
      </c>
      <c r="G7136" s="1">
        <v>41483</v>
      </c>
      <c r="H7136" s="1">
        <v>41486</v>
      </c>
      <c r="I7136" t="s">
        <v>12</v>
      </c>
      <c r="J7136" t="s">
        <v>17906</v>
      </c>
    </row>
    <row r="7137" spans="1:10" x14ac:dyDescent="0.25">
      <c r="A7137">
        <v>1344831</v>
      </c>
      <c r="B7137" t="s">
        <v>7521</v>
      </c>
      <c r="C7137" t="str">
        <f>"9780195373196"</f>
        <v>9780195373196</v>
      </c>
      <c r="D7137" t="str">
        <f>"9780198041788"</f>
        <v>9780198041788</v>
      </c>
      <c r="E7137" t="s">
        <v>1268</v>
      </c>
      <c r="F7137" t="s">
        <v>1268</v>
      </c>
      <c r="G7137" s="1">
        <v>39675</v>
      </c>
      <c r="H7137" s="1">
        <v>41502</v>
      </c>
      <c r="I7137" t="s">
        <v>12</v>
      </c>
      <c r="J7137" t="s">
        <v>17907</v>
      </c>
    </row>
    <row r="7138" spans="1:10" x14ac:dyDescent="0.25">
      <c r="A7138">
        <v>1350174</v>
      </c>
      <c r="B7138" t="s">
        <v>7522</v>
      </c>
      <c r="C7138" t="str">
        <f>"9780814473474"</f>
        <v>9780814473474</v>
      </c>
      <c r="D7138" t="str">
        <f>"9780814429457"</f>
        <v>9780814429457</v>
      </c>
      <c r="E7138" t="s">
        <v>1080</v>
      </c>
      <c r="F7138" t="s">
        <v>1080</v>
      </c>
      <c r="G7138" s="1">
        <v>39002</v>
      </c>
      <c r="H7138" s="1">
        <v>41694</v>
      </c>
      <c r="I7138" t="s">
        <v>12</v>
      </c>
      <c r="J7138" t="s">
        <v>17908</v>
      </c>
    </row>
    <row r="7139" spans="1:10" x14ac:dyDescent="0.25">
      <c r="A7139">
        <v>1352422</v>
      </c>
      <c r="B7139" t="s">
        <v>7523</v>
      </c>
      <c r="C7139" t="str">
        <f>"9780826195814"</f>
        <v>9780826195814</v>
      </c>
      <c r="D7139" t="str">
        <f>"9780826195821"</f>
        <v>9780826195821</v>
      </c>
      <c r="E7139" t="s">
        <v>3016</v>
      </c>
      <c r="F7139" t="s">
        <v>3016</v>
      </c>
      <c r="G7139" s="1">
        <v>41494</v>
      </c>
      <c r="H7139" s="1">
        <v>42331</v>
      </c>
      <c r="I7139" t="s">
        <v>12</v>
      </c>
      <c r="J7139" t="s">
        <v>17909</v>
      </c>
    </row>
    <row r="7140" spans="1:10" x14ac:dyDescent="0.25">
      <c r="A7140">
        <v>1354428</v>
      </c>
      <c r="B7140" t="s">
        <v>7524</v>
      </c>
      <c r="C7140" t="str">
        <f>"9780809329823"</f>
        <v>9780809329823</v>
      </c>
      <c r="D7140" t="str">
        <f>"9780809385751"</f>
        <v>9780809385751</v>
      </c>
      <c r="E7140" t="s">
        <v>7525</v>
      </c>
      <c r="F7140" t="s">
        <v>7525</v>
      </c>
      <c r="G7140" s="1">
        <v>40307</v>
      </c>
      <c r="H7140" s="1">
        <v>41507</v>
      </c>
      <c r="I7140" t="s">
        <v>12</v>
      </c>
      <c r="J7140" t="s">
        <v>17910</v>
      </c>
    </row>
    <row r="7141" spans="1:10" x14ac:dyDescent="0.25">
      <c r="A7141">
        <v>1354530</v>
      </c>
      <c r="B7141" t="s">
        <v>7526</v>
      </c>
      <c r="C7141" t="str">
        <f>"9780809329601"</f>
        <v>9780809329601</v>
      </c>
      <c r="D7141" t="str">
        <f>"9780809385577"</f>
        <v>9780809385577</v>
      </c>
      <c r="E7141" t="s">
        <v>7525</v>
      </c>
      <c r="F7141" t="s">
        <v>7525</v>
      </c>
      <c r="G7141" s="1">
        <v>40303</v>
      </c>
      <c r="H7141" s="1">
        <v>41507</v>
      </c>
      <c r="I7141" t="s">
        <v>12</v>
      </c>
      <c r="J7141" t="s">
        <v>17911</v>
      </c>
    </row>
    <row r="7142" spans="1:10" x14ac:dyDescent="0.25">
      <c r="A7142">
        <v>1356306</v>
      </c>
      <c r="B7142" t="s">
        <v>7527</v>
      </c>
      <c r="C7142" t="str">
        <f>"9781844073986"</f>
        <v>9781844073986</v>
      </c>
      <c r="D7142" t="str">
        <f>"9781136551826"</f>
        <v>9781136551826</v>
      </c>
      <c r="E7142" t="s">
        <v>15</v>
      </c>
      <c r="F7142" t="s">
        <v>16</v>
      </c>
      <c r="G7142" s="1">
        <v>39106</v>
      </c>
      <c r="H7142" s="1">
        <v>41682</v>
      </c>
      <c r="I7142" t="s">
        <v>12</v>
      </c>
      <c r="J7142" t="s">
        <v>17912</v>
      </c>
    </row>
    <row r="7143" spans="1:10" x14ac:dyDescent="0.25">
      <c r="A7143">
        <v>1358660</v>
      </c>
      <c r="B7143" t="s">
        <v>7528</v>
      </c>
      <c r="C7143" t="str">
        <f>"9780739181126"</f>
        <v>9780739181126</v>
      </c>
      <c r="D7143" t="str">
        <f>"9780739181133"</f>
        <v>9780739181133</v>
      </c>
      <c r="E7143" t="s">
        <v>6256</v>
      </c>
      <c r="F7143" t="s">
        <v>6256</v>
      </c>
      <c r="G7143" s="1">
        <v>41465</v>
      </c>
      <c r="H7143" s="1">
        <v>41510</v>
      </c>
      <c r="I7143" t="s">
        <v>12</v>
      </c>
      <c r="J7143" t="s">
        <v>17913</v>
      </c>
    </row>
    <row r="7144" spans="1:10" x14ac:dyDescent="0.25">
      <c r="A7144">
        <v>1363575</v>
      </c>
      <c r="B7144" t="s">
        <v>7529</v>
      </c>
      <c r="C7144" t="str">
        <f>"9780814414187"</f>
        <v>9780814414187</v>
      </c>
      <c r="D7144" t="str">
        <f>"9780814409541"</f>
        <v>9780814409541</v>
      </c>
      <c r="E7144" t="s">
        <v>1080</v>
      </c>
      <c r="F7144" t="s">
        <v>1080</v>
      </c>
      <c r="G7144" s="1">
        <v>39876</v>
      </c>
      <c r="H7144" s="1">
        <v>39876</v>
      </c>
      <c r="I7144" t="s">
        <v>12</v>
      </c>
      <c r="J7144" t="s">
        <v>17914</v>
      </c>
    </row>
    <row r="7145" spans="1:10" x14ac:dyDescent="0.25">
      <c r="A7145">
        <v>1367765</v>
      </c>
      <c r="B7145" t="s">
        <v>7530</v>
      </c>
      <c r="C7145" t="str">
        <f>"9781412968034"</f>
        <v>9781412968034</v>
      </c>
      <c r="D7145" t="str">
        <f>"9781452211114"</f>
        <v>9781452211114</v>
      </c>
      <c r="E7145" t="s">
        <v>1569</v>
      </c>
      <c r="F7145" t="s">
        <v>7486</v>
      </c>
      <c r="G7145" s="1">
        <v>39801</v>
      </c>
      <c r="H7145" s="1">
        <v>42218</v>
      </c>
      <c r="I7145" t="s">
        <v>12</v>
      </c>
      <c r="J7145" t="s">
        <v>17915</v>
      </c>
    </row>
    <row r="7146" spans="1:10" x14ac:dyDescent="0.25">
      <c r="A7146">
        <v>1367824</v>
      </c>
      <c r="B7146" t="s">
        <v>7531</v>
      </c>
      <c r="C7146" t="str">
        <f>"9789004257306"</f>
        <v>9789004257306</v>
      </c>
      <c r="D7146" t="str">
        <f>"9789004257313"</f>
        <v>9789004257313</v>
      </c>
      <c r="E7146" t="s">
        <v>1447</v>
      </c>
      <c r="F7146" t="s">
        <v>1447</v>
      </c>
      <c r="G7146" s="1">
        <v>41508</v>
      </c>
      <c r="H7146" s="1">
        <v>41517</v>
      </c>
      <c r="I7146" t="s">
        <v>12</v>
      </c>
      <c r="J7146" t="s">
        <v>17916</v>
      </c>
    </row>
    <row r="7147" spans="1:10" x14ac:dyDescent="0.25">
      <c r="A7147">
        <v>1380565</v>
      </c>
      <c r="B7147" t="s">
        <v>7532</v>
      </c>
      <c r="C7147" t="str">
        <f>"9780739165843"</f>
        <v>9780739165843</v>
      </c>
      <c r="D7147" t="str">
        <f>"9780739165867"</f>
        <v>9780739165867</v>
      </c>
      <c r="E7147" t="s">
        <v>6256</v>
      </c>
      <c r="F7147" t="s">
        <v>6256</v>
      </c>
      <c r="G7147" s="1">
        <v>41522</v>
      </c>
      <c r="H7147" s="1">
        <v>41525</v>
      </c>
      <c r="I7147" t="s">
        <v>12</v>
      </c>
      <c r="J7147" t="s">
        <v>17917</v>
      </c>
    </row>
    <row r="7148" spans="1:10" x14ac:dyDescent="0.25">
      <c r="A7148">
        <v>1386468</v>
      </c>
      <c r="B7148" t="s">
        <v>7533</v>
      </c>
      <c r="C7148" t="str">
        <f>"9781412966306"</f>
        <v>9781412966306</v>
      </c>
      <c r="D7148" t="str">
        <f>"9781452296029"</f>
        <v>9781452296029</v>
      </c>
      <c r="E7148" t="s">
        <v>1569</v>
      </c>
      <c r="F7148" t="s">
        <v>7486</v>
      </c>
      <c r="G7148" s="1">
        <v>39762</v>
      </c>
      <c r="H7148" s="1">
        <v>39757</v>
      </c>
      <c r="I7148" t="s">
        <v>12</v>
      </c>
      <c r="J7148" t="s">
        <v>17918</v>
      </c>
    </row>
    <row r="7149" spans="1:10" x14ac:dyDescent="0.25">
      <c r="A7149">
        <v>1394869</v>
      </c>
      <c r="B7149" t="s">
        <v>7534</v>
      </c>
      <c r="C7149" t="str">
        <f>"9780826199713"</f>
        <v>9780826199713</v>
      </c>
      <c r="D7149" t="str">
        <f>"9780826199720"</f>
        <v>9780826199720</v>
      </c>
      <c r="E7149" t="s">
        <v>3016</v>
      </c>
      <c r="F7149" t="s">
        <v>3016</v>
      </c>
      <c r="G7149" s="1">
        <v>41544</v>
      </c>
      <c r="H7149" s="1">
        <v>42331</v>
      </c>
      <c r="I7149" t="s">
        <v>12</v>
      </c>
      <c r="J7149" t="s">
        <v>17919</v>
      </c>
    </row>
    <row r="7150" spans="1:10" x14ac:dyDescent="0.25">
      <c r="A7150">
        <v>1405045</v>
      </c>
      <c r="B7150" t="s">
        <v>7535</v>
      </c>
      <c r="C7150" t="str">
        <f>"9780849340277"</f>
        <v>9780849340277</v>
      </c>
      <c r="D7150" t="str">
        <f>"9781420013948"</f>
        <v>9781420013948</v>
      </c>
      <c r="E7150" t="s">
        <v>15</v>
      </c>
      <c r="F7150" t="s">
        <v>139</v>
      </c>
      <c r="G7150" s="1">
        <v>38803</v>
      </c>
      <c r="H7150" s="1">
        <v>41571</v>
      </c>
      <c r="I7150" t="s">
        <v>12</v>
      </c>
      <c r="J7150" t="s">
        <v>17920</v>
      </c>
    </row>
    <row r="7151" spans="1:10" x14ac:dyDescent="0.25">
      <c r="A7151">
        <v>1405335</v>
      </c>
      <c r="B7151" t="s">
        <v>7536</v>
      </c>
      <c r="C7151" t="str">
        <f>"9780824725341"</f>
        <v>9780824725341</v>
      </c>
      <c r="D7151" t="str">
        <f>"9781420015034"</f>
        <v>9781420015034</v>
      </c>
      <c r="E7151" t="s">
        <v>15</v>
      </c>
      <c r="F7151" t="s">
        <v>139</v>
      </c>
      <c r="G7151" s="1">
        <v>38782</v>
      </c>
      <c r="H7151" s="1">
        <v>42000</v>
      </c>
      <c r="I7151" t="s">
        <v>12</v>
      </c>
      <c r="J7151" t="s">
        <v>17921</v>
      </c>
    </row>
    <row r="7152" spans="1:10" x14ac:dyDescent="0.25">
      <c r="A7152">
        <v>1405552</v>
      </c>
      <c r="B7152" t="s">
        <v>7537</v>
      </c>
      <c r="C7152" t="str">
        <f>"9780849339684"</f>
        <v>9780849339684</v>
      </c>
      <c r="D7152" t="str">
        <f>"9781420020854"</f>
        <v>9781420020854</v>
      </c>
      <c r="E7152" t="s">
        <v>15</v>
      </c>
      <c r="F7152" t="s">
        <v>139</v>
      </c>
      <c r="G7152" s="1">
        <v>38522</v>
      </c>
      <c r="H7152" s="1">
        <v>41569</v>
      </c>
      <c r="I7152" t="s">
        <v>12</v>
      </c>
      <c r="J7152" t="s">
        <v>17922</v>
      </c>
    </row>
    <row r="7153" spans="1:10" x14ac:dyDescent="0.25">
      <c r="A7153">
        <v>1407328</v>
      </c>
      <c r="B7153" t="s">
        <v>7538</v>
      </c>
      <c r="C7153" t="str">
        <f>"9781841846330"</f>
        <v>9781841846330</v>
      </c>
      <c r="D7153" t="str">
        <f>"9780203091456"</f>
        <v>9780203091456</v>
      </c>
      <c r="E7153" t="s">
        <v>15</v>
      </c>
      <c r="F7153" t="s">
        <v>139</v>
      </c>
      <c r="G7153" s="1">
        <v>39587</v>
      </c>
      <c r="H7153" s="1">
        <v>42034</v>
      </c>
      <c r="I7153" t="s">
        <v>12</v>
      </c>
      <c r="J7153" t="s">
        <v>17923</v>
      </c>
    </row>
    <row r="7154" spans="1:10" x14ac:dyDescent="0.25">
      <c r="A7154">
        <v>1407416</v>
      </c>
      <c r="B7154" t="s">
        <v>7539</v>
      </c>
      <c r="C7154" t="str">
        <f>"9780415448888"</f>
        <v>9780415448888</v>
      </c>
      <c r="D7154" t="str">
        <f>"9780203091784"</f>
        <v>9780203091784</v>
      </c>
      <c r="E7154" t="s">
        <v>144</v>
      </c>
      <c r="F7154" t="s">
        <v>144</v>
      </c>
      <c r="G7154" s="1">
        <v>39806</v>
      </c>
      <c r="H7154" s="1">
        <v>41999</v>
      </c>
      <c r="I7154" t="s">
        <v>12</v>
      </c>
      <c r="J7154" t="s">
        <v>17924</v>
      </c>
    </row>
    <row r="7155" spans="1:10" x14ac:dyDescent="0.25">
      <c r="A7155">
        <v>1407678</v>
      </c>
      <c r="B7155" t="s">
        <v>7540</v>
      </c>
      <c r="C7155" t="str">
        <f>"9781840761122"</f>
        <v>9781840761122</v>
      </c>
      <c r="D7155" t="str">
        <f>"9781840765922"</f>
        <v>9781840765922</v>
      </c>
      <c r="E7155" t="s">
        <v>144</v>
      </c>
      <c r="F7155" t="s">
        <v>139</v>
      </c>
      <c r="G7155" s="1">
        <v>40481</v>
      </c>
      <c r="H7155" s="1">
        <v>41856</v>
      </c>
      <c r="I7155" t="s">
        <v>12</v>
      </c>
      <c r="J7155" t="s">
        <v>17925</v>
      </c>
    </row>
    <row r="7156" spans="1:10" x14ac:dyDescent="0.25">
      <c r="A7156">
        <v>1407680</v>
      </c>
      <c r="B7156" t="s">
        <v>7541</v>
      </c>
      <c r="C7156" t="str">
        <f>"9781840761535"</f>
        <v>9781840761535</v>
      </c>
      <c r="D7156" t="str">
        <f>"9781840766226"</f>
        <v>9781840766226</v>
      </c>
      <c r="E7156" t="s">
        <v>144</v>
      </c>
      <c r="F7156" t="s">
        <v>139</v>
      </c>
      <c r="G7156" s="1">
        <v>40589</v>
      </c>
      <c r="H7156" s="1">
        <v>41856</v>
      </c>
      <c r="I7156" t="s">
        <v>12</v>
      </c>
      <c r="J7156" t="s">
        <v>17926</v>
      </c>
    </row>
    <row r="7157" spans="1:10" x14ac:dyDescent="0.25">
      <c r="A7157">
        <v>1407684</v>
      </c>
      <c r="B7157" t="s">
        <v>7542</v>
      </c>
      <c r="C7157" t="str">
        <f>"9781840761917"</f>
        <v>9781840761917</v>
      </c>
      <c r="D7157" t="str">
        <f>"9781840765212"</f>
        <v>9781840765212</v>
      </c>
      <c r="E7157" t="s">
        <v>15</v>
      </c>
      <c r="F7157" t="s">
        <v>139</v>
      </c>
      <c r="G7157" s="1">
        <v>40081</v>
      </c>
      <c r="H7157" s="1">
        <v>41855</v>
      </c>
      <c r="I7157" t="s">
        <v>12</v>
      </c>
      <c r="J7157" t="s">
        <v>17927</v>
      </c>
    </row>
    <row r="7158" spans="1:10" x14ac:dyDescent="0.25">
      <c r="A7158">
        <v>1441534</v>
      </c>
      <c r="B7158" t="s">
        <v>7543</v>
      </c>
      <c r="C7158" t="str">
        <f>"9780826107183"</f>
        <v>9780826107183</v>
      </c>
      <c r="D7158" t="str">
        <f>"9780826107190"</f>
        <v>9780826107190</v>
      </c>
      <c r="E7158" t="s">
        <v>3016</v>
      </c>
      <c r="F7158" t="s">
        <v>3016</v>
      </c>
      <c r="G7158" s="1">
        <v>41575</v>
      </c>
      <c r="H7158" s="1">
        <v>41552</v>
      </c>
      <c r="I7158" t="s">
        <v>12</v>
      </c>
      <c r="J7158" t="s">
        <v>17928</v>
      </c>
    </row>
    <row r="7159" spans="1:10" x14ac:dyDescent="0.25">
      <c r="A7159">
        <v>1441831</v>
      </c>
      <c r="B7159" t="s">
        <v>7544</v>
      </c>
      <c r="C7159" t="str">
        <f>"9780742555884"</f>
        <v>9780742555884</v>
      </c>
      <c r="D7159" t="str">
        <f>"9780742568495"</f>
        <v>9780742568495</v>
      </c>
      <c r="E7159" t="s">
        <v>6253</v>
      </c>
      <c r="F7159" t="s">
        <v>6253</v>
      </c>
      <c r="G7159" s="1">
        <v>41543</v>
      </c>
      <c r="H7159" s="1">
        <v>41829</v>
      </c>
      <c r="I7159" t="s">
        <v>12</v>
      </c>
      <c r="J7159" t="s">
        <v>17929</v>
      </c>
    </row>
    <row r="7160" spans="1:10" x14ac:dyDescent="0.25">
      <c r="A7160">
        <v>1446576</v>
      </c>
      <c r="B7160" t="s">
        <v>7545</v>
      </c>
      <c r="C7160" t="str">
        <f>"9781420050950"</f>
        <v>9781420050950</v>
      </c>
      <c r="D7160" t="str">
        <f>"9781420050974"</f>
        <v>9781420050974</v>
      </c>
      <c r="E7160" t="s">
        <v>15</v>
      </c>
      <c r="F7160" t="s">
        <v>139</v>
      </c>
      <c r="G7160" s="1">
        <v>39556</v>
      </c>
      <c r="H7160" s="1">
        <v>41999</v>
      </c>
      <c r="I7160" t="s">
        <v>12</v>
      </c>
      <c r="J7160" t="s">
        <v>17930</v>
      </c>
    </row>
    <row r="7161" spans="1:10" x14ac:dyDescent="0.25">
      <c r="A7161">
        <v>1463554</v>
      </c>
      <c r="B7161" t="s">
        <v>7546</v>
      </c>
      <c r="C7161" t="str">
        <f>"9780826199591"</f>
        <v>9780826199591</v>
      </c>
      <c r="D7161" t="str">
        <f>"9780826199614"</f>
        <v>9780826199614</v>
      </c>
      <c r="E7161" t="s">
        <v>3016</v>
      </c>
      <c r="F7161" t="s">
        <v>3016</v>
      </c>
      <c r="G7161" s="1">
        <v>41562</v>
      </c>
      <c r="H7161" s="1">
        <v>42331</v>
      </c>
      <c r="I7161" t="s">
        <v>12</v>
      </c>
      <c r="J7161" t="s">
        <v>17931</v>
      </c>
    </row>
    <row r="7162" spans="1:10" x14ac:dyDescent="0.25">
      <c r="A7162">
        <v>1481150</v>
      </c>
      <c r="B7162" t="s">
        <v>7547</v>
      </c>
      <c r="C7162" t="str">
        <f>"9789004256453"</f>
        <v>9789004256453</v>
      </c>
      <c r="D7162" t="str">
        <f>"9789004256460"</f>
        <v>9789004256460</v>
      </c>
      <c r="E7162" t="s">
        <v>1447</v>
      </c>
      <c r="F7162" t="s">
        <v>1447</v>
      </c>
      <c r="G7162" s="1">
        <v>41557</v>
      </c>
      <c r="H7162" s="1">
        <v>41565</v>
      </c>
      <c r="I7162" t="s">
        <v>12</v>
      </c>
      <c r="J7162" t="s">
        <v>17932</v>
      </c>
    </row>
    <row r="7163" spans="1:10" x14ac:dyDescent="0.25">
      <c r="A7163">
        <v>1481220</v>
      </c>
      <c r="B7163" t="s">
        <v>7548</v>
      </c>
      <c r="C7163" t="str">
        <f>"9781442214408"</f>
        <v>9781442214408</v>
      </c>
      <c r="D7163" t="str">
        <f>"9781442214422"</f>
        <v>9781442214422</v>
      </c>
      <c r="E7163" t="s">
        <v>6253</v>
      </c>
      <c r="F7163" t="s">
        <v>6253</v>
      </c>
      <c r="G7163" s="1">
        <v>41557</v>
      </c>
      <c r="H7163" s="1">
        <v>41625</v>
      </c>
      <c r="I7163" t="s">
        <v>12</v>
      </c>
      <c r="J7163" t="s">
        <v>17933</v>
      </c>
    </row>
    <row r="7164" spans="1:10" x14ac:dyDescent="0.25">
      <c r="A7164">
        <v>1486324</v>
      </c>
      <c r="B7164" t="s">
        <v>7549</v>
      </c>
      <c r="C7164" t="str">
        <f>"9780739170410"</f>
        <v>9780739170410</v>
      </c>
      <c r="D7164" t="str">
        <f>"9780739170427"</f>
        <v>9780739170427</v>
      </c>
      <c r="E7164" t="s">
        <v>6256</v>
      </c>
      <c r="F7164" t="s">
        <v>6256</v>
      </c>
      <c r="G7164" s="1">
        <v>41564</v>
      </c>
      <c r="H7164" s="1">
        <v>41568</v>
      </c>
      <c r="I7164" t="s">
        <v>12</v>
      </c>
      <c r="J7164" t="s">
        <v>17934</v>
      </c>
    </row>
    <row r="7165" spans="1:10" x14ac:dyDescent="0.25">
      <c r="A7165">
        <v>1486326</v>
      </c>
      <c r="B7165" t="s">
        <v>7550</v>
      </c>
      <c r="C7165" t="str">
        <f>"9780739174210"</f>
        <v>9780739174210</v>
      </c>
      <c r="D7165" t="str">
        <f>"9780739174227"</f>
        <v>9780739174227</v>
      </c>
      <c r="E7165" t="s">
        <v>6256</v>
      </c>
      <c r="F7165" t="s">
        <v>6256</v>
      </c>
      <c r="G7165" s="1">
        <v>41355</v>
      </c>
      <c r="H7165" s="1">
        <v>41568</v>
      </c>
      <c r="I7165" t="s">
        <v>12</v>
      </c>
      <c r="J7165" t="s">
        <v>17935</v>
      </c>
    </row>
    <row r="7166" spans="1:10" x14ac:dyDescent="0.25">
      <c r="A7166">
        <v>1486999</v>
      </c>
      <c r="B7166" t="s">
        <v>7551</v>
      </c>
      <c r="C7166" t="str">
        <f>"9780415954723"</f>
        <v>9780415954723</v>
      </c>
      <c r="D7166" t="str">
        <f>"9781135918286"</f>
        <v>9781135918286</v>
      </c>
      <c r="E7166" t="s">
        <v>15</v>
      </c>
      <c r="F7166" t="s">
        <v>16</v>
      </c>
      <c r="G7166" s="1">
        <v>39035</v>
      </c>
      <c r="H7166" s="1">
        <v>41682</v>
      </c>
      <c r="I7166" t="s">
        <v>12</v>
      </c>
      <c r="J7166" t="s">
        <v>17936</v>
      </c>
    </row>
    <row r="7167" spans="1:10" x14ac:dyDescent="0.25">
      <c r="A7167">
        <v>1487095</v>
      </c>
      <c r="B7167" t="s">
        <v>7552</v>
      </c>
      <c r="C7167" t="str">
        <f>"9780415977845"</f>
        <v>9780415977845</v>
      </c>
      <c r="D7167" t="str">
        <f>"9781135867676"</f>
        <v>9781135867676</v>
      </c>
      <c r="E7167" t="s">
        <v>15</v>
      </c>
      <c r="F7167" t="s">
        <v>16</v>
      </c>
      <c r="G7167" s="1">
        <v>41565</v>
      </c>
      <c r="H7167" s="1">
        <v>41682</v>
      </c>
      <c r="I7167" t="s">
        <v>12</v>
      </c>
      <c r="J7167" t="s">
        <v>17937</v>
      </c>
    </row>
    <row r="7168" spans="1:10" x14ac:dyDescent="0.25">
      <c r="A7168">
        <v>1487099</v>
      </c>
      <c r="B7168" t="s">
        <v>7553</v>
      </c>
      <c r="C7168" t="str">
        <f>"9780415946643"</f>
        <v>9780415946643</v>
      </c>
      <c r="D7168" t="str">
        <f>"9781135939915"</f>
        <v>9781135939915</v>
      </c>
      <c r="E7168" t="s">
        <v>15</v>
      </c>
      <c r="F7168" t="s">
        <v>16</v>
      </c>
      <c r="G7168" s="1">
        <v>39037</v>
      </c>
      <c r="H7168" s="1">
        <v>41682</v>
      </c>
      <c r="I7168" t="s">
        <v>12</v>
      </c>
      <c r="J7168" t="s">
        <v>17938</v>
      </c>
    </row>
    <row r="7169" spans="1:10" x14ac:dyDescent="0.25">
      <c r="A7169">
        <v>1510748</v>
      </c>
      <c r="B7169" t="s">
        <v>7554</v>
      </c>
      <c r="C7169" t="str">
        <f>"9781851967414"</f>
        <v>9781851967414</v>
      </c>
      <c r="D7169" t="str">
        <f>"9781781441008"</f>
        <v>9781781441008</v>
      </c>
      <c r="E7169" t="s">
        <v>15</v>
      </c>
      <c r="F7169" t="s">
        <v>16</v>
      </c>
      <c r="G7169" s="1">
        <v>37585</v>
      </c>
      <c r="H7169" s="1">
        <v>41576</v>
      </c>
      <c r="I7169" t="s">
        <v>12</v>
      </c>
      <c r="J7169" t="s">
        <v>17939</v>
      </c>
    </row>
    <row r="7170" spans="1:10" x14ac:dyDescent="0.25">
      <c r="A7170">
        <v>1510764</v>
      </c>
      <c r="B7170" t="s">
        <v>7555</v>
      </c>
      <c r="C7170" t="str">
        <f>"9781851968718"</f>
        <v>9781851968718</v>
      </c>
      <c r="D7170" t="str">
        <f>"9781851965519"</f>
        <v>9781851965519</v>
      </c>
      <c r="E7170" t="s">
        <v>7556</v>
      </c>
      <c r="F7170" t="s">
        <v>7557</v>
      </c>
      <c r="G7170" s="1">
        <v>39173</v>
      </c>
      <c r="H7170" s="1">
        <v>41576</v>
      </c>
      <c r="I7170" t="s">
        <v>12</v>
      </c>
      <c r="J7170" t="s">
        <v>17940</v>
      </c>
    </row>
    <row r="7171" spans="1:10" x14ac:dyDescent="0.25">
      <c r="A7171">
        <v>1510782</v>
      </c>
      <c r="B7171" t="s">
        <v>7558</v>
      </c>
      <c r="C7171" t="str">
        <f>"9781851968480"</f>
        <v>9781851968480</v>
      </c>
      <c r="D7171" t="str">
        <f>"9781851965687"</f>
        <v>9781851965687</v>
      </c>
      <c r="E7171" t="s">
        <v>7556</v>
      </c>
      <c r="F7171" t="s">
        <v>7557</v>
      </c>
      <c r="G7171" s="1">
        <v>39569</v>
      </c>
      <c r="H7171" s="1">
        <v>41576</v>
      </c>
      <c r="I7171" t="s">
        <v>12</v>
      </c>
      <c r="J7171" t="s">
        <v>17941</v>
      </c>
    </row>
    <row r="7172" spans="1:10" x14ac:dyDescent="0.25">
      <c r="A7172">
        <v>1510803</v>
      </c>
      <c r="B7172" t="s">
        <v>7559</v>
      </c>
      <c r="C7172" t="str">
        <f>"9781851966233"</f>
        <v>9781851966233</v>
      </c>
      <c r="D7172" t="str">
        <f>"9781851965991"</f>
        <v>9781851965991</v>
      </c>
      <c r="E7172" t="s">
        <v>15</v>
      </c>
      <c r="F7172" t="s">
        <v>16</v>
      </c>
      <c r="G7172" s="1">
        <v>39873</v>
      </c>
      <c r="H7172" s="1">
        <v>41576</v>
      </c>
      <c r="I7172" t="s">
        <v>12</v>
      </c>
      <c r="J7172" t="s">
        <v>17942</v>
      </c>
    </row>
    <row r="7173" spans="1:10" x14ac:dyDescent="0.25">
      <c r="A7173">
        <v>1510806</v>
      </c>
      <c r="B7173" t="s">
        <v>7560</v>
      </c>
      <c r="C7173" t="str">
        <f>"9781851966523"</f>
        <v>9781851966523</v>
      </c>
      <c r="D7173" t="str">
        <f>"9781851966684"</f>
        <v>9781851966684</v>
      </c>
      <c r="E7173" t="s">
        <v>7556</v>
      </c>
      <c r="F7173" t="s">
        <v>7557</v>
      </c>
      <c r="G7173" s="1">
        <v>39904</v>
      </c>
      <c r="H7173" s="1">
        <v>41576</v>
      </c>
      <c r="I7173" t="s">
        <v>12</v>
      </c>
      <c r="J7173" t="s">
        <v>17943</v>
      </c>
    </row>
    <row r="7174" spans="1:10" x14ac:dyDescent="0.25">
      <c r="A7174">
        <v>1510807</v>
      </c>
      <c r="B7174" t="s">
        <v>7561</v>
      </c>
      <c r="C7174" t="str">
        <f>"9781851966202"</f>
        <v>9781851966202</v>
      </c>
      <c r="D7174" t="str">
        <f>"9781851965953"</f>
        <v>9781851965953</v>
      </c>
      <c r="E7174" t="s">
        <v>15</v>
      </c>
      <c r="F7174" t="s">
        <v>16</v>
      </c>
      <c r="G7174" s="1">
        <v>39934</v>
      </c>
      <c r="H7174" s="1">
        <v>41576</v>
      </c>
      <c r="I7174" t="s">
        <v>12</v>
      </c>
      <c r="J7174" t="s">
        <v>17944</v>
      </c>
    </row>
    <row r="7175" spans="1:10" x14ac:dyDescent="0.25">
      <c r="A7175">
        <v>1510809</v>
      </c>
      <c r="B7175" t="s">
        <v>7562</v>
      </c>
      <c r="C7175" t="str">
        <f>"9781851969159"</f>
        <v>9781851969159</v>
      </c>
      <c r="D7175" t="str">
        <f>"9781851966806"</f>
        <v>9781851966806</v>
      </c>
      <c r="E7175" t="s">
        <v>7556</v>
      </c>
      <c r="F7175" t="s">
        <v>7557</v>
      </c>
      <c r="G7175" s="1">
        <v>39934</v>
      </c>
      <c r="H7175" s="1">
        <v>41576</v>
      </c>
      <c r="I7175" t="s">
        <v>12</v>
      </c>
      <c r="J7175" t="s">
        <v>17945</v>
      </c>
    </row>
    <row r="7176" spans="1:10" x14ac:dyDescent="0.25">
      <c r="A7176">
        <v>1510816</v>
      </c>
      <c r="B7176" t="s">
        <v>7563</v>
      </c>
      <c r="C7176" t="str">
        <f>"9781851966585"</f>
        <v>9781851966585</v>
      </c>
      <c r="D7176" t="str">
        <f>"9781851966639"</f>
        <v>9781851966639</v>
      </c>
      <c r="E7176" t="s">
        <v>7556</v>
      </c>
      <c r="F7176" t="s">
        <v>7557</v>
      </c>
      <c r="G7176" s="1">
        <v>39995</v>
      </c>
      <c r="H7176" s="1">
        <v>41576</v>
      </c>
      <c r="I7176" t="s">
        <v>12</v>
      </c>
      <c r="J7176" t="s">
        <v>17946</v>
      </c>
    </row>
    <row r="7177" spans="1:10" x14ac:dyDescent="0.25">
      <c r="A7177">
        <v>1510835</v>
      </c>
      <c r="B7177" t="s">
        <v>7564</v>
      </c>
      <c r="C7177" t="str">
        <f>"9781851966615"</f>
        <v>9781851966615</v>
      </c>
      <c r="D7177" t="str">
        <f>"9781851966677"</f>
        <v>9781851966677</v>
      </c>
      <c r="E7177" t="s">
        <v>7556</v>
      </c>
      <c r="F7177" t="s">
        <v>7557</v>
      </c>
      <c r="G7177" s="1">
        <v>40179</v>
      </c>
      <c r="H7177" s="1">
        <v>41576</v>
      </c>
      <c r="I7177" t="s">
        <v>12</v>
      </c>
      <c r="J7177" t="s">
        <v>17947</v>
      </c>
    </row>
    <row r="7178" spans="1:10" x14ac:dyDescent="0.25">
      <c r="A7178">
        <v>1510869</v>
      </c>
      <c r="B7178" t="s">
        <v>7565</v>
      </c>
      <c r="C7178" t="str">
        <f>"9781848930209"</f>
        <v>9781848930209</v>
      </c>
      <c r="D7178" t="str">
        <f>"9781848930216"</f>
        <v>9781848930216</v>
      </c>
      <c r="E7178" t="s">
        <v>15</v>
      </c>
      <c r="F7178" t="s">
        <v>16</v>
      </c>
      <c r="G7178" s="1">
        <v>40544</v>
      </c>
      <c r="H7178" s="1">
        <v>41576</v>
      </c>
      <c r="I7178" t="s">
        <v>12</v>
      </c>
      <c r="J7178" t="s">
        <v>17948</v>
      </c>
    </row>
    <row r="7179" spans="1:10" x14ac:dyDescent="0.25">
      <c r="A7179">
        <v>1510921</v>
      </c>
      <c r="B7179" t="s">
        <v>7566</v>
      </c>
      <c r="C7179" t="str">
        <f>"9781848931855"</f>
        <v>9781848931855</v>
      </c>
      <c r="D7179" t="str">
        <f>"9781848931862"</f>
        <v>9781848931862</v>
      </c>
      <c r="E7179" t="s">
        <v>7556</v>
      </c>
      <c r="F7179" t="s">
        <v>7567</v>
      </c>
      <c r="G7179" s="1">
        <v>40940</v>
      </c>
      <c r="H7179" s="1">
        <v>41576</v>
      </c>
      <c r="I7179" t="s">
        <v>12</v>
      </c>
      <c r="J7179" t="s">
        <v>17949</v>
      </c>
    </row>
    <row r="7180" spans="1:10" x14ac:dyDescent="0.25">
      <c r="A7180">
        <v>1524040</v>
      </c>
      <c r="B7180" t="s">
        <v>7568</v>
      </c>
      <c r="C7180" t="str">
        <f>"9780739177860"</f>
        <v>9780739177860</v>
      </c>
      <c r="D7180" t="str">
        <f>"9780739177877"</f>
        <v>9780739177877</v>
      </c>
      <c r="E7180" t="s">
        <v>6256</v>
      </c>
      <c r="F7180" t="s">
        <v>6256</v>
      </c>
      <c r="G7180" s="1">
        <v>41571</v>
      </c>
      <c r="H7180" s="1">
        <v>41579</v>
      </c>
      <c r="I7180" t="s">
        <v>12</v>
      </c>
      <c r="J7180" t="s">
        <v>17950</v>
      </c>
    </row>
    <row r="7181" spans="1:10" x14ac:dyDescent="0.25">
      <c r="A7181">
        <v>1563052</v>
      </c>
      <c r="B7181" t="s">
        <v>7569</v>
      </c>
      <c r="C7181" t="str">
        <f>"9781783090594"</f>
        <v>9781783090594</v>
      </c>
      <c r="D7181" t="str">
        <f>"9781783090617"</f>
        <v>9781783090617</v>
      </c>
      <c r="E7181" t="s">
        <v>886</v>
      </c>
      <c r="F7181" t="s">
        <v>887</v>
      </c>
      <c r="G7181" s="1">
        <v>41603</v>
      </c>
      <c r="H7181" s="1">
        <v>41593</v>
      </c>
      <c r="I7181" t="s">
        <v>12</v>
      </c>
      <c r="J7181" t="s">
        <v>17951</v>
      </c>
    </row>
    <row r="7182" spans="1:10" x14ac:dyDescent="0.25">
      <c r="A7182">
        <v>1563054</v>
      </c>
      <c r="B7182" t="s">
        <v>7570</v>
      </c>
      <c r="C7182" t="str">
        <f>"9781783091096"</f>
        <v>9781783091096</v>
      </c>
      <c r="D7182" t="str">
        <f>"9781783091119"</f>
        <v>9781783091119</v>
      </c>
      <c r="E7182" t="s">
        <v>886</v>
      </c>
      <c r="F7182" t="s">
        <v>887</v>
      </c>
      <c r="G7182" s="1">
        <v>41607</v>
      </c>
      <c r="H7182" s="1">
        <v>41593</v>
      </c>
      <c r="I7182" t="s">
        <v>12</v>
      </c>
      <c r="J7182" t="s">
        <v>17952</v>
      </c>
    </row>
    <row r="7183" spans="1:10" x14ac:dyDescent="0.25">
      <c r="A7183">
        <v>1572950</v>
      </c>
      <c r="B7183" t="s">
        <v>7571</v>
      </c>
      <c r="C7183" t="str">
        <f>"9780826129758"</f>
        <v>9780826129758</v>
      </c>
      <c r="D7183" t="str">
        <f>"9780826129826"</f>
        <v>9780826129826</v>
      </c>
      <c r="E7183" t="s">
        <v>3016</v>
      </c>
      <c r="F7183" t="s">
        <v>3016</v>
      </c>
      <c r="G7183" s="1">
        <v>41614</v>
      </c>
      <c r="H7183" s="1">
        <v>41612</v>
      </c>
      <c r="I7183" t="s">
        <v>12</v>
      </c>
      <c r="J7183" t="s">
        <v>17953</v>
      </c>
    </row>
    <row r="7184" spans="1:10" x14ac:dyDescent="0.25">
      <c r="A7184">
        <v>1574389</v>
      </c>
      <c r="B7184" t="s">
        <v>7572</v>
      </c>
      <c r="C7184" t="str">
        <f>"9780739151228"</f>
        <v>9780739151228</v>
      </c>
      <c r="D7184" t="str">
        <f>"9780739151242"</f>
        <v>9780739151242</v>
      </c>
      <c r="E7184" t="s">
        <v>6256</v>
      </c>
      <c r="F7184" t="s">
        <v>6256</v>
      </c>
      <c r="G7184" s="1">
        <v>41603</v>
      </c>
      <c r="H7184" s="1">
        <v>41613</v>
      </c>
      <c r="I7184" t="s">
        <v>12</v>
      </c>
      <c r="J7184" t="s">
        <v>17954</v>
      </c>
    </row>
    <row r="7185" spans="1:10" x14ac:dyDescent="0.25">
      <c r="A7185">
        <v>1574394</v>
      </c>
      <c r="B7185" t="s">
        <v>7573</v>
      </c>
      <c r="C7185" t="str">
        <f>"9780739178843"</f>
        <v>9780739178843</v>
      </c>
      <c r="D7185" t="str">
        <f>"9780739178850"</f>
        <v>9780739178850</v>
      </c>
      <c r="E7185" t="s">
        <v>6256</v>
      </c>
      <c r="F7185" t="s">
        <v>6256</v>
      </c>
      <c r="G7185" s="1">
        <v>41604</v>
      </c>
      <c r="H7185" s="1">
        <v>41613</v>
      </c>
      <c r="I7185" t="s">
        <v>12</v>
      </c>
      <c r="J7185" t="s">
        <v>17955</v>
      </c>
    </row>
    <row r="7186" spans="1:10" x14ac:dyDescent="0.25">
      <c r="A7186">
        <v>1577401</v>
      </c>
      <c r="B7186" t="s">
        <v>7574</v>
      </c>
      <c r="C7186" t="str">
        <f>"9780739180457"</f>
        <v>9780739180457</v>
      </c>
      <c r="D7186" t="str">
        <f>"9780739180464"</f>
        <v>9780739180464</v>
      </c>
      <c r="E7186" t="s">
        <v>6256</v>
      </c>
      <c r="F7186" t="s">
        <v>6256</v>
      </c>
      <c r="G7186" s="1">
        <v>41612</v>
      </c>
      <c r="H7186" s="1">
        <v>41616</v>
      </c>
      <c r="I7186" t="s">
        <v>12</v>
      </c>
      <c r="J7186" t="s">
        <v>17956</v>
      </c>
    </row>
    <row r="7187" spans="1:10" x14ac:dyDescent="0.25">
      <c r="A7187">
        <v>1578289</v>
      </c>
      <c r="B7187" t="s">
        <v>7575</v>
      </c>
      <c r="C7187" t="str">
        <f>"9780826169426"</f>
        <v>9780826169426</v>
      </c>
      <c r="D7187" t="str">
        <f>"9780826169433"</f>
        <v>9780826169433</v>
      </c>
      <c r="E7187" t="s">
        <v>3016</v>
      </c>
      <c r="F7187" t="s">
        <v>3016</v>
      </c>
      <c r="G7187" s="1">
        <v>41619</v>
      </c>
      <c r="H7187" s="1">
        <v>41617</v>
      </c>
      <c r="I7187" t="s">
        <v>12</v>
      </c>
      <c r="J7187" t="s">
        <v>17957</v>
      </c>
    </row>
    <row r="7188" spans="1:10" x14ac:dyDescent="0.25">
      <c r="A7188">
        <v>1579846</v>
      </c>
      <c r="B7188" t="s">
        <v>7576</v>
      </c>
      <c r="C7188" t="str">
        <f>"9780739168394"</f>
        <v>9780739168394</v>
      </c>
      <c r="D7188" t="str">
        <f>"9780739168400"</f>
        <v>9780739168400</v>
      </c>
      <c r="E7188" t="s">
        <v>6256</v>
      </c>
      <c r="F7188" t="s">
        <v>6256</v>
      </c>
      <c r="G7188" s="1">
        <v>41613</v>
      </c>
      <c r="H7188" s="1">
        <v>41623</v>
      </c>
      <c r="I7188" t="s">
        <v>12</v>
      </c>
      <c r="J7188" t="s">
        <v>17958</v>
      </c>
    </row>
    <row r="7189" spans="1:10" x14ac:dyDescent="0.25">
      <c r="A7189">
        <v>1579871</v>
      </c>
      <c r="B7189" t="s">
        <v>7577</v>
      </c>
      <c r="C7189" t="str">
        <f>"9780810892736"</f>
        <v>9780810892736</v>
      </c>
      <c r="D7189" t="str">
        <f>"9780810892743"</f>
        <v>9780810892743</v>
      </c>
      <c r="E7189" t="s">
        <v>6253</v>
      </c>
      <c r="F7189" t="s">
        <v>6253</v>
      </c>
      <c r="G7189" s="1">
        <v>41613</v>
      </c>
      <c r="H7189" s="1">
        <v>41623</v>
      </c>
      <c r="I7189" t="s">
        <v>12</v>
      </c>
      <c r="J7189" t="s">
        <v>17959</v>
      </c>
    </row>
    <row r="7190" spans="1:10" x14ac:dyDescent="0.25">
      <c r="A7190">
        <v>1580813</v>
      </c>
      <c r="B7190" t="s">
        <v>7578</v>
      </c>
      <c r="C7190" t="str">
        <f>"9780857851949"</f>
        <v>9780857851949</v>
      </c>
      <c r="D7190" t="str">
        <f>"9781472577443"</f>
        <v>9781472577443</v>
      </c>
      <c r="E7190" t="s">
        <v>4180</v>
      </c>
      <c r="F7190" t="s">
        <v>6461</v>
      </c>
      <c r="G7190" s="1">
        <v>41613</v>
      </c>
      <c r="H7190" s="1">
        <v>42326</v>
      </c>
      <c r="I7190" t="s">
        <v>12</v>
      </c>
      <c r="J7190" t="s">
        <v>17960</v>
      </c>
    </row>
    <row r="7191" spans="1:10" x14ac:dyDescent="0.25">
      <c r="A7191">
        <v>1584125</v>
      </c>
      <c r="B7191" t="s">
        <v>7579</v>
      </c>
      <c r="C7191" t="str">
        <f>"9780739174487"</f>
        <v>9780739174487</v>
      </c>
      <c r="D7191" t="str">
        <f>"9780739174494"</f>
        <v>9780739174494</v>
      </c>
      <c r="E7191" t="s">
        <v>6256</v>
      </c>
      <c r="F7191" t="s">
        <v>6256</v>
      </c>
      <c r="G7191" s="1">
        <v>41627</v>
      </c>
      <c r="H7191" s="1">
        <v>41630</v>
      </c>
      <c r="I7191" t="s">
        <v>12</v>
      </c>
      <c r="J7191" t="s">
        <v>17961</v>
      </c>
    </row>
    <row r="7192" spans="1:10" x14ac:dyDescent="0.25">
      <c r="A7192">
        <v>1591185</v>
      </c>
      <c r="B7192" t="s">
        <v>7580</v>
      </c>
      <c r="C7192" t="str">
        <f>"9780195092653"</f>
        <v>9780195092653</v>
      </c>
      <c r="D7192" t="str">
        <f>"9780195357769"</f>
        <v>9780195357769</v>
      </c>
      <c r="E7192" t="s">
        <v>1270</v>
      </c>
      <c r="F7192" t="s">
        <v>1270</v>
      </c>
      <c r="G7192" s="1">
        <v>34753</v>
      </c>
      <c r="H7192" s="1">
        <v>42114</v>
      </c>
      <c r="I7192" t="s">
        <v>12</v>
      </c>
      <c r="J7192" t="s">
        <v>17962</v>
      </c>
    </row>
    <row r="7193" spans="1:10" x14ac:dyDescent="0.25">
      <c r="A7193">
        <v>1594731</v>
      </c>
      <c r="B7193" t="s">
        <v>7581</v>
      </c>
      <c r="C7193" t="str">
        <f>"9780786439454"</f>
        <v>9780786439454</v>
      </c>
      <c r="D7193" t="str">
        <f>"9780786453559"</f>
        <v>9780786453559</v>
      </c>
      <c r="E7193" t="s">
        <v>6269</v>
      </c>
      <c r="F7193" t="s">
        <v>6269</v>
      </c>
      <c r="G7193" s="1">
        <v>40148</v>
      </c>
      <c r="H7193" s="1">
        <v>41647</v>
      </c>
      <c r="I7193" t="s">
        <v>12</v>
      </c>
      <c r="J7193" t="s">
        <v>17963</v>
      </c>
    </row>
    <row r="7194" spans="1:10" x14ac:dyDescent="0.25">
      <c r="A7194">
        <v>1594823</v>
      </c>
      <c r="B7194" t="s">
        <v>7582</v>
      </c>
      <c r="C7194" t="str">
        <f>"9780786442669"</f>
        <v>9780786442669</v>
      </c>
      <c r="D7194" t="str">
        <f>"9780786453429"</f>
        <v>9780786453429</v>
      </c>
      <c r="E7194" t="s">
        <v>6269</v>
      </c>
      <c r="F7194" t="s">
        <v>6269</v>
      </c>
      <c r="G7194" s="1">
        <v>40148</v>
      </c>
      <c r="H7194" s="1">
        <v>41647</v>
      </c>
      <c r="I7194" t="s">
        <v>12</v>
      </c>
      <c r="J7194" t="s">
        <v>17964</v>
      </c>
    </row>
    <row r="7195" spans="1:10" x14ac:dyDescent="0.25">
      <c r="A7195">
        <v>1594838</v>
      </c>
      <c r="B7195" t="s">
        <v>7583</v>
      </c>
      <c r="C7195" t="str">
        <f>"9780786442805"</f>
        <v>9780786442805</v>
      </c>
      <c r="D7195" t="str">
        <f>"9780786455799"</f>
        <v>9780786455799</v>
      </c>
      <c r="E7195" t="s">
        <v>6269</v>
      </c>
      <c r="F7195" t="s">
        <v>6269</v>
      </c>
      <c r="G7195" s="1">
        <v>40513</v>
      </c>
      <c r="H7195" s="1">
        <v>41647</v>
      </c>
      <c r="I7195" t="s">
        <v>12</v>
      </c>
      <c r="J7195" t="s">
        <v>17965</v>
      </c>
    </row>
    <row r="7196" spans="1:10" x14ac:dyDescent="0.25">
      <c r="A7196">
        <v>1595177</v>
      </c>
      <c r="B7196" t="s">
        <v>7584</v>
      </c>
      <c r="C7196" t="str">
        <f>"9781845414207"</f>
        <v>9781845414207</v>
      </c>
      <c r="D7196" t="str">
        <f>"9781845414221"</f>
        <v>9781845414221</v>
      </c>
      <c r="E7196" t="s">
        <v>886</v>
      </c>
      <c r="F7196" t="s">
        <v>886</v>
      </c>
      <c r="G7196" s="1">
        <v>41659</v>
      </c>
      <c r="H7196" s="1">
        <v>41648</v>
      </c>
      <c r="I7196" t="s">
        <v>12</v>
      </c>
      <c r="J7196" t="s">
        <v>17966</v>
      </c>
    </row>
    <row r="7197" spans="1:10" x14ac:dyDescent="0.25">
      <c r="A7197">
        <v>1598910</v>
      </c>
      <c r="B7197" t="s">
        <v>7585</v>
      </c>
      <c r="C7197" t="str">
        <f>"9780979226816"</f>
        <v>9780979226816</v>
      </c>
      <c r="D7197" t="str">
        <f>"9781619301177"</f>
        <v>9781619301177</v>
      </c>
      <c r="E7197" t="s">
        <v>3562</v>
      </c>
      <c r="F7197" t="s">
        <v>3562</v>
      </c>
      <c r="G7197" s="1">
        <v>39448</v>
      </c>
      <c r="H7197" s="1">
        <v>41658</v>
      </c>
      <c r="I7197" t="s">
        <v>12</v>
      </c>
      <c r="J7197" t="s">
        <v>17967</v>
      </c>
    </row>
    <row r="7198" spans="1:10" x14ac:dyDescent="0.25">
      <c r="A7198">
        <v>1599048</v>
      </c>
      <c r="B7198" t="s">
        <v>7586</v>
      </c>
      <c r="C7198" t="str">
        <f>"9780979226823"</f>
        <v>9780979226823</v>
      </c>
      <c r="D7198" t="str">
        <f>"9781619301214"</f>
        <v>9781619301214</v>
      </c>
      <c r="E7198" t="s">
        <v>3562</v>
      </c>
      <c r="F7198" t="s">
        <v>3562</v>
      </c>
      <c r="G7198" s="1">
        <v>39448</v>
      </c>
      <c r="H7198" s="1">
        <v>41658</v>
      </c>
      <c r="I7198" t="s">
        <v>12</v>
      </c>
      <c r="J7198" t="s">
        <v>17968</v>
      </c>
    </row>
    <row r="7199" spans="1:10" x14ac:dyDescent="0.25">
      <c r="A7199">
        <v>1599108</v>
      </c>
      <c r="B7199" t="s">
        <v>7587</v>
      </c>
      <c r="C7199" t="str">
        <f>"9781578592166"</f>
        <v>9781578592166</v>
      </c>
      <c r="D7199" t="str">
        <f>"9781578592692"</f>
        <v>9781578592692</v>
      </c>
      <c r="E7199" t="s">
        <v>7588</v>
      </c>
      <c r="F7199" t="s">
        <v>7588</v>
      </c>
      <c r="G7199" s="1">
        <v>39934</v>
      </c>
      <c r="H7199" s="1">
        <v>41848</v>
      </c>
      <c r="I7199" t="s">
        <v>12</v>
      </c>
      <c r="J7199" t="s">
        <v>17969</v>
      </c>
    </row>
    <row r="7200" spans="1:10" x14ac:dyDescent="0.25">
      <c r="A7200">
        <v>1619914</v>
      </c>
      <c r="B7200" t="s">
        <v>7589</v>
      </c>
      <c r="C7200" t="str">
        <f>"9780826195678"</f>
        <v>9780826195678</v>
      </c>
      <c r="D7200" t="str">
        <f>"9780826195685"</f>
        <v>9780826195685</v>
      </c>
      <c r="E7200" t="s">
        <v>3016</v>
      </c>
      <c r="F7200" t="s">
        <v>3016</v>
      </c>
      <c r="G7200" s="1">
        <v>41698</v>
      </c>
      <c r="H7200" s="1">
        <v>41676</v>
      </c>
      <c r="I7200" t="s">
        <v>12</v>
      </c>
      <c r="J7200" t="s">
        <v>17970</v>
      </c>
    </row>
    <row r="7201" spans="1:10" x14ac:dyDescent="0.25">
      <c r="A7201">
        <v>1630365</v>
      </c>
      <c r="B7201" t="s">
        <v>7590</v>
      </c>
      <c r="C7201" t="str">
        <f>"9781472514875"</f>
        <v>9781472514875</v>
      </c>
      <c r="D7201" t="str">
        <f>"9781472510006"</f>
        <v>9781472510006</v>
      </c>
      <c r="E7201" t="s">
        <v>4180</v>
      </c>
      <c r="F7201" t="s">
        <v>6461</v>
      </c>
      <c r="G7201" s="1">
        <v>41753</v>
      </c>
      <c r="H7201" s="1">
        <v>41845</v>
      </c>
      <c r="I7201" t="s">
        <v>12</v>
      </c>
      <c r="J7201" t="s">
        <v>17971</v>
      </c>
    </row>
    <row r="7202" spans="1:10" x14ac:dyDescent="0.25">
      <c r="A7202">
        <v>1631685</v>
      </c>
      <c r="B7202" t="s">
        <v>7591</v>
      </c>
      <c r="C7202" t="str">
        <f>"9781572309180"</f>
        <v>9781572309180</v>
      </c>
      <c r="D7202" t="str">
        <f>"9781593857431"</f>
        <v>9781593857431</v>
      </c>
      <c r="E7202" t="s">
        <v>3740</v>
      </c>
      <c r="F7202" t="s">
        <v>3741</v>
      </c>
      <c r="G7202" s="1">
        <v>39191</v>
      </c>
      <c r="H7202" s="1">
        <v>42349</v>
      </c>
      <c r="I7202" t="s">
        <v>12</v>
      </c>
      <c r="J7202" t="s">
        <v>17972</v>
      </c>
    </row>
    <row r="7203" spans="1:10" x14ac:dyDescent="0.25">
      <c r="A7203">
        <v>1632923</v>
      </c>
      <c r="B7203" t="s">
        <v>7592</v>
      </c>
      <c r="C7203" t="str">
        <f>"9780814473788"</f>
        <v>9780814473788</v>
      </c>
      <c r="D7203" t="str">
        <f>"9780814400777"</f>
        <v>9780814400777</v>
      </c>
      <c r="E7203" t="s">
        <v>1080</v>
      </c>
      <c r="F7203" t="s">
        <v>1080</v>
      </c>
      <c r="G7203" s="1">
        <v>39281</v>
      </c>
      <c r="H7203" s="1">
        <v>41684</v>
      </c>
      <c r="I7203" t="s">
        <v>12</v>
      </c>
      <c r="J7203" t="s">
        <v>17973</v>
      </c>
    </row>
    <row r="7204" spans="1:10" x14ac:dyDescent="0.25">
      <c r="A7204">
        <v>1638691</v>
      </c>
      <c r="B7204" t="s">
        <v>7593</v>
      </c>
      <c r="C7204" t="str">
        <f>"9780814473481"</f>
        <v>9780814473481</v>
      </c>
      <c r="D7204" t="str">
        <f>"9780814429532"</f>
        <v>9780814429532</v>
      </c>
      <c r="E7204" t="s">
        <v>1080</v>
      </c>
      <c r="F7204" t="s">
        <v>1080</v>
      </c>
      <c r="G7204" s="1">
        <v>38904</v>
      </c>
      <c r="H7204" s="1">
        <v>41694</v>
      </c>
      <c r="I7204" t="s">
        <v>12</v>
      </c>
      <c r="J7204" t="s">
        <v>17974</v>
      </c>
    </row>
    <row r="7205" spans="1:10" x14ac:dyDescent="0.25">
      <c r="A7205">
        <v>1638692</v>
      </c>
      <c r="B7205" t="s">
        <v>7594</v>
      </c>
      <c r="C7205" t="str">
        <f>"9780814408735"</f>
        <v>9780814408735</v>
      </c>
      <c r="D7205" t="str">
        <f>"9780814429396"</f>
        <v>9780814429396</v>
      </c>
      <c r="E7205" t="s">
        <v>1080</v>
      </c>
      <c r="F7205" t="s">
        <v>1080</v>
      </c>
      <c r="G7205" s="1">
        <v>38772</v>
      </c>
      <c r="H7205" s="1">
        <v>41694</v>
      </c>
      <c r="I7205" t="s">
        <v>12</v>
      </c>
      <c r="J7205" t="s">
        <v>17975</v>
      </c>
    </row>
    <row r="7206" spans="1:10" x14ac:dyDescent="0.25">
      <c r="A7206">
        <v>1638694</v>
      </c>
      <c r="B7206" t="s">
        <v>7595</v>
      </c>
      <c r="C7206" t="str">
        <f>"9780814431863"</f>
        <v>9780814431863</v>
      </c>
      <c r="D7206" t="str">
        <f>"9780814429631"</f>
        <v>9780814429631</v>
      </c>
      <c r="E7206" t="s">
        <v>1080</v>
      </c>
      <c r="F7206" t="s">
        <v>1080</v>
      </c>
      <c r="G7206" s="1">
        <v>38849</v>
      </c>
      <c r="H7206" s="1">
        <v>41694</v>
      </c>
      <c r="I7206" t="s">
        <v>12</v>
      </c>
      <c r="J7206" t="s">
        <v>17976</v>
      </c>
    </row>
    <row r="7207" spans="1:10" x14ac:dyDescent="0.25">
      <c r="A7207">
        <v>1638695</v>
      </c>
      <c r="B7207" t="s">
        <v>7596</v>
      </c>
      <c r="C7207" t="str">
        <f>"9780814420270"</f>
        <v>9780814420270</v>
      </c>
      <c r="D7207" t="str">
        <f>"9780814426647"</f>
        <v>9780814426647</v>
      </c>
      <c r="E7207" t="s">
        <v>1080</v>
      </c>
      <c r="F7207" t="s">
        <v>1080</v>
      </c>
      <c r="G7207" s="1">
        <v>37428</v>
      </c>
      <c r="H7207" s="1">
        <v>41694</v>
      </c>
      <c r="I7207" t="s">
        <v>12</v>
      </c>
      <c r="J7207" t="s">
        <v>17977</v>
      </c>
    </row>
    <row r="7208" spans="1:10" x14ac:dyDescent="0.25">
      <c r="A7208">
        <v>1638696</v>
      </c>
      <c r="B7208" t="s">
        <v>7597</v>
      </c>
      <c r="C7208" t="str">
        <f>"9780814415986"</f>
        <v>9780814415986</v>
      </c>
      <c r="D7208" t="str">
        <f>"9780814429662"</f>
        <v>9780814429662</v>
      </c>
      <c r="E7208" t="s">
        <v>1080</v>
      </c>
      <c r="F7208" t="s">
        <v>1080</v>
      </c>
      <c r="G7208" s="1">
        <v>38803</v>
      </c>
      <c r="H7208" s="1">
        <v>41694</v>
      </c>
      <c r="I7208" t="s">
        <v>12</v>
      </c>
      <c r="J7208" t="s">
        <v>17978</v>
      </c>
    </row>
    <row r="7209" spans="1:10" x14ac:dyDescent="0.25">
      <c r="A7209">
        <v>1638697</v>
      </c>
      <c r="B7209" t="s">
        <v>7598</v>
      </c>
      <c r="C7209" t="str">
        <f>"9780814417423"</f>
        <v>9780814417423</v>
      </c>
      <c r="D7209" t="str">
        <f>"9780814409480"</f>
        <v>9780814409480</v>
      </c>
      <c r="E7209" t="s">
        <v>1080</v>
      </c>
      <c r="F7209" t="s">
        <v>1080</v>
      </c>
      <c r="G7209" s="1">
        <v>39386</v>
      </c>
      <c r="H7209" s="1">
        <v>41694</v>
      </c>
      <c r="I7209" t="s">
        <v>12</v>
      </c>
      <c r="J7209" t="s">
        <v>17979</v>
      </c>
    </row>
    <row r="7210" spans="1:10" x14ac:dyDescent="0.25">
      <c r="A7210">
        <v>1639085</v>
      </c>
      <c r="B7210" t="s">
        <v>7599</v>
      </c>
      <c r="C7210" t="str">
        <f>"9781783091430"</f>
        <v>9781783091430</v>
      </c>
      <c r="D7210" t="str">
        <f>"9781783091447"</f>
        <v>9781783091447</v>
      </c>
      <c r="E7210" t="s">
        <v>886</v>
      </c>
      <c r="F7210" t="s">
        <v>887</v>
      </c>
      <c r="G7210" s="1">
        <v>41696</v>
      </c>
      <c r="H7210" s="1">
        <v>41695</v>
      </c>
      <c r="I7210" t="s">
        <v>12</v>
      </c>
      <c r="J7210" t="s">
        <v>17980</v>
      </c>
    </row>
    <row r="7211" spans="1:10" x14ac:dyDescent="0.25">
      <c r="A7211">
        <v>1639558</v>
      </c>
      <c r="B7211" t="s">
        <v>7600</v>
      </c>
      <c r="C7211" t="str">
        <f>"9781855739369"</f>
        <v>9781855739369</v>
      </c>
      <c r="D7211" t="str">
        <f>"9781845690847"</f>
        <v>9781845690847</v>
      </c>
      <c r="E7211" t="s">
        <v>1119</v>
      </c>
      <c r="F7211" t="s">
        <v>2109</v>
      </c>
      <c r="G7211" s="1">
        <v>38593</v>
      </c>
      <c r="H7211" s="1">
        <v>41695</v>
      </c>
      <c r="I7211" t="s">
        <v>12</v>
      </c>
      <c r="J7211" t="s">
        <v>17981</v>
      </c>
    </row>
    <row r="7212" spans="1:10" x14ac:dyDescent="0.25">
      <c r="A7212">
        <v>1639561</v>
      </c>
      <c r="B7212" t="s">
        <v>7601</v>
      </c>
      <c r="C7212" t="str">
        <f>"9781845690717"</f>
        <v>9781845690717</v>
      </c>
      <c r="D7212" t="str">
        <f>"9781845693374"</f>
        <v>9781845693374</v>
      </c>
      <c r="E7212" t="s">
        <v>1119</v>
      </c>
      <c r="F7212" t="s">
        <v>2109</v>
      </c>
      <c r="G7212" s="1">
        <v>39233</v>
      </c>
      <c r="H7212" s="1">
        <v>41695</v>
      </c>
      <c r="I7212" t="s">
        <v>12</v>
      </c>
      <c r="J7212" t="s">
        <v>17982</v>
      </c>
    </row>
    <row r="7213" spans="1:10" x14ac:dyDescent="0.25">
      <c r="A7213">
        <v>1639579</v>
      </c>
      <c r="B7213" t="s">
        <v>7602</v>
      </c>
      <c r="C7213" t="str">
        <f>"9781845690342"</f>
        <v>9781845690342</v>
      </c>
      <c r="D7213" t="str">
        <f>"9781845692582"</f>
        <v>9781845692582</v>
      </c>
      <c r="E7213" t="s">
        <v>1119</v>
      </c>
      <c r="F7213" t="s">
        <v>2109</v>
      </c>
      <c r="G7213" s="1">
        <v>39183</v>
      </c>
      <c r="H7213" s="1">
        <v>41695</v>
      </c>
      <c r="I7213" t="s">
        <v>12</v>
      </c>
      <c r="J7213" t="s">
        <v>17983</v>
      </c>
    </row>
    <row r="7214" spans="1:10" x14ac:dyDescent="0.25">
      <c r="A7214">
        <v>1639691</v>
      </c>
      <c r="B7214" t="s">
        <v>7603</v>
      </c>
      <c r="C7214" t="str">
        <f>"9781855737419"</f>
        <v>9781855737419</v>
      </c>
      <c r="D7214" t="str">
        <f>"9781845690755"</f>
        <v>9781845690755</v>
      </c>
      <c r="E7214" t="s">
        <v>1119</v>
      </c>
      <c r="F7214" t="s">
        <v>2109</v>
      </c>
      <c r="G7214" s="1">
        <v>38419</v>
      </c>
      <c r="H7214" s="1">
        <v>41695</v>
      </c>
      <c r="I7214" t="s">
        <v>12</v>
      </c>
      <c r="J7214" t="s">
        <v>17984</v>
      </c>
    </row>
    <row r="7215" spans="1:10" x14ac:dyDescent="0.25">
      <c r="A7215">
        <v>1639701</v>
      </c>
      <c r="B7215" t="s">
        <v>7604</v>
      </c>
      <c r="C7215" t="str">
        <f>"9781855739314"</f>
        <v>9781855739314</v>
      </c>
      <c r="D7215" t="str">
        <f>"9781845690908"</f>
        <v>9781845690908</v>
      </c>
      <c r="E7215" t="s">
        <v>1119</v>
      </c>
      <c r="F7215" t="s">
        <v>2109</v>
      </c>
      <c r="G7215" s="1">
        <v>38625</v>
      </c>
      <c r="H7215" s="1">
        <v>41695</v>
      </c>
      <c r="I7215" t="s">
        <v>12</v>
      </c>
      <c r="J7215" t="s">
        <v>17985</v>
      </c>
    </row>
    <row r="7216" spans="1:10" x14ac:dyDescent="0.25">
      <c r="A7216">
        <v>1639702</v>
      </c>
      <c r="B7216" t="s">
        <v>7605</v>
      </c>
      <c r="C7216" t="str">
        <f>"9781855739321"</f>
        <v>9781855739321</v>
      </c>
      <c r="D7216" t="str">
        <f>"9781845690915"</f>
        <v>9781845690915</v>
      </c>
      <c r="E7216" t="s">
        <v>1119</v>
      </c>
      <c r="F7216" t="s">
        <v>2109</v>
      </c>
      <c r="G7216" s="1">
        <v>38655</v>
      </c>
      <c r="H7216" s="1">
        <v>41695</v>
      </c>
      <c r="I7216" t="s">
        <v>12</v>
      </c>
      <c r="J7216" t="s">
        <v>17986</v>
      </c>
    </row>
    <row r="7217" spans="1:10" x14ac:dyDescent="0.25">
      <c r="A7217">
        <v>1639703</v>
      </c>
      <c r="B7217" t="s">
        <v>7606</v>
      </c>
      <c r="C7217" t="str">
        <f>"9781855734395"</f>
        <v>9781855734395</v>
      </c>
      <c r="D7217" t="str">
        <f>"9781845690922"</f>
        <v>9781845690922</v>
      </c>
      <c r="E7217" t="s">
        <v>1119</v>
      </c>
      <c r="F7217" t="s">
        <v>2109</v>
      </c>
      <c r="G7217" s="1">
        <v>34700</v>
      </c>
      <c r="H7217" s="1">
        <v>41695</v>
      </c>
      <c r="I7217" t="s">
        <v>12</v>
      </c>
      <c r="J7217" t="s">
        <v>17987</v>
      </c>
    </row>
    <row r="7218" spans="1:10" x14ac:dyDescent="0.25">
      <c r="A7218">
        <v>1639718</v>
      </c>
      <c r="B7218" t="s">
        <v>7607</v>
      </c>
      <c r="C7218" t="str">
        <f>"9781845690069"</f>
        <v>9781845690069</v>
      </c>
      <c r="D7218" t="str">
        <f>"9781845692940"</f>
        <v>9781845692940</v>
      </c>
      <c r="E7218" t="s">
        <v>1119</v>
      </c>
      <c r="F7218" t="s">
        <v>2109</v>
      </c>
      <c r="G7218" s="1">
        <v>39153</v>
      </c>
      <c r="H7218" s="1">
        <v>41695</v>
      </c>
      <c r="I7218" t="s">
        <v>12</v>
      </c>
      <c r="J7218" t="s">
        <v>17988</v>
      </c>
    </row>
    <row r="7219" spans="1:10" x14ac:dyDescent="0.25">
      <c r="A7219">
        <v>1639722</v>
      </c>
      <c r="B7219" t="s">
        <v>7608</v>
      </c>
      <c r="C7219" t="str">
        <f>"9781845690182"</f>
        <v>9781845690182</v>
      </c>
      <c r="D7219" t="str">
        <f>"9781845693046"</f>
        <v>9781845693046</v>
      </c>
      <c r="E7219" t="s">
        <v>1119</v>
      </c>
      <c r="F7219" t="s">
        <v>2109</v>
      </c>
      <c r="G7219" s="1">
        <v>39127</v>
      </c>
      <c r="H7219" s="1">
        <v>41695</v>
      </c>
      <c r="I7219" t="s">
        <v>12</v>
      </c>
      <c r="J7219" t="s">
        <v>17989</v>
      </c>
    </row>
    <row r="7220" spans="1:10" x14ac:dyDescent="0.25">
      <c r="A7220">
        <v>1639907</v>
      </c>
      <c r="B7220" t="s">
        <v>7609</v>
      </c>
      <c r="C7220" t="str">
        <f>"9781845692377"</f>
        <v>9781845692377</v>
      </c>
      <c r="D7220" t="str">
        <f>"9781845693237"</f>
        <v>9781845693237</v>
      </c>
      <c r="E7220" t="s">
        <v>1119</v>
      </c>
      <c r="F7220" t="s">
        <v>2109</v>
      </c>
      <c r="G7220" s="1">
        <v>39190</v>
      </c>
      <c r="H7220" s="1">
        <v>41695</v>
      </c>
      <c r="I7220" t="s">
        <v>12</v>
      </c>
      <c r="J7220" t="s">
        <v>17990</v>
      </c>
    </row>
    <row r="7221" spans="1:10" x14ac:dyDescent="0.25">
      <c r="A7221">
        <v>1639939</v>
      </c>
      <c r="B7221" t="s">
        <v>7610</v>
      </c>
      <c r="C7221" t="str">
        <f>"9781855734500"</f>
        <v>9781855734500</v>
      </c>
      <c r="D7221" t="str">
        <f>"9781855736177"</f>
        <v>9781855736177</v>
      </c>
      <c r="E7221" t="s">
        <v>1119</v>
      </c>
      <c r="F7221" t="s">
        <v>2109</v>
      </c>
      <c r="G7221" s="1">
        <v>37084</v>
      </c>
      <c r="H7221" s="1">
        <v>41695</v>
      </c>
      <c r="I7221" t="s">
        <v>12</v>
      </c>
      <c r="J7221" t="s">
        <v>17991</v>
      </c>
    </row>
    <row r="7222" spans="1:10" x14ac:dyDescent="0.25">
      <c r="A7222">
        <v>1639959</v>
      </c>
      <c r="B7222" t="s">
        <v>7611</v>
      </c>
      <c r="C7222" t="str">
        <f>"9781855735538"</f>
        <v>9781855735538</v>
      </c>
      <c r="D7222" t="str">
        <f>"9781855737129"</f>
        <v>9781855737129</v>
      </c>
      <c r="E7222" t="s">
        <v>1119</v>
      </c>
      <c r="F7222" t="s">
        <v>2109</v>
      </c>
      <c r="G7222" s="1">
        <v>37864</v>
      </c>
      <c r="H7222" s="1">
        <v>41695</v>
      </c>
      <c r="I7222" t="s">
        <v>12</v>
      </c>
      <c r="J7222" t="s">
        <v>17992</v>
      </c>
    </row>
    <row r="7223" spans="1:10" x14ac:dyDescent="0.25">
      <c r="A7223">
        <v>1640880</v>
      </c>
      <c r="B7223" t="s">
        <v>7612</v>
      </c>
      <c r="C7223" t="str">
        <f>"9781607505709"</f>
        <v>9781607505709</v>
      </c>
      <c r="D7223" t="str">
        <f>"9781607505716"</f>
        <v>9781607505716</v>
      </c>
      <c r="E7223" t="s">
        <v>7613</v>
      </c>
      <c r="F7223" t="s">
        <v>7613</v>
      </c>
      <c r="G7223" s="1">
        <v>40395</v>
      </c>
      <c r="H7223" s="1">
        <v>40395</v>
      </c>
      <c r="I7223" t="s">
        <v>12</v>
      </c>
      <c r="J7223" t="s">
        <v>17993</v>
      </c>
    </row>
    <row r="7224" spans="1:10" x14ac:dyDescent="0.25">
      <c r="A7224">
        <v>1645665</v>
      </c>
      <c r="B7224" t="s">
        <v>4177</v>
      </c>
      <c r="C7224" t="str">
        <f>"9781408181799"</f>
        <v>9781408181799</v>
      </c>
      <c r="D7224" t="str">
        <f>"9781408181812"</f>
        <v>9781408181812</v>
      </c>
      <c r="E7224" t="s">
        <v>4180</v>
      </c>
      <c r="F7224" t="s">
        <v>4181</v>
      </c>
      <c r="G7224" s="1">
        <v>41697</v>
      </c>
      <c r="H7224" s="1">
        <v>41705</v>
      </c>
      <c r="I7224" t="s">
        <v>12</v>
      </c>
      <c r="J7224" t="s">
        <v>17994</v>
      </c>
    </row>
    <row r="7225" spans="1:10" x14ac:dyDescent="0.25">
      <c r="A7225">
        <v>1653248</v>
      </c>
      <c r="B7225" t="s">
        <v>7614</v>
      </c>
      <c r="C7225" t="str">
        <f>"9781845648497"</f>
        <v>9781845648497</v>
      </c>
      <c r="D7225" t="str">
        <f>"9781845648503"</f>
        <v>9781845648503</v>
      </c>
      <c r="E7225" t="s">
        <v>6474</v>
      </c>
      <c r="F7225" t="s">
        <v>6474</v>
      </c>
      <c r="G7225" s="1">
        <v>41671</v>
      </c>
      <c r="H7225" s="1">
        <v>41715</v>
      </c>
      <c r="I7225" t="s">
        <v>12</v>
      </c>
      <c r="J7225" t="s">
        <v>17995</v>
      </c>
    </row>
    <row r="7226" spans="1:10" x14ac:dyDescent="0.25">
      <c r="A7226">
        <v>1656535</v>
      </c>
      <c r="B7226" t="s">
        <v>7615</v>
      </c>
      <c r="C7226" t="str">
        <f>"9781472906038"</f>
        <v>9781472906038</v>
      </c>
      <c r="D7226" t="str">
        <f>"9781472907394"</f>
        <v>9781472907394</v>
      </c>
      <c r="E7226" t="s">
        <v>4180</v>
      </c>
      <c r="F7226" t="s">
        <v>7616</v>
      </c>
      <c r="G7226" s="1">
        <v>41725</v>
      </c>
      <c r="H7226" s="1">
        <v>42326</v>
      </c>
      <c r="I7226" t="s">
        <v>12</v>
      </c>
      <c r="J7226" t="s">
        <v>17996</v>
      </c>
    </row>
    <row r="7227" spans="1:10" x14ac:dyDescent="0.25">
      <c r="A7227">
        <v>1657092</v>
      </c>
      <c r="B7227" t="s">
        <v>7617</v>
      </c>
      <c r="C7227" t="str">
        <f>"9781442220096"</f>
        <v>9781442220096</v>
      </c>
      <c r="D7227" t="str">
        <f>"9781442220102"</f>
        <v>9781442220102</v>
      </c>
      <c r="E7227" t="s">
        <v>6253</v>
      </c>
      <c r="F7227" t="s">
        <v>6253</v>
      </c>
      <c r="G7227" s="1">
        <v>41719</v>
      </c>
      <c r="H7227" s="1">
        <v>41721</v>
      </c>
      <c r="I7227" t="s">
        <v>12</v>
      </c>
      <c r="J7227" t="s">
        <v>17997</v>
      </c>
    </row>
    <row r="7228" spans="1:10" x14ac:dyDescent="0.25">
      <c r="A7228">
        <v>1659888</v>
      </c>
      <c r="B7228" t="s">
        <v>7618</v>
      </c>
      <c r="C7228" t="str">
        <f>"9780739181225"</f>
        <v>9780739181225</v>
      </c>
      <c r="D7228" t="str">
        <f>"9780739181232"</f>
        <v>9780739181232</v>
      </c>
      <c r="E7228" t="s">
        <v>6256</v>
      </c>
      <c r="F7228" t="s">
        <v>6256</v>
      </c>
      <c r="G7228" s="1">
        <v>41723</v>
      </c>
      <c r="H7228" s="1">
        <v>41726</v>
      </c>
      <c r="I7228" t="s">
        <v>12</v>
      </c>
      <c r="J7228" t="s">
        <v>17998</v>
      </c>
    </row>
    <row r="7229" spans="1:10" x14ac:dyDescent="0.25">
      <c r="A7229">
        <v>1659891</v>
      </c>
      <c r="B7229" t="s">
        <v>7619</v>
      </c>
      <c r="C7229" t="str">
        <f>"9780739186046"</f>
        <v>9780739186046</v>
      </c>
      <c r="D7229" t="str">
        <f>"9780739186053"</f>
        <v>9780739186053</v>
      </c>
      <c r="E7229" t="s">
        <v>6256</v>
      </c>
      <c r="F7229" t="s">
        <v>6256</v>
      </c>
      <c r="G7229" s="1">
        <v>41677</v>
      </c>
      <c r="H7229" s="1">
        <v>41726</v>
      </c>
      <c r="I7229" t="s">
        <v>12</v>
      </c>
      <c r="J7229" t="s">
        <v>17999</v>
      </c>
    </row>
    <row r="7230" spans="1:10" x14ac:dyDescent="0.25">
      <c r="A7230">
        <v>1661848</v>
      </c>
      <c r="B7230" t="s">
        <v>7620</v>
      </c>
      <c r="C7230" t="str">
        <f>"9780814408957"</f>
        <v>9780814408957</v>
      </c>
      <c r="D7230" t="str">
        <f>"9780814429945"</f>
        <v>9780814429945</v>
      </c>
      <c r="E7230" t="s">
        <v>1080</v>
      </c>
      <c r="F7230" t="s">
        <v>1080</v>
      </c>
      <c r="G7230" s="1">
        <v>39111</v>
      </c>
      <c r="H7230" s="1">
        <v>41729</v>
      </c>
      <c r="I7230" t="s">
        <v>12</v>
      </c>
      <c r="J7230" t="s">
        <v>18000</v>
      </c>
    </row>
    <row r="7231" spans="1:10" x14ac:dyDescent="0.25">
      <c r="A7231">
        <v>1663932</v>
      </c>
      <c r="B7231" t="s">
        <v>7621</v>
      </c>
      <c r="C7231" t="str">
        <f>"9780739188989"</f>
        <v>9780739188989</v>
      </c>
      <c r="D7231" t="str">
        <f>"9780739188996"</f>
        <v>9780739188996</v>
      </c>
      <c r="E7231" t="s">
        <v>6256</v>
      </c>
      <c r="F7231" t="s">
        <v>6256</v>
      </c>
      <c r="G7231" s="1">
        <v>41730</v>
      </c>
      <c r="H7231" s="1">
        <v>41733</v>
      </c>
      <c r="I7231" t="s">
        <v>12</v>
      </c>
      <c r="J7231" t="s">
        <v>18001</v>
      </c>
    </row>
    <row r="7232" spans="1:10" x14ac:dyDescent="0.25">
      <c r="A7232">
        <v>1664626</v>
      </c>
      <c r="B7232" t="s">
        <v>7622</v>
      </c>
      <c r="C7232" t="str">
        <f>"9780739187425"</f>
        <v>9780739187425</v>
      </c>
      <c r="D7232" t="str">
        <f>"9780739187432"</f>
        <v>9780739187432</v>
      </c>
      <c r="E7232" t="s">
        <v>6256</v>
      </c>
      <c r="F7232" t="s">
        <v>6256</v>
      </c>
      <c r="G7232" s="1">
        <v>41684</v>
      </c>
      <c r="H7232" s="1">
        <v>41734</v>
      </c>
      <c r="I7232" t="s">
        <v>12</v>
      </c>
      <c r="J7232" t="s">
        <v>18002</v>
      </c>
    </row>
    <row r="7233" spans="1:10" x14ac:dyDescent="0.25">
      <c r="A7233">
        <v>1664636</v>
      </c>
      <c r="B7233" t="s">
        <v>7623</v>
      </c>
      <c r="C7233" t="str">
        <f>"9781442231498"</f>
        <v>9781442231498</v>
      </c>
      <c r="D7233" t="str">
        <f>"9781442231504"</f>
        <v>9781442231504</v>
      </c>
      <c r="E7233" t="s">
        <v>6253</v>
      </c>
      <c r="F7233" t="s">
        <v>6253</v>
      </c>
      <c r="G7233" s="1">
        <v>41733</v>
      </c>
      <c r="H7233" s="1">
        <v>41735</v>
      </c>
      <c r="I7233" t="s">
        <v>12</v>
      </c>
      <c r="J7233" t="s">
        <v>18003</v>
      </c>
    </row>
    <row r="7234" spans="1:10" x14ac:dyDescent="0.25">
      <c r="A7234">
        <v>1666664</v>
      </c>
      <c r="B7234" t="s">
        <v>7624</v>
      </c>
      <c r="C7234" t="str">
        <f>"9781845690038"</f>
        <v>9781845690038</v>
      </c>
      <c r="D7234" t="str">
        <f>"9781845691738"</f>
        <v>9781845691738</v>
      </c>
      <c r="E7234" t="s">
        <v>1119</v>
      </c>
      <c r="F7234" t="s">
        <v>2109</v>
      </c>
      <c r="G7234" s="1">
        <v>38938</v>
      </c>
      <c r="H7234" s="1">
        <v>41738</v>
      </c>
      <c r="I7234" t="s">
        <v>12</v>
      </c>
      <c r="J7234" t="s">
        <v>18004</v>
      </c>
    </row>
    <row r="7235" spans="1:10" x14ac:dyDescent="0.25">
      <c r="A7235">
        <v>1666669</v>
      </c>
      <c r="B7235" t="s">
        <v>7625</v>
      </c>
      <c r="C7235" t="str">
        <f>"9781855739338"</f>
        <v>9781855739338</v>
      </c>
      <c r="D7235" t="str">
        <f>"9781845691189"</f>
        <v>9781845691189</v>
      </c>
      <c r="E7235" t="s">
        <v>1119</v>
      </c>
      <c r="F7235" t="s">
        <v>2109</v>
      </c>
      <c r="G7235" s="1">
        <v>38776</v>
      </c>
      <c r="H7235" s="1">
        <v>41738</v>
      </c>
      <c r="I7235" t="s">
        <v>12</v>
      </c>
      <c r="J7235" t="s">
        <v>18005</v>
      </c>
    </row>
    <row r="7236" spans="1:10" x14ac:dyDescent="0.25">
      <c r="A7236">
        <v>1666671</v>
      </c>
      <c r="B7236" t="s">
        <v>7626</v>
      </c>
      <c r="C7236" t="str">
        <f>"9781845691103"</f>
        <v>9781845691103</v>
      </c>
      <c r="D7236" t="str">
        <f>"9781845691110"</f>
        <v>9781845691110</v>
      </c>
      <c r="E7236" t="s">
        <v>1119</v>
      </c>
      <c r="F7236" t="s">
        <v>2109</v>
      </c>
      <c r="G7236" s="1">
        <v>38748</v>
      </c>
      <c r="H7236" s="1">
        <v>41738</v>
      </c>
      <c r="I7236" t="s">
        <v>12</v>
      </c>
      <c r="J7236" t="s">
        <v>18006</v>
      </c>
    </row>
    <row r="7237" spans="1:10" x14ac:dyDescent="0.25">
      <c r="A7237">
        <v>1666687</v>
      </c>
      <c r="B7237" t="s">
        <v>7627</v>
      </c>
      <c r="C7237" t="str">
        <f>"9781845690298"</f>
        <v>9781845690298</v>
      </c>
      <c r="D7237" t="str">
        <f>"9781845692094"</f>
        <v>9781845692094</v>
      </c>
      <c r="E7237" t="s">
        <v>1119</v>
      </c>
      <c r="F7237" t="s">
        <v>2109</v>
      </c>
      <c r="G7237" s="1">
        <v>39073</v>
      </c>
      <c r="H7237" s="1">
        <v>41738</v>
      </c>
      <c r="I7237" t="s">
        <v>12</v>
      </c>
      <c r="J7237" t="s">
        <v>18007</v>
      </c>
    </row>
    <row r="7238" spans="1:10" x14ac:dyDescent="0.25">
      <c r="A7238">
        <v>1666690</v>
      </c>
      <c r="B7238" t="s">
        <v>7628</v>
      </c>
      <c r="C7238" t="str">
        <f>"9781855739697"</f>
        <v>9781855739697</v>
      </c>
      <c r="D7238" t="str">
        <f>"9781845691127"</f>
        <v>9781845691127</v>
      </c>
      <c r="E7238" t="s">
        <v>1119</v>
      </c>
      <c r="F7238" t="s">
        <v>2109</v>
      </c>
      <c r="G7238" s="1">
        <v>38776</v>
      </c>
      <c r="H7238" s="1">
        <v>41738</v>
      </c>
      <c r="I7238" t="s">
        <v>12</v>
      </c>
      <c r="J7238" t="s">
        <v>18008</v>
      </c>
    </row>
    <row r="7239" spans="1:10" x14ac:dyDescent="0.25">
      <c r="A7239">
        <v>1666691</v>
      </c>
      <c r="B7239" t="s">
        <v>7629</v>
      </c>
      <c r="C7239" t="str">
        <f>"9781855739437"</f>
        <v>9781855739437</v>
      </c>
      <c r="D7239" t="str">
        <f>"9781845691172"</f>
        <v>9781845691172</v>
      </c>
      <c r="E7239" t="s">
        <v>1119</v>
      </c>
      <c r="F7239" t="s">
        <v>2109</v>
      </c>
      <c r="G7239" s="1">
        <v>38833</v>
      </c>
      <c r="H7239" s="1">
        <v>41738</v>
      </c>
      <c r="I7239" t="s">
        <v>12</v>
      </c>
      <c r="J7239" t="s">
        <v>18009</v>
      </c>
    </row>
    <row r="7240" spans="1:10" x14ac:dyDescent="0.25">
      <c r="A7240">
        <v>1666711</v>
      </c>
      <c r="B7240" t="s">
        <v>7630</v>
      </c>
      <c r="C7240" t="str">
        <f>"9781845691578"</f>
        <v>9781845691578</v>
      </c>
      <c r="D7240" t="str">
        <f>"9781845691608"</f>
        <v>9781845691608</v>
      </c>
      <c r="E7240" t="s">
        <v>1119</v>
      </c>
      <c r="F7240" t="s">
        <v>2109</v>
      </c>
      <c r="G7240" s="1">
        <v>38835</v>
      </c>
      <c r="H7240" s="1">
        <v>41738</v>
      </c>
      <c r="I7240" t="s">
        <v>12</v>
      </c>
      <c r="J7240" t="s">
        <v>18010</v>
      </c>
    </row>
    <row r="7241" spans="1:10" x14ac:dyDescent="0.25">
      <c r="A7241">
        <v>1666716</v>
      </c>
      <c r="B7241" t="s">
        <v>7631</v>
      </c>
      <c r="C7241" t="str">
        <f>"9781855739253"</f>
        <v>9781855739253</v>
      </c>
      <c r="D7241" t="str">
        <f>"9781845691462"</f>
        <v>9781845691462</v>
      </c>
      <c r="E7241" t="s">
        <v>1119</v>
      </c>
      <c r="F7241" t="s">
        <v>2109</v>
      </c>
      <c r="G7241" s="1">
        <v>38831</v>
      </c>
      <c r="H7241" s="1">
        <v>41738</v>
      </c>
      <c r="I7241" t="s">
        <v>12</v>
      </c>
      <c r="J7241" t="s">
        <v>18011</v>
      </c>
    </row>
    <row r="7242" spans="1:10" x14ac:dyDescent="0.25">
      <c r="A7242">
        <v>1675082</v>
      </c>
      <c r="B7242" t="s">
        <v>7632</v>
      </c>
      <c r="C7242" t="str">
        <f>"9780826129666"</f>
        <v>9780826129666</v>
      </c>
      <c r="D7242" t="str">
        <f>"9780826129673"</f>
        <v>9780826129673</v>
      </c>
      <c r="E7242" t="s">
        <v>3016</v>
      </c>
      <c r="F7242" t="s">
        <v>3016</v>
      </c>
      <c r="G7242" s="1">
        <v>41746</v>
      </c>
      <c r="H7242" s="1">
        <v>41743</v>
      </c>
      <c r="I7242" t="s">
        <v>12</v>
      </c>
      <c r="J7242" t="s">
        <v>18012</v>
      </c>
    </row>
    <row r="7243" spans="1:10" x14ac:dyDescent="0.25">
      <c r="A7243">
        <v>1675890</v>
      </c>
      <c r="B7243" t="s">
        <v>7633</v>
      </c>
      <c r="C7243" t="str">
        <f>"9781848858756"</f>
        <v>9781848858756</v>
      </c>
      <c r="D7243" t="str">
        <f>"9780857733030"</f>
        <v>9780857733030</v>
      </c>
      <c r="E7243" t="s">
        <v>6867</v>
      </c>
      <c r="F7243" t="s">
        <v>6867</v>
      </c>
      <c r="G7243" s="1">
        <v>41187</v>
      </c>
      <c r="H7243" s="1">
        <v>41798</v>
      </c>
      <c r="I7243" t="s">
        <v>12</v>
      </c>
      <c r="J7243" t="s">
        <v>18013</v>
      </c>
    </row>
    <row r="7244" spans="1:10" x14ac:dyDescent="0.25">
      <c r="A7244">
        <v>1675891</v>
      </c>
      <c r="B7244" t="s">
        <v>7634</v>
      </c>
      <c r="C7244" t="str">
        <f>"9781848856585"</f>
        <v>9781848856585</v>
      </c>
      <c r="D7244" t="str">
        <f>"9780857733047"</f>
        <v>9780857733047</v>
      </c>
      <c r="E7244" t="s">
        <v>6867</v>
      </c>
      <c r="F7244" t="s">
        <v>6867</v>
      </c>
      <c r="G7244" s="1">
        <v>41187</v>
      </c>
      <c r="H7244" s="1">
        <v>42346</v>
      </c>
      <c r="I7244" t="s">
        <v>12</v>
      </c>
      <c r="J7244" t="s">
        <v>18014</v>
      </c>
    </row>
    <row r="7245" spans="1:10" x14ac:dyDescent="0.25">
      <c r="A7245">
        <v>1676092</v>
      </c>
      <c r="B7245" t="s">
        <v>7635</v>
      </c>
      <c r="C7245" t="str">
        <f>"9781848856851"</f>
        <v>9781848856851</v>
      </c>
      <c r="D7245" t="str">
        <f>"9780857733023"</f>
        <v>9780857733023</v>
      </c>
      <c r="E7245" t="s">
        <v>6867</v>
      </c>
      <c r="F7245" t="s">
        <v>6867</v>
      </c>
      <c r="G7245" s="1">
        <v>41187</v>
      </c>
      <c r="H7245" s="1">
        <v>42346</v>
      </c>
      <c r="I7245" t="s">
        <v>12</v>
      </c>
      <c r="J7245" t="s">
        <v>18015</v>
      </c>
    </row>
    <row r="7246" spans="1:10" x14ac:dyDescent="0.25">
      <c r="A7246">
        <v>1676475</v>
      </c>
      <c r="B7246" t="s">
        <v>7636</v>
      </c>
      <c r="C7246" t="str">
        <f>"9780739186855"</f>
        <v>9780739186855</v>
      </c>
      <c r="D7246" t="str">
        <f>"9780739186862"</f>
        <v>9780739186862</v>
      </c>
      <c r="E7246" t="s">
        <v>6256</v>
      </c>
      <c r="F7246" t="s">
        <v>6256</v>
      </c>
      <c r="G7246" s="1">
        <v>41739</v>
      </c>
      <c r="H7246" s="1">
        <v>41747</v>
      </c>
      <c r="I7246" t="s">
        <v>12</v>
      </c>
      <c r="J7246" t="s">
        <v>18016</v>
      </c>
    </row>
    <row r="7247" spans="1:10" x14ac:dyDescent="0.25">
      <c r="A7247">
        <v>1676799</v>
      </c>
      <c r="B7247" t="s">
        <v>7637</v>
      </c>
      <c r="C7247" t="str">
        <f>"9780810884168"</f>
        <v>9780810884168</v>
      </c>
      <c r="D7247" t="str">
        <f>"9780810884175"</f>
        <v>9780810884175</v>
      </c>
      <c r="E7247" t="s">
        <v>6253</v>
      </c>
      <c r="F7247" t="s">
        <v>6253</v>
      </c>
      <c r="G7247" s="1">
        <v>41747</v>
      </c>
      <c r="H7247" s="1">
        <v>41750</v>
      </c>
      <c r="I7247" t="s">
        <v>12</v>
      </c>
      <c r="J7247" t="s">
        <v>18017</v>
      </c>
    </row>
    <row r="7248" spans="1:10" x14ac:dyDescent="0.25">
      <c r="A7248">
        <v>1679323</v>
      </c>
      <c r="B7248" t="s">
        <v>7638</v>
      </c>
      <c r="C7248" t="str">
        <f>"9789812700216"</f>
        <v>9789812700216</v>
      </c>
      <c r="D7248" t="str">
        <f>"9789812772824"</f>
        <v>9789812772824</v>
      </c>
      <c r="E7248" t="s">
        <v>1056</v>
      </c>
      <c r="F7248" t="s">
        <v>1056</v>
      </c>
      <c r="G7248" s="1">
        <v>39052</v>
      </c>
      <c r="H7248" s="1">
        <v>41758</v>
      </c>
      <c r="I7248" t="s">
        <v>12</v>
      </c>
      <c r="J7248" t="s">
        <v>18018</v>
      </c>
    </row>
    <row r="7249" spans="1:10" x14ac:dyDescent="0.25">
      <c r="A7249">
        <v>1679528</v>
      </c>
      <c r="B7249" t="s">
        <v>7639</v>
      </c>
      <c r="C7249" t="str">
        <f>"9789814273176"</f>
        <v>9789814273176</v>
      </c>
      <c r="D7249" t="str">
        <f>"9789814273183"</f>
        <v>9789814273183</v>
      </c>
      <c r="E7249" t="s">
        <v>1056</v>
      </c>
      <c r="F7249" t="s">
        <v>1056</v>
      </c>
      <c r="G7249" s="1">
        <v>40118</v>
      </c>
      <c r="H7249" s="1">
        <v>41761</v>
      </c>
      <c r="I7249" t="s">
        <v>12</v>
      </c>
      <c r="J7249" t="s">
        <v>18019</v>
      </c>
    </row>
    <row r="7250" spans="1:10" x14ac:dyDescent="0.25">
      <c r="A7250">
        <v>1679567</v>
      </c>
      <c r="B7250" t="s">
        <v>7640</v>
      </c>
      <c r="C7250" t="str">
        <f>"9789812775825"</f>
        <v>9789812775825</v>
      </c>
      <c r="D7250" t="str">
        <f>"9789812775832"</f>
        <v>9789812775832</v>
      </c>
      <c r="E7250" t="s">
        <v>1056</v>
      </c>
      <c r="F7250" t="s">
        <v>1056</v>
      </c>
      <c r="G7250" s="1">
        <v>40067</v>
      </c>
      <c r="H7250" s="1">
        <v>41758</v>
      </c>
      <c r="I7250" t="s">
        <v>12</v>
      </c>
      <c r="J7250" t="s">
        <v>18020</v>
      </c>
    </row>
    <row r="7251" spans="1:10" x14ac:dyDescent="0.25">
      <c r="A7251">
        <v>1679671</v>
      </c>
      <c r="B7251" t="s">
        <v>7641</v>
      </c>
      <c r="C7251" t="str">
        <f>"9789812568007"</f>
        <v>9789812568007</v>
      </c>
      <c r="D7251" t="str">
        <f>"9789812773654"</f>
        <v>9789812773654</v>
      </c>
      <c r="E7251" t="s">
        <v>1056</v>
      </c>
      <c r="F7251" t="s">
        <v>1056</v>
      </c>
      <c r="G7251" s="1">
        <v>39052</v>
      </c>
      <c r="H7251" s="1">
        <v>41758</v>
      </c>
      <c r="I7251" t="s">
        <v>12</v>
      </c>
      <c r="J7251" t="s">
        <v>18021</v>
      </c>
    </row>
    <row r="7252" spans="1:10" x14ac:dyDescent="0.25">
      <c r="A7252">
        <v>1679838</v>
      </c>
      <c r="B7252" t="s">
        <v>7642</v>
      </c>
      <c r="C7252" t="str">
        <f>"9789812703781"</f>
        <v>9789812703781</v>
      </c>
      <c r="D7252" t="str">
        <f>"9789812772503"</f>
        <v>9789812772503</v>
      </c>
      <c r="E7252" t="s">
        <v>1056</v>
      </c>
      <c r="F7252" t="s">
        <v>1056</v>
      </c>
      <c r="G7252" s="1">
        <v>39052</v>
      </c>
      <c r="H7252" s="1">
        <v>41758</v>
      </c>
      <c r="I7252" t="s">
        <v>12</v>
      </c>
      <c r="J7252" t="s">
        <v>18022</v>
      </c>
    </row>
    <row r="7253" spans="1:10" x14ac:dyDescent="0.25">
      <c r="A7253">
        <v>1679847</v>
      </c>
      <c r="B7253" t="s">
        <v>7643</v>
      </c>
      <c r="C7253" t="str">
        <f>"9789812811097"</f>
        <v>9789812811097</v>
      </c>
      <c r="D7253" t="str">
        <f>"9789812811103"</f>
        <v>9789812811103</v>
      </c>
      <c r="E7253" t="s">
        <v>1042</v>
      </c>
      <c r="F7253" t="s">
        <v>1043</v>
      </c>
      <c r="G7253" s="1">
        <v>39512</v>
      </c>
      <c r="H7253" s="1">
        <v>41759</v>
      </c>
      <c r="I7253" t="s">
        <v>12</v>
      </c>
      <c r="J7253" t="s">
        <v>18023</v>
      </c>
    </row>
    <row r="7254" spans="1:10" x14ac:dyDescent="0.25">
      <c r="A7254">
        <v>1679868</v>
      </c>
      <c r="B7254" t="s">
        <v>7644</v>
      </c>
      <c r="C7254" t="str">
        <f>"9789812566904"</f>
        <v>9789812566904</v>
      </c>
      <c r="D7254" t="str">
        <f>"9789812774118"</f>
        <v>9789812774118</v>
      </c>
      <c r="E7254" t="s">
        <v>1042</v>
      </c>
      <c r="F7254" t="s">
        <v>1043</v>
      </c>
      <c r="G7254" s="1">
        <v>38905</v>
      </c>
      <c r="H7254" s="1">
        <v>41758</v>
      </c>
      <c r="I7254" t="s">
        <v>12</v>
      </c>
      <c r="J7254" t="s">
        <v>18024</v>
      </c>
    </row>
    <row r="7255" spans="1:10" x14ac:dyDescent="0.25">
      <c r="A7255">
        <v>1679929</v>
      </c>
      <c r="B7255" t="s">
        <v>7645</v>
      </c>
      <c r="C7255" t="str">
        <f>"9780826164049"</f>
        <v>9780826164049</v>
      </c>
      <c r="D7255" t="str">
        <f>"9780826164056"</f>
        <v>9780826164056</v>
      </c>
      <c r="E7255" t="s">
        <v>3016</v>
      </c>
      <c r="F7255" t="s">
        <v>3016</v>
      </c>
      <c r="G7255" s="1">
        <v>41816</v>
      </c>
      <c r="H7255" s="1">
        <v>41757</v>
      </c>
      <c r="I7255" t="s">
        <v>12</v>
      </c>
      <c r="J7255" t="s">
        <v>18025</v>
      </c>
    </row>
    <row r="7256" spans="1:10" x14ac:dyDescent="0.25">
      <c r="A7256">
        <v>1680231</v>
      </c>
      <c r="B7256" t="s">
        <v>7646</v>
      </c>
      <c r="C7256" t="str">
        <f>"9781780765440"</f>
        <v>9781780765440</v>
      </c>
      <c r="D7256" t="str">
        <f>"9780857735089"</f>
        <v>9780857735089</v>
      </c>
      <c r="E7256" t="s">
        <v>6867</v>
      </c>
      <c r="F7256" t="s">
        <v>6867</v>
      </c>
      <c r="G7256" s="1">
        <v>41786</v>
      </c>
      <c r="H7256" s="1">
        <v>41801</v>
      </c>
      <c r="I7256" t="s">
        <v>12</v>
      </c>
      <c r="J7256" t="s">
        <v>18026</v>
      </c>
    </row>
    <row r="7257" spans="1:10" x14ac:dyDescent="0.25">
      <c r="A7257">
        <v>1680232</v>
      </c>
      <c r="B7257" t="s">
        <v>7647</v>
      </c>
      <c r="C7257" t="str">
        <f>"9781780765464"</f>
        <v>9781780765464</v>
      </c>
      <c r="D7257" t="str">
        <f>"9780857735058"</f>
        <v>9780857735058</v>
      </c>
      <c r="E7257" t="s">
        <v>6867</v>
      </c>
      <c r="F7257" t="s">
        <v>6867</v>
      </c>
      <c r="G7257" s="1">
        <v>41788</v>
      </c>
      <c r="H7257" s="1">
        <v>41801</v>
      </c>
      <c r="I7257" t="s">
        <v>12</v>
      </c>
      <c r="J7257" t="s">
        <v>18027</v>
      </c>
    </row>
    <row r="7258" spans="1:10" x14ac:dyDescent="0.25">
      <c r="A7258">
        <v>1680233</v>
      </c>
      <c r="B7258" t="s">
        <v>7648</v>
      </c>
      <c r="C7258" t="str">
        <f>"9781848855427"</f>
        <v>9781848855427</v>
      </c>
      <c r="D7258" t="str">
        <f>"9780857735195"</f>
        <v>9780857735195</v>
      </c>
      <c r="E7258" t="s">
        <v>6867</v>
      </c>
      <c r="F7258" t="s">
        <v>6867</v>
      </c>
      <c r="G7258" s="1">
        <v>41608</v>
      </c>
      <c r="H7258" s="1">
        <v>41801</v>
      </c>
      <c r="I7258" t="s">
        <v>12</v>
      </c>
      <c r="J7258" t="s">
        <v>18028</v>
      </c>
    </row>
    <row r="7259" spans="1:10" x14ac:dyDescent="0.25">
      <c r="A7259">
        <v>1681024</v>
      </c>
      <c r="B7259" t="s">
        <v>7649</v>
      </c>
      <c r="C7259" t="str">
        <f>"9789812704375"</f>
        <v>9789812704375</v>
      </c>
      <c r="D7259" t="str">
        <f>"9789812772411"</f>
        <v>9789812772411</v>
      </c>
      <c r="E7259" t="s">
        <v>1056</v>
      </c>
      <c r="F7259" t="s">
        <v>1056</v>
      </c>
      <c r="G7259" s="1">
        <v>39052</v>
      </c>
      <c r="H7259" s="1">
        <v>41758</v>
      </c>
      <c r="I7259" t="s">
        <v>12</v>
      </c>
      <c r="J7259" t="s">
        <v>18029</v>
      </c>
    </row>
    <row r="7260" spans="1:10" x14ac:dyDescent="0.25">
      <c r="A7260">
        <v>1681046</v>
      </c>
      <c r="B7260" t="s">
        <v>7650</v>
      </c>
      <c r="C7260" t="str">
        <f>"9789812705532"</f>
        <v>9789812705532</v>
      </c>
      <c r="D7260" t="str">
        <f>"9789812772381"</f>
        <v>9789812772381</v>
      </c>
      <c r="E7260" t="s">
        <v>1042</v>
      </c>
      <c r="F7260" t="s">
        <v>1043</v>
      </c>
      <c r="G7260" s="1">
        <v>39052</v>
      </c>
      <c r="H7260" s="1">
        <v>41758</v>
      </c>
      <c r="I7260" t="s">
        <v>12</v>
      </c>
      <c r="J7260" t="s">
        <v>18030</v>
      </c>
    </row>
    <row r="7261" spans="1:10" x14ac:dyDescent="0.25">
      <c r="A7261">
        <v>1681080</v>
      </c>
      <c r="B7261" t="s">
        <v>7651</v>
      </c>
      <c r="C7261" t="str">
        <f>"9789812700636"</f>
        <v>9789812700636</v>
      </c>
      <c r="D7261" t="str">
        <f>"9789812772671"</f>
        <v>9789812772671</v>
      </c>
      <c r="E7261" t="s">
        <v>1056</v>
      </c>
      <c r="F7261" t="s">
        <v>1056</v>
      </c>
      <c r="G7261" s="1">
        <v>39080</v>
      </c>
      <c r="H7261" s="1">
        <v>41758</v>
      </c>
      <c r="I7261" t="s">
        <v>12</v>
      </c>
      <c r="J7261" t="s">
        <v>18031</v>
      </c>
    </row>
    <row r="7262" spans="1:10" x14ac:dyDescent="0.25">
      <c r="A7262">
        <v>1681213</v>
      </c>
      <c r="B7262" t="s">
        <v>7652</v>
      </c>
      <c r="C7262" t="str">
        <f>"9789812568779"</f>
        <v>9789812568779</v>
      </c>
      <c r="D7262" t="str">
        <f>"9789812773104"</f>
        <v>9789812773104</v>
      </c>
      <c r="E7262" t="s">
        <v>1056</v>
      </c>
      <c r="F7262" t="s">
        <v>1056</v>
      </c>
      <c r="G7262" s="1">
        <v>39052</v>
      </c>
      <c r="H7262" s="1">
        <v>41758</v>
      </c>
      <c r="I7262" t="s">
        <v>12</v>
      </c>
      <c r="J7262" t="s">
        <v>18032</v>
      </c>
    </row>
    <row r="7263" spans="1:10" x14ac:dyDescent="0.25">
      <c r="A7263">
        <v>1681280</v>
      </c>
      <c r="B7263" t="s">
        <v>7653</v>
      </c>
      <c r="C7263" t="str">
        <f>"9789812705686"</f>
        <v>9789812705686</v>
      </c>
      <c r="D7263" t="str">
        <f>"9789812790798"</f>
        <v>9789812790798</v>
      </c>
      <c r="E7263" t="s">
        <v>1042</v>
      </c>
      <c r="F7263" t="s">
        <v>1043</v>
      </c>
      <c r="G7263" s="1">
        <v>39417</v>
      </c>
      <c r="H7263" s="1">
        <v>41759</v>
      </c>
      <c r="I7263" t="s">
        <v>12</v>
      </c>
      <c r="J7263" t="s">
        <v>18033</v>
      </c>
    </row>
    <row r="7264" spans="1:10" x14ac:dyDescent="0.25">
      <c r="A7264">
        <v>1681365</v>
      </c>
      <c r="B7264" t="s">
        <v>7654</v>
      </c>
      <c r="C7264" t="str">
        <f>"9789812836151"</f>
        <v>9789812836151</v>
      </c>
      <c r="D7264" t="str">
        <f>"9789812836168"</f>
        <v>9789812836168</v>
      </c>
      <c r="E7264" t="s">
        <v>1056</v>
      </c>
      <c r="F7264" t="s">
        <v>1056</v>
      </c>
      <c r="G7264" s="1">
        <v>40018</v>
      </c>
      <c r="H7264" s="1">
        <v>41761</v>
      </c>
      <c r="I7264" t="s">
        <v>12</v>
      </c>
      <c r="J7264" t="s">
        <v>18034</v>
      </c>
    </row>
    <row r="7265" spans="1:10" x14ac:dyDescent="0.25">
      <c r="A7265">
        <v>1681463</v>
      </c>
      <c r="B7265" t="s">
        <v>7655</v>
      </c>
      <c r="C7265" t="str">
        <f>"9789812566478"</f>
        <v>9789812566478</v>
      </c>
      <c r="D7265" t="str">
        <f>"9789812774316"</f>
        <v>9789812774316</v>
      </c>
      <c r="E7265" t="s">
        <v>1042</v>
      </c>
      <c r="F7265" t="s">
        <v>1043</v>
      </c>
      <c r="G7265" s="1">
        <v>38869</v>
      </c>
      <c r="H7265" s="1">
        <v>41758</v>
      </c>
      <c r="I7265" t="s">
        <v>12</v>
      </c>
      <c r="J7265" t="s">
        <v>18035</v>
      </c>
    </row>
    <row r="7266" spans="1:10" x14ac:dyDescent="0.25">
      <c r="A7266">
        <v>1681484</v>
      </c>
      <c r="B7266" t="s">
        <v>7656</v>
      </c>
      <c r="C7266" t="str">
        <f>"9789812565082"</f>
        <v>9789812565082</v>
      </c>
      <c r="D7266" t="str">
        <f>"9789812774651"</f>
        <v>9789812774651</v>
      </c>
      <c r="E7266" t="s">
        <v>1042</v>
      </c>
      <c r="F7266" t="s">
        <v>1043</v>
      </c>
      <c r="G7266" s="1">
        <v>38862</v>
      </c>
      <c r="H7266" s="1">
        <v>41758</v>
      </c>
      <c r="I7266" t="s">
        <v>12</v>
      </c>
      <c r="J7266" t="s">
        <v>18036</v>
      </c>
    </row>
    <row r="7267" spans="1:10" x14ac:dyDescent="0.25">
      <c r="A7267">
        <v>1681499</v>
      </c>
      <c r="B7267" t="s">
        <v>7657</v>
      </c>
      <c r="C7267" t="str">
        <f>"9789812567024"</f>
        <v>9789812567024</v>
      </c>
      <c r="D7267" t="str">
        <f>"9789812774040"</f>
        <v>9789812774040</v>
      </c>
      <c r="E7267" t="s">
        <v>1042</v>
      </c>
      <c r="F7267" t="s">
        <v>1043</v>
      </c>
      <c r="G7267" s="1">
        <v>38826</v>
      </c>
      <c r="H7267" s="1">
        <v>41758</v>
      </c>
      <c r="I7267" t="s">
        <v>12</v>
      </c>
      <c r="J7267" t="s">
        <v>18037</v>
      </c>
    </row>
    <row r="7268" spans="1:10" x14ac:dyDescent="0.25">
      <c r="A7268">
        <v>1681536</v>
      </c>
      <c r="B7268" t="s">
        <v>7658</v>
      </c>
      <c r="C7268" t="str">
        <f>"9789812567284"</f>
        <v>9789812567284</v>
      </c>
      <c r="D7268" t="str">
        <f>"9789812790965"</f>
        <v>9789812790965</v>
      </c>
      <c r="E7268" t="s">
        <v>1042</v>
      </c>
      <c r="F7268" t="s">
        <v>1043</v>
      </c>
      <c r="G7268" s="1">
        <v>39479</v>
      </c>
      <c r="H7268" s="1">
        <v>41759</v>
      </c>
      <c r="I7268" t="s">
        <v>12</v>
      </c>
      <c r="J7268" t="s">
        <v>18038</v>
      </c>
    </row>
    <row r="7269" spans="1:10" x14ac:dyDescent="0.25">
      <c r="A7269">
        <v>1681555</v>
      </c>
      <c r="B7269" t="s">
        <v>7659</v>
      </c>
      <c r="C7269" t="str">
        <f>"9789812568410"</f>
        <v>9789812568410</v>
      </c>
      <c r="D7269" t="str">
        <f>"9789812773319"</f>
        <v>9789812773319</v>
      </c>
      <c r="E7269" t="s">
        <v>1042</v>
      </c>
      <c r="F7269" t="s">
        <v>1043</v>
      </c>
      <c r="G7269" s="1">
        <v>39024</v>
      </c>
      <c r="H7269" s="1">
        <v>41758</v>
      </c>
      <c r="I7269" t="s">
        <v>12</v>
      </c>
      <c r="J7269" t="s">
        <v>18039</v>
      </c>
    </row>
    <row r="7270" spans="1:10" x14ac:dyDescent="0.25">
      <c r="A7270">
        <v>1681560</v>
      </c>
      <c r="B7270" t="s">
        <v>1626</v>
      </c>
      <c r="C7270" t="str">
        <f>"9789812705587"</f>
        <v>9789812705587</v>
      </c>
      <c r="D7270" t="str">
        <f>"9789812772725"</f>
        <v>9789812772725</v>
      </c>
      <c r="E7270" t="s">
        <v>1042</v>
      </c>
      <c r="F7270" t="s">
        <v>1043</v>
      </c>
      <c r="G7270" s="1">
        <v>37092</v>
      </c>
      <c r="H7270" s="1">
        <v>41758</v>
      </c>
      <c r="I7270" t="s">
        <v>12</v>
      </c>
      <c r="J7270" t="s">
        <v>18040</v>
      </c>
    </row>
    <row r="7271" spans="1:10" x14ac:dyDescent="0.25">
      <c r="A7271">
        <v>1681606</v>
      </c>
      <c r="B7271" t="s">
        <v>7660</v>
      </c>
      <c r="C7271" t="str">
        <f>"9789812701466"</f>
        <v>9789812701466</v>
      </c>
      <c r="D7271" t="str">
        <f>"9789812772589"</f>
        <v>9789812772589</v>
      </c>
      <c r="E7271" t="s">
        <v>1042</v>
      </c>
      <c r="F7271" t="s">
        <v>1043</v>
      </c>
      <c r="G7271" s="1">
        <v>39057</v>
      </c>
      <c r="H7271" s="1">
        <v>41758</v>
      </c>
      <c r="I7271" t="s">
        <v>12</v>
      </c>
      <c r="J7271" t="s">
        <v>18041</v>
      </c>
    </row>
    <row r="7272" spans="1:10" x14ac:dyDescent="0.25">
      <c r="A7272">
        <v>1681615</v>
      </c>
      <c r="B7272" t="s">
        <v>7661</v>
      </c>
      <c r="C7272" t="str">
        <f>"9789812703811"</f>
        <v>9789812703811</v>
      </c>
      <c r="D7272" t="str">
        <f>"9789812772497"</f>
        <v>9789812772497</v>
      </c>
      <c r="E7272" t="s">
        <v>1056</v>
      </c>
      <c r="F7272" t="s">
        <v>1056</v>
      </c>
      <c r="G7272" s="1">
        <v>39052</v>
      </c>
      <c r="H7272" s="1">
        <v>41758</v>
      </c>
      <c r="I7272" t="s">
        <v>12</v>
      </c>
      <c r="J7272" t="s">
        <v>18042</v>
      </c>
    </row>
    <row r="7273" spans="1:10" x14ac:dyDescent="0.25">
      <c r="A7273">
        <v>1681620</v>
      </c>
      <c r="B7273" t="s">
        <v>7662</v>
      </c>
      <c r="C7273" t="str">
        <f>"9789812568021"</f>
        <v>9789812568021</v>
      </c>
      <c r="D7273" t="str">
        <f>"9789812773630"</f>
        <v>9789812773630</v>
      </c>
      <c r="E7273" t="s">
        <v>1042</v>
      </c>
      <c r="F7273" t="s">
        <v>1043</v>
      </c>
      <c r="G7273" s="1">
        <v>38961</v>
      </c>
      <c r="H7273" s="1">
        <v>41758</v>
      </c>
      <c r="I7273" t="s">
        <v>12</v>
      </c>
      <c r="J7273" t="s">
        <v>18043</v>
      </c>
    </row>
    <row r="7274" spans="1:10" x14ac:dyDescent="0.25">
      <c r="A7274">
        <v>1681674</v>
      </c>
      <c r="B7274" t="s">
        <v>7663</v>
      </c>
      <c r="C7274" t="str">
        <f>"9789812568205"</f>
        <v>9789812568205</v>
      </c>
      <c r="D7274" t="str">
        <f>"9789812773487"</f>
        <v>9789812773487</v>
      </c>
      <c r="E7274" t="s">
        <v>1042</v>
      </c>
      <c r="F7274" t="s">
        <v>1043</v>
      </c>
      <c r="G7274" s="1">
        <v>38967</v>
      </c>
      <c r="H7274" s="1">
        <v>41758</v>
      </c>
      <c r="I7274" t="s">
        <v>12</v>
      </c>
      <c r="J7274" t="s">
        <v>18044</v>
      </c>
    </row>
    <row r="7275" spans="1:10" x14ac:dyDescent="0.25">
      <c r="A7275">
        <v>1681685</v>
      </c>
      <c r="B7275" t="s">
        <v>7664</v>
      </c>
      <c r="C7275" t="str">
        <f>"9789812703903"</f>
        <v>9789812703903</v>
      </c>
      <c r="D7275" t="str">
        <f>"9789812772473"</f>
        <v>9789812772473</v>
      </c>
      <c r="E7275" t="s">
        <v>1042</v>
      </c>
      <c r="F7275" t="s">
        <v>1043</v>
      </c>
      <c r="G7275" s="1">
        <v>39057</v>
      </c>
      <c r="H7275" s="1">
        <v>41758</v>
      </c>
      <c r="I7275" t="s">
        <v>12</v>
      </c>
      <c r="J7275" t="s">
        <v>18045</v>
      </c>
    </row>
    <row r="7276" spans="1:10" x14ac:dyDescent="0.25">
      <c r="A7276">
        <v>1681715</v>
      </c>
      <c r="B7276" t="s">
        <v>7665</v>
      </c>
      <c r="C7276" t="str">
        <f>"9781860946240"</f>
        <v>9781860946240</v>
      </c>
      <c r="D7276" t="str">
        <f>"9781860949098"</f>
        <v>9781860949098</v>
      </c>
      <c r="E7276" t="s">
        <v>1042</v>
      </c>
      <c r="F7276" t="s">
        <v>3986</v>
      </c>
      <c r="G7276" s="1">
        <v>38897</v>
      </c>
      <c r="H7276" s="1">
        <v>41758</v>
      </c>
      <c r="I7276" t="s">
        <v>12</v>
      </c>
      <c r="J7276" t="s">
        <v>18046</v>
      </c>
    </row>
    <row r="7277" spans="1:10" x14ac:dyDescent="0.25">
      <c r="A7277">
        <v>1682193</v>
      </c>
      <c r="B7277" t="s">
        <v>7666</v>
      </c>
      <c r="C7277" t="str">
        <f>"9781855737679"</f>
        <v>9781855737679</v>
      </c>
      <c r="D7277" t="str">
        <f>"9781845691561"</f>
        <v>9781845691561</v>
      </c>
      <c r="E7277" t="s">
        <v>1119</v>
      </c>
      <c r="F7277" t="s">
        <v>2109</v>
      </c>
      <c r="G7277" s="1">
        <v>38867</v>
      </c>
      <c r="H7277" s="1">
        <v>41758</v>
      </c>
      <c r="I7277" t="s">
        <v>12</v>
      </c>
      <c r="J7277" t="s">
        <v>18047</v>
      </c>
    </row>
    <row r="7278" spans="1:10" x14ac:dyDescent="0.25">
      <c r="A7278">
        <v>1684211</v>
      </c>
      <c r="B7278" t="s">
        <v>7667</v>
      </c>
      <c r="C7278" t="str">
        <f>"9780739180006"</f>
        <v>9780739180006</v>
      </c>
      <c r="D7278" t="str">
        <f>"9780739180013"</f>
        <v>9780739180013</v>
      </c>
      <c r="E7278" t="s">
        <v>6256</v>
      </c>
      <c r="F7278" t="s">
        <v>6256</v>
      </c>
      <c r="G7278" s="1">
        <v>41753</v>
      </c>
      <c r="H7278" s="1">
        <v>41761</v>
      </c>
      <c r="I7278" t="s">
        <v>12</v>
      </c>
      <c r="J7278" t="s">
        <v>18048</v>
      </c>
    </row>
    <row r="7279" spans="1:10" x14ac:dyDescent="0.25">
      <c r="A7279">
        <v>1684220</v>
      </c>
      <c r="B7279" t="s">
        <v>7668</v>
      </c>
      <c r="C7279" t="str">
        <f>"9780810886551"</f>
        <v>9780810886551</v>
      </c>
      <c r="D7279" t="str">
        <f>"9780810886568"</f>
        <v>9780810886568</v>
      </c>
      <c r="E7279" t="s">
        <v>6253</v>
      </c>
      <c r="F7279" t="s">
        <v>6253</v>
      </c>
      <c r="G7279" s="1">
        <v>41757</v>
      </c>
      <c r="H7279" s="1">
        <v>41761</v>
      </c>
      <c r="I7279" t="s">
        <v>12</v>
      </c>
      <c r="J7279" t="s">
        <v>18049</v>
      </c>
    </row>
    <row r="7280" spans="1:10" x14ac:dyDescent="0.25">
      <c r="A7280">
        <v>1685694</v>
      </c>
      <c r="B7280" t="s">
        <v>7669</v>
      </c>
      <c r="C7280" t="str">
        <f>"9780826198297"</f>
        <v>9780826198297</v>
      </c>
      <c r="D7280" t="str">
        <f>"9780826198358"</f>
        <v>9780826198358</v>
      </c>
      <c r="E7280" t="s">
        <v>3016</v>
      </c>
      <c r="F7280" t="s">
        <v>3016</v>
      </c>
      <c r="G7280" s="1">
        <v>41794</v>
      </c>
      <c r="H7280" s="1">
        <v>42331</v>
      </c>
      <c r="I7280" t="s">
        <v>12</v>
      </c>
      <c r="J7280" t="s">
        <v>18050</v>
      </c>
    </row>
    <row r="7281" spans="1:10" x14ac:dyDescent="0.25">
      <c r="A7281">
        <v>1686628</v>
      </c>
      <c r="B7281" t="s">
        <v>7670</v>
      </c>
      <c r="C7281" t="str">
        <f>"9781780761466"</f>
        <v>9781780761466</v>
      </c>
      <c r="D7281" t="str">
        <f>"9780857735300"</f>
        <v>9780857735300</v>
      </c>
      <c r="E7281" t="s">
        <v>6867</v>
      </c>
      <c r="F7281" t="s">
        <v>6867</v>
      </c>
      <c r="G7281" s="1">
        <v>41759</v>
      </c>
      <c r="H7281" s="1">
        <v>41801</v>
      </c>
      <c r="I7281" t="s">
        <v>12</v>
      </c>
      <c r="J7281" t="s">
        <v>18051</v>
      </c>
    </row>
    <row r="7282" spans="1:10" x14ac:dyDescent="0.25">
      <c r="A7282">
        <v>1687306</v>
      </c>
      <c r="B7282" t="s">
        <v>7671</v>
      </c>
      <c r="C7282" t="str">
        <f>"9780810890817"</f>
        <v>9780810890817</v>
      </c>
      <c r="D7282" t="str">
        <f>"9780810890824"</f>
        <v>9780810890824</v>
      </c>
      <c r="E7282" t="s">
        <v>6253</v>
      </c>
      <c r="F7282" t="s">
        <v>6253</v>
      </c>
      <c r="G7282" s="1">
        <v>41760</v>
      </c>
      <c r="H7282" s="1">
        <v>41771</v>
      </c>
      <c r="I7282" t="s">
        <v>12</v>
      </c>
      <c r="J7282" t="s">
        <v>18052</v>
      </c>
    </row>
    <row r="7283" spans="1:10" x14ac:dyDescent="0.25">
      <c r="A7283">
        <v>1688448</v>
      </c>
      <c r="B7283" t="s">
        <v>7672</v>
      </c>
      <c r="C7283" t="str">
        <f>"9780826196125"</f>
        <v>9780826196125</v>
      </c>
      <c r="D7283" t="str">
        <f>"9780826196347"</f>
        <v>9780826196347</v>
      </c>
      <c r="E7283" t="s">
        <v>3016</v>
      </c>
      <c r="F7283" t="s">
        <v>3016</v>
      </c>
      <c r="G7283" s="1">
        <v>41405</v>
      </c>
      <c r="H7283" s="1">
        <v>42331</v>
      </c>
      <c r="I7283" t="s">
        <v>12</v>
      </c>
      <c r="J7283" t="s">
        <v>18053</v>
      </c>
    </row>
    <row r="7284" spans="1:10" x14ac:dyDescent="0.25">
      <c r="A7284">
        <v>1711466</v>
      </c>
      <c r="B7284" t="s">
        <v>7673</v>
      </c>
      <c r="C7284" t="str">
        <f>"9781442230699"</f>
        <v>9781442230699</v>
      </c>
      <c r="D7284" t="str">
        <f>"9781442230163"</f>
        <v>9781442230163</v>
      </c>
      <c r="E7284" t="s">
        <v>6253</v>
      </c>
      <c r="F7284" t="s">
        <v>6253</v>
      </c>
      <c r="G7284" s="1">
        <v>41795</v>
      </c>
      <c r="H7284" s="1">
        <v>41803</v>
      </c>
      <c r="I7284" t="s">
        <v>12</v>
      </c>
      <c r="J7284" t="s">
        <v>18054</v>
      </c>
    </row>
    <row r="7285" spans="1:10" x14ac:dyDescent="0.25">
      <c r="A7285">
        <v>1715629</v>
      </c>
      <c r="B7285" t="s">
        <v>7674</v>
      </c>
      <c r="C7285" t="str">
        <f>"9781442226623"</f>
        <v>9781442226623</v>
      </c>
      <c r="D7285" t="str">
        <f>"9781442226630"</f>
        <v>9781442226630</v>
      </c>
      <c r="E7285" t="s">
        <v>6253</v>
      </c>
      <c r="F7285" t="s">
        <v>6253</v>
      </c>
      <c r="G7285" s="1">
        <v>41807</v>
      </c>
      <c r="H7285" s="1">
        <v>42341</v>
      </c>
      <c r="I7285" t="s">
        <v>12</v>
      </c>
      <c r="J7285" t="s">
        <v>18055</v>
      </c>
    </row>
    <row r="7286" spans="1:10" x14ac:dyDescent="0.25">
      <c r="A7286">
        <v>1716737</v>
      </c>
      <c r="B7286" t="s">
        <v>7675</v>
      </c>
      <c r="C7286" t="str">
        <f>"9780739187081"</f>
        <v>9780739187081</v>
      </c>
      <c r="D7286" t="str">
        <f>"9780739187098"</f>
        <v>9780739187098</v>
      </c>
      <c r="E7286" t="s">
        <v>6256</v>
      </c>
      <c r="F7286" t="s">
        <v>6256</v>
      </c>
      <c r="G7286" s="1">
        <v>41808</v>
      </c>
      <c r="H7286" s="1">
        <v>41812</v>
      </c>
      <c r="I7286" t="s">
        <v>12</v>
      </c>
      <c r="J7286" t="s">
        <v>18056</v>
      </c>
    </row>
    <row r="7287" spans="1:10" x14ac:dyDescent="0.25">
      <c r="A7287">
        <v>1718245</v>
      </c>
      <c r="B7287" t="s">
        <v>7676</v>
      </c>
      <c r="C7287" t="str">
        <f>"9780826196354"</f>
        <v>9780826196354</v>
      </c>
      <c r="D7287" t="str">
        <f>"9780826196361"</f>
        <v>9780826196361</v>
      </c>
      <c r="E7287" t="s">
        <v>3016</v>
      </c>
      <c r="F7287" t="s">
        <v>3016</v>
      </c>
      <c r="G7287" s="1">
        <v>41808</v>
      </c>
      <c r="H7287" s="1">
        <v>41814</v>
      </c>
      <c r="I7287" t="s">
        <v>12</v>
      </c>
      <c r="J7287" t="s">
        <v>18057</v>
      </c>
    </row>
    <row r="7288" spans="1:10" x14ac:dyDescent="0.25">
      <c r="A7288">
        <v>1720826</v>
      </c>
      <c r="B7288" t="s">
        <v>7677</v>
      </c>
      <c r="C7288" t="str">
        <f>"9781845414429"</f>
        <v>9781845414429</v>
      </c>
      <c r="D7288" t="str">
        <f>"9781845414443"</f>
        <v>9781845414443</v>
      </c>
      <c r="E7288" t="s">
        <v>886</v>
      </c>
      <c r="F7288" t="s">
        <v>886</v>
      </c>
      <c r="G7288" s="1">
        <v>41823</v>
      </c>
      <c r="H7288" s="1">
        <v>41817</v>
      </c>
      <c r="I7288" t="s">
        <v>12</v>
      </c>
      <c r="J7288" t="s">
        <v>18058</v>
      </c>
    </row>
    <row r="7289" spans="1:10" x14ac:dyDescent="0.25">
      <c r="A7289">
        <v>1728024</v>
      </c>
      <c r="B7289" t="s">
        <v>7678</v>
      </c>
      <c r="C7289" t="str">
        <f>"9780810890978"</f>
        <v>9780810890978</v>
      </c>
      <c r="D7289" t="str">
        <f>"9780810890985"</f>
        <v>9780810890985</v>
      </c>
      <c r="E7289" t="s">
        <v>6253</v>
      </c>
      <c r="F7289" t="s">
        <v>6253</v>
      </c>
      <c r="G7289" s="1">
        <v>41781</v>
      </c>
      <c r="H7289" s="1">
        <v>41825</v>
      </c>
      <c r="I7289" t="s">
        <v>12</v>
      </c>
      <c r="J7289" t="s">
        <v>18059</v>
      </c>
    </row>
    <row r="7290" spans="1:10" x14ac:dyDescent="0.25">
      <c r="A7290">
        <v>1728282</v>
      </c>
      <c r="B7290" t="s">
        <v>7679</v>
      </c>
      <c r="C7290" t="str">
        <f>"9781840245288"</f>
        <v>9781840245288</v>
      </c>
      <c r="D7290" t="str">
        <f>"9781840249378"</f>
        <v>9781840249378</v>
      </c>
      <c r="E7290" t="s">
        <v>7680</v>
      </c>
      <c r="F7290" t="s">
        <v>7680</v>
      </c>
      <c r="G7290" s="1">
        <v>41096</v>
      </c>
      <c r="H7290" s="1">
        <v>41824</v>
      </c>
      <c r="I7290" t="s">
        <v>12</v>
      </c>
      <c r="J7290" t="s">
        <v>18060</v>
      </c>
    </row>
    <row r="7291" spans="1:10" x14ac:dyDescent="0.25">
      <c r="A7291">
        <v>1728315</v>
      </c>
      <c r="B7291" t="s">
        <v>7681</v>
      </c>
      <c r="C7291" t="str">
        <f>"9781840242218"</f>
        <v>9781840242218</v>
      </c>
      <c r="D7291" t="str">
        <f>"9781848399860"</f>
        <v>9781848399860</v>
      </c>
      <c r="E7291" t="s">
        <v>7680</v>
      </c>
      <c r="F7291" t="s">
        <v>7680</v>
      </c>
      <c r="G7291" s="1">
        <v>41827</v>
      </c>
      <c r="H7291" s="1">
        <v>41824</v>
      </c>
      <c r="I7291" t="s">
        <v>12</v>
      </c>
      <c r="J7291" t="s">
        <v>18061</v>
      </c>
    </row>
    <row r="7292" spans="1:10" x14ac:dyDescent="0.25">
      <c r="A7292">
        <v>1728382</v>
      </c>
      <c r="B7292" t="s">
        <v>7682</v>
      </c>
      <c r="C7292" t="str">
        <f>"9781840241822"</f>
        <v>9781840241822</v>
      </c>
      <c r="D7292" t="str">
        <f>"9781840249897"</f>
        <v>9781840249897</v>
      </c>
      <c r="E7292" t="s">
        <v>7680</v>
      </c>
      <c r="F7292" t="s">
        <v>7680</v>
      </c>
      <c r="G7292" s="1">
        <v>41787</v>
      </c>
      <c r="H7292" s="1">
        <v>41824</v>
      </c>
      <c r="I7292" t="s">
        <v>12</v>
      </c>
      <c r="J7292" t="s">
        <v>18062</v>
      </c>
    </row>
    <row r="7293" spans="1:10" x14ac:dyDescent="0.25">
      <c r="A7293">
        <v>1728390</v>
      </c>
      <c r="B7293" t="s">
        <v>7683</v>
      </c>
      <c r="C7293" t="str">
        <f>"9781840245721"</f>
        <v>9781840245721</v>
      </c>
      <c r="D7293" t="str">
        <f>"9781848395244"</f>
        <v>9781848395244</v>
      </c>
      <c r="E7293" t="s">
        <v>7680</v>
      </c>
      <c r="F7293" t="s">
        <v>7680</v>
      </c>
      <c r="G7293" s="1">
        <v>39020</v>
      </c>
      <c r="H7293" s="1">
        <v>41824</v>
      </c>
      <c r="I7293" t="s">
        <v>12</v>
      </c>
      <c r="J7293" t="s">
        <v>18063</v>
      </c>
    </row>
    <row r="7294" spans="1:10" x14ac:dyDescent="0.25">
      <c r="A7294">
        <v>1728394</v>
      </c>
      <c r="B7294" t="s">
        <v>7684</v>
      </c>
      <c r="C7294" t="str">
        <f>"9781840245196"</f>
        <v>9781840245196</v>
      </c>
      <c r="D7294" t="str">
        <f>"9781840247923"</f>
        <v>9781840247923</v>
      </c>
      <c r="E7294" t="s">
        <v>7680</v>
      </c>
      <c r="F7294" t="s">
        <v>7680</v>
      </c>
      <c r="G7294" s="1">
        <v>41787</v>
      </c>
      <c r="H7294" s="1">
        <v>41828</v>
      </c>
      <c r="I7294" t="s">
        <v>12</v>
      </c>
      <c r="J7294" t="s">
        <v>18064</v>
      </c>
    </row>
    <row r="7295" spans="1:10" x14ac:dyDescent="0.25">
      <c r="A7295">
        <v>1734037</v>
      </c>
      <c r="B7295" t="s">
        <v>7685</v>
      </c>
      <c r="C7295" t="str">
        <f>"9780759124103"</f>
        <v>9780759124103</v>
      </c>
      <c r="D7295" t="str">
        <f>"9780759124110"</f>
        <v>9780759124110</v>
      </c>
      <c r="E7295" t="s">
        <v>6253</v>
      </c>
      <c r="F7295" t="s">
        <v>6253</v>
      </c>
      <c r="G7295" s="1">
        <v>41828</v>
      </c>
      <c r="H7295" s="1">
        <v>41831</v>
      </c>
      <c r="I7295" t="s">
        <v>12</v>
      </c>
      <c r="J7295" t="s">
        <v>18065</v>
      </c>
    </row>
    <row r="7296" spans="1:10" x14ac:dyDescent="0.25">
      <c r="A7296">
        <v>1742612</v>
      </c>
      <c r="B7296" t="s">
        <v>7686</v>
      </c>
      <c r="C7296" t="str">
        <f>"9780826459176"</f>
        <v>9780826459176</v>
      </c>
      <c r="D7296" t="str">
        <f>"9781474210546"</f>
        <v>9781474210546</v>
      </c>
      <c r="E7296" t="s">
        <v>4180</v>
      </c>
      <c r="F7296" t="s">
        <v>6461</v>
      </c>
      <c r="G7296" s="1">
        <v>37957</v>
      </c>
      <c r="H7296" s="1">
        <v>41845</v>
      </c>
      <c r="I7296" t="s">
        <v>12</v>
      </c>
      <c r="J7296" t="s">
        <v>18066</v>
      </c>
    </row>
    <row r="7297" spans="1:10" x14ac:dyDescent="0.25">
      <c r="A7297">
        <v>1743152</v>
      </c>
      <c r="B7297" t="s">
        <v>7687</v>
      </c>
      <c r="C7297" t="str">
        <f>"9781846686054"</f>
        <v>9781846686054</v>
      </c>
      <c r="D7297" t="str">
        <f>"9781847650337"</f>
        <v>9781847650337</v>
      </c>
      <c r="E7297" t="s">
        <v>3706</v>
      </c>
      <c r="F7297" t="s">
        <v>3704</v>
      </c>
      <c r="G7297" s="1">
        <v>40438</v>
      </c>
      <c r="H7297" s="1">
        <v>41989</v>
      </c>
      <c r="I7297" t="s">
        <v>12</v>
      </c>
      <c r="J7297" t="s">
        <v>18067</v>
      </c>
    </row>
    <row r="7298" spans="1:10" x14ac:dyDescent="0.25">
      <c r="A7298">
        <v>1743230</v>
      </c>
      <c r="B7298" t="s">
        <v>7688</v>
      </c>
      <c r="C7298" t="str">
        <f>"9781846681219"</f>
        <v>9781846681219</v>
      </c>
      <c r="D7298" t="str">
        <f>"9781847650177"</f>
        <v>9781847650177</v>
      </c>
      <c r="E7298" t="s">
        <v>3706</v>
      </c>
      <c r="F7298" t="s">
        <v>3704</v>
      </c>
      <c r="G7298" s="1">
        <v>40724</v>
      </c>
      <c r="H7298" s="1">
        <v>41989</v>
      </c>
      <c r="I7298" t="s">
        <v>12</v>
      </c>
      <c r="J7298" t="s">
        <v>18068</v>
      </c>
    </row>
    <row r="7299" spans="1:10" x14ac:dyDescent="0.25">
      <c r="A7299">
        <v>1743460</v>
      </c>
      <c r="B7299" t="s">
        <v>7689</v>
      </c>
      <c r="C7299" t="str">
        <f>"9781846681196"</f>
        <v>9781846681196</v>
      </c>
      <c r="D7299" t="str">
        <f>"9781847650009"</f>
        <v>9781847650009</v>
      </c>
      <c r="E7299" t="s">
        <v>3706</v>
      </c>
      <c r="F7299" t="s">
        <v>3704</v>
      </c>
      <c r="G7299" s="1">
        <v>40382</v>
      </c>
      <c r="H7299" s="1">
        <v>41990</v>
      </c>
      <c r="I7299" t="s">
        <v>12</v>
      </c>
      <c r="J7299" t="s">
        <v>18069</v>
      </c>
    </row>
    <row r="7300" spans="1:10" x14ac:dyDescent="0.25">
      <c r="A7300">
        <v>1743469</v>
      </c>
      <c r="B7300" t="s">
        <v>7690</v>
      </c>
      <c r="C7300" t="str">
        <f>"9781846681240"</f>
        <v>9781846681240</v>
      </c>
      <c r="D7300" t="str">
        <f>"9781847650047"</f>
        <v>9781847650047</v>
      </c>
      <c r="E7300" t="s">
        <v>3706</v>
      </c>
      <c r="F7300" t="s">
        <v>3704</v>
      </c>
      <c r="G7300" s="1">
        <v>40382</v>
      </c>
      <c r="H7300" s="1">
        <v>41990</v>
      </c>
      <c r="I7300" t="s">
        <v>12</v>
      </c>
      <c r="J7300" t="s">
        <v>18070</v>
      </c>
    </row>
    <row r="7301" spans="1:10" x14ac:dyDescent="0.25">
      <c r="A7301">
        <v>1750706</v>
      </c>
      <c r="B7301" t="s">
        <v>7691</v>
      </c>
      <c r="C7301" t="str">
        <f>"9781841132990"</f>
        <v>9781841132990</v>
      </c>
      <c r="D7301" t="str">
        <f>"9781847311269"</f>
        <v>9781847311269</v>
      </c>
      <c r="E7301" t="s">
        <v>4180</v>
      </c>
      <c r="F7301" t="s">
        <v>2199</v>
      </c>
      <c r="G7301" s="1">
        <v>37354</v>
      </c>
      <c r="H7301" s="1">
        <v>42326</v>
      </c>
      <c r="I7301" t="s">
        <v>12</v>
      </c>
      <c r="J7301" t="s">
        <v>18071</v>
      </c>
    </row>
    <row r="7302" spans="1:10" x14ac:dyDescent="0.25">
      <c r="A7302">
        <v>1750716</v>
      </c>
      <c r="B7302" t="s">
        <v>7692</v>
      </c>
      <c r="C7302" t="str">
        <f>"9781841131214"</f>
        <v>9781841131214</v>
      </c>
      <c r="D7302" t="str">
        <f>"9781847311528"</f>
        <v>9781847311528</v>
      </c>
      <c r="E7302" t="s">
        <v>4180</v>
      </c>
      <c r="F7302" t="s">
        <v>2199</v>
      </c>
      <c r="G7302" s="1">
        <v>36708</v>
      </c>
      <c r="H7302" s="1">
        <v>41845</v>
      </c>
      <c r="I7302" t="s">
        <v>12</v>
      </c>
      <c r="J7302" t="s">
        <v>18072</v>
      </c>
    </row>
    <row r="7303" spans="1:10" x14ac:dyDescent="0.25">
      <c r="A7303">
        <v>1751783</v>
      </c>
      <c r="B7303" t="s">
        <v>7693</v>
      </c>
      <c r="C7303" t="str">
        <f>"9780857858306"</f>
        <v>9780857858306</v>
      </c>
      <c r="D7303" t="str">
        <f>"9781472577450"</f>
        <v>9781472577450</v>
      </c>
      <c r="E7303" t="s">
        <v>4180</v>
      </c>
      <c r="F7303" t="s">
        <v>6461</v>
      </c>
      <c r="G7303" s="1">
        <v>41753</v>
      </c>
      <c r="H7303" s="1">
        <v>41845</v>
      </c>
      <c r="I7303" t="s">
        <v>12</v>
      </c>
      <c r="J7303" t="s">
        <v>18073</v>
      </c>
    </row>
    <row r="7304" spans="1:10" x14ac:dyDescent="0.25">
      <c r="A7304">
        <v>1753413</v>
      </c>
      <c r="B7304" t="s">
        <v>7694</v>
      </c>
      <c r="C7304" t="str">
        <f>"9780804011013"</f>
        <v>9780804011013</v>
      </c>
      <c r="D7304" t="str">
        <f>"9780804040297"</f>
        <v>9780804040297</v>
      </c>
      <c r="E7304" t="s">
        <v>7695</v>
      </c>
      <c r="F7304" t="s">
        <v>7696</v>
      </c>
      <c r="G7304" s="1">
        <v>39217</v>
      </c>
      <c r="H7304" s="1">
        <v>41846</v>
      </c>
      <c r="I7304" t="s">
        <v>12</v>
      </c>
      <c r="J7304" t="s">
        <v>18074</v>
      </c>
    </row>
    <row r="7305" spans="1:10" x14ac:dyDescent="0.25">
      <c r="A7305">
        <v>1759162</v>
      </c>
      <c r="B7305" t="s">
        <v>7697</v>
      </c>
      <c r="C7305" t="str">
        <f>"9781845414573"</f>
        <v>9781845414573</v>
      </c>
      <c r="D7305" t="str">
        <f>"9781845414597"</f>
        <v>9781845414597</v>
      </c>
      <c r="E7305" t="s">
        <v>886</v>
      </c>
      <c r="F7305" t="s">
        <v>886</v>
      </c>
      <c r="G7305" s="1">
        <v>41852</v>
      </c>
      <c r="H7305" s="1">
        <v>41855</v>
      </c>
      <c r="I7305" t="s">
        <v>12</v>
      </c>
      <c r="J7305" t="s">
        <v>18075</v>
      </c>
    </row>
    <row r="7306" spans="1:10" x14ac:dyDescent="0.25">
      <c r="A7306">
        <v>1760733</v>
      </c>
      <c r="B7306" t="s">
        <v>7698</v>
      </c>
      <c r="C7306" t="str">
        <f>"9781462517954"</f>
        <v>9781462517954</v>
      </c>
      <c r="D7306" t="str">
        <f>"9781462518302"</f>
        <v>9781462518302</v>
      </c>
      <c r="E7306" t="s">
        <v>3740</v>
      </c>
      <c r="F7306" t="s">
        <v>3741</v>
      </c>
      <c r="G7306" s="1">
        <v>41956</v>
      </c>
      <c r="H7306" s="1">
        <v>42349</v>
      </c>
      <c r="I7306" t="s">
        <v>12</v>
      </c>
      <c r="J7306" t="s">
        <v>18076</v>
      </c>
    </row>
    <row r="7307" spans="1:10" x14ac:dyDescent="0.25">
      <c r="A7307">
        <v>1760905</v>
      </c>
      <c r="B7307" t="s">
        <v>7699</v>
      </c>
      <c r="C7307" t="str">
        <f>"9780826171269"</f>
        <v>9780826171269</v>
      </c>
      <c r="D7307" t="str">
        <f>"9780826171276"</f>
        <v>9780826171276</v>
      </c>
      <c r="E7307" t="s">
        <v>3016</v>
      </c>
      <c r="F7307" t="s">
        <v>3016</v>
      </c>
      <c r="G7307" s="1">
        <v>41879</v>
      </c>
      <c r="H7307" s="1">
        <v>42331</v>
      </c>
      <c r="I7307" t="s">
        <v>12</v>
      </c>
      <c r="J7307" t="s">
        <v>18077</v>
      </c>
    </row>
    <row r="7308" spans="1:10" x14ac:dyDescent="0.25">
      <c r="A7308">
        <v>1764183</v>
      </c>
      <c r="B7308" t="s">
        <v>7700</v>
      </c>
      <c r="C7308" t="str">
        <f>"9780863723315"</f>
        <v>9780863723315</v>
      </c>
      <c r="D7308" t="str">
        <f>"9780863725326"</f>
        <v>9780863725326</v>
      </c>
      <c r="E7308" t="s">
        <v>7701</v>
      </c>
      <c r="F7308" t="s">
        <v>7702</v>
      </c>
      <c r="G7308" s="1">
        <v>39661</v>
      </c>
      <c r="H7308" s="1">
        <v>41861</v>
      </c>
      <c r="I7308" t="s">
        <v>12</v>
      </c>
      <c r="J7308" t="s">
        <v>18078</v>
      </c>
    </row>
    <row r="7309" spans="1:10" x14ac:dyDescent="0.25">
      <c r="A7309">
        <v>1764209</v>
      </c>
      <c r="B7309" t="s">
        <v>7703</v>
      </c>
      <c r="C7309" t="str">
        <f>"9780863724169"</f>
        <v>9780863724169</v>
      </c>
      <c r="D7309" t="str">
        <f>"9780863723506"</f>
        <v>9780863723506</v>
      </c>
      <c r="E7309" t="s">
        <v>7701</v>
      </c>
      <c r="F7309" t="s">
        <v>7704</v>
      </c>
      <c r="G7309" s="1">
        <v>40148</v>
      </c>
      <c r="H7309" s="1">
        <v>41861</v>
      </c>
      <c r="I7309" t="s">
        <v>12</v>
      </c>
      <c r="J7309" t="s">
        <v>18079</v>
      </c>
    </row>
    <row r="7310" spans="1:10" x14ac:dyDescent="0.25">
      <c r="A7310">
        <v>1764220</v>
      </c>
      <c r="B7310" t="s">
        <v>7705</v>
      </c>
      <c r="C7310" t="str">
        <f>"9781859642030"</f>
        <v>9781859642030</v>
      </c>
      <c r="D7310" t="str">
        <f>"9781859643655"</f>
        <v>9781859643655</v>
      </c>
      <c r="E7310" t="s">
        <v>7701</v>
      </c>
      <c r="F7310" t="s">
        <v>7704</v>
      </c>
      <c r="G7310" s="1">
        <v>39600</v>
      </c>
      <c r="H7310" s="1">
        <v>41861</v>
      </c>
      <c r="I7310" t="s">
        <v>12</v>
      </c>
      <c r="J7310" t="s">
        <v>18080</v>
      </c>
    </row>
    <row r="7311" spans="1:10" x14ac:dyDescent="0.25">
      <c r="A7311">
        <v>1767205</v>
      </c>
      <c r="B7311" t="s">
        <v>7706</v>
      </c>
      <c r="C7311" t="str">
        <f>"9781442237223"</f>
        <v>9781442237223</v>
      </c>
      <c r="D7311" t="str">
        <f>"9781442237230"</f>
        <v>9781442237230</v>
      </c>
      <c r="E7311" t="s">
        <v>6253</v>
      </c>
      <c r="F7311" t="s">
        <v>6253</v>
      </c>
      <c r="G7311" s="1">
        <v>41857</v>
      </c>
      <c r="H7311" s="1">
        <v>41866</v>
      </c>
      <c r="I7311" t="s">
        <v>12</v>
      </c>
      <c r="J7311" t="s">
        <v>18081</v>
      </c>
    </row>
    <row r="7312" spans="1:10" x14ac:dyDescent="0.25">
      <c r="A7312">
        <v>1768753</v>
      </c>
      <c r="B7312" t="s">
        <v>7707</v>
      </c>
      <c r="C7312" t="str">
        <f>"9781462518340"</f>
        <v>9781462518340</v>
      </c>
      <c r="D7312" t="str">
        <f>"9781462518371"</f>
        <v>9781462518371</v>
      </c>
      <c r="E7312" t="s">
        <v>3740</v>
      </c>
      <c r="F7312" t="s">
        <v>3741</v>
      </c>
      <c r="G7312" s="1">
        <v>41967</v>
      </c>
      <c r="H7312" s="1">
        <v>42349</v>
      </c>
      <c r="I7312" t="s">
        <v>12</v>
      </c>
      <c r="J7312" t="s">
        <v>18082</v>
      </c>
    </row>
    <row r="7313" spans="1:10" x14ac:dyDescent="0.25">
      <c r="A7313">
        <v>1771085</v>
      </c>
      <c r="B7313" t="s">
        <v>7708</v>
      </c>
      <c r="C7313" t="str">
        <f>"9781903765180"</f>
        <v>9781903765180</v>
      </c>
      <c r="D7313" t="str">
        <f>"9781906716905"</f>
        <v>9781906716905</v>
      </c>
      <c r="E7313" t="s">
        <v>7709</v>
      </c>
      <c r="F7313" t="s">
        <v>7709</v>
      </c>
      <c r="G7313" s="1">
        <v>38981</v>
      </c>
      <c r="H7313" s="1">
        <v>41873</v>
      </c>
      <c r="I7313" t="s">
        <v>12</v>
      </c>
      <c r="J7313" t="s">
        <v>18083</v>
      </c>
    </row>
    <row r="7314" spans="1:10" x14ac:dyDescent="0.25">
      <c r="A7314">
        <v>1771104</v>
      </c>
      <c r="B7314" t="s">
        <v>7710</v>
      </c>
      <c r="C7314" t="str">
        <f>"9781903765838"</f>
        <v>9781903765838</v>
      </c>
      <c r="D7314" t="str">
        <f>"9781906716998"</f>
        <v>9781906716998</v>
      </c>
      <c r="E7314" t="s">
        <v>7709</v>
      </c>
      <c r="F7314" t="s">
        <v>7709</v>
      </c>
      <c r="G7314" s="1">
        <v>39646</v>
      </c>
      <c r="H7314" s="1">
        <v>41873</v>
      </c>
      <c r="I7314" t="s">
        <v>12</v>
      </c>
      <c r="J7314" t="s">
        <v>18084</v>
      </c>
    </row>
    <row r="7315" spans="1:10" x14ac:dyDescent="0.25">
      <c r="A7315">
        <v>1772335</v>
      </c>
      <c r="B7315" t="s">
        <v>7711</v>
      </c>
      <c r="C7315" t="str">
        <f>"9781901362664"</f>
        <v>9781901362664</v>
      </c>
      <c r="D7315" t="str">
        <f>"9781847313379"</f>
        <v>9781847313379</v>
      </c>
      <c r="E7315" t="s">
        <v>4180</v>
      </c>
      <c r="F7315" t="s">
        <v>2199</v>
      </c>
      <c r="G7315" s="1">
        <v>36210</v>
      </c>
      <c r="H7315" s="1">
        <v>41876</v>
      </c>
      <c r="I7315" t="s">
        <v>12</v>
      </c>
      <c r="J7315" t="s">
        <v>18085</v>
      </c>
    </row>
    <row r="7316" spans="1:10" x14ac:dyDescent="0.25">
      <c r="A7316">
        <v>1772368</v>
      </c>
      <c r="B7316" t="s">
        <v>7712</v>
      </c>
      <c r="C7316" t="str">
        <f>"9781841134581"</f>
        <v>9781841134581</v>
      </c>
      <c r="D7316" t="str">
        <f>"9781847311818"</f>
        <v>9781847311818</v>
      </c>
      <c r="E7316" t="s">
        <v>4180</v>
      </c>
      <c r="F7316" t="s">
        <v>2199</v>
      </c>
      <c r="G7316" s="1">
        <v>38808</v>
      </c>
      <c r="H7316" s="1">
        <v>41876</v>
      </c>
      <c r="I7316" t="s">
        <v>12</v>
      </c>
      <c r="J7316" t="s">
        <v>18086</v>
      </c>
    </row>
    <row r="7317" spans="1:10" x14ac:dyDescent="0.25">
      <c r="A7317">
        <v>1772371</v>
      </c>
      <c r="B7317" t="s">
        <v>7713</v>
      </c>
      <c r="C7317" t="str">
        <f>"9781841135458"</f>
        <v>9781841135458</v>
      </c>
      <c r="D7317" t="str">
        <f>"9781847312068"</f>
        <v>9781847312068</v>
      </c>
      <c r="E7317" t="s">
        <v>4180</v>
      </c>
      <c r="F7317" t="s">
        <v>2199</v>
      </c>
      <c r="G7317" s="1">
        <v>38611</v>
      </c>
      <c r="H7317" s="1">
        <v>41876</v>
      </c>
      <c r="I7317" t="s">
        <v>12</v>
      </c>
      <c r="J7317" t="s">
        <v>18087</v>
      </c>
    </row>
    <row r="7318" spans="1:10" x14ac:dyDescent="0.25">
      <c r="A7318">
        <v>1772380</v>
      </c>
      <c r="B7318" t="s">
        <v>7714</v>
      </c>
      <c r="C7318" t="str">
        <f>"9781841134482"</f>
        <v>9781841134482</v>
      </c>
      <c r="D7318" t="str">
        <f>"9781847312457"</f>
        <v>9781847312457</v>
      </c>
      <c r="E7318" t="s">
        <v>4180</v>
      </c>
      <c r="F7318" t="s">
        <v>2199</v>
      </c>
      <c r="G7318" s="1">
        <v>38490</v>
      </c>
      <c r="H7318" s="1">
        <v>42326</v>
      </c>
      <c r="I7318" t="s">
        <v>12</v>
      </c>
      <c r="J7318" t="s">
        <v>18088</v>
      </c>
    </row>
    <row r="7319" spans="1:10" x14ac:dyDescent="0.25">
      <c r="A7319">
        <v>1772381</v>
      </c>
      <c r="B7319" t="s">
        <v>7715</v>
      </c>
      <c r="C7319" t="str">
        <f>"9781901362695"</f>
        <v>9781901362695</v>
      </c>
      <c r="D7319" t="str">
        <f>"9781847312471"</f>
        <v>9781847312471</v>
      </c>
      <c r="E7319" t="s">
        <v>4180</v>
      </c>
      <c r="F7319" t="s">
        <v>2199</v>
      </c>
      <c r="G7319" s="1">
        <v>37613</v>
      </c>
      <c r="H7319" s="1">
        <v>41876</v>
      </c>
      <c r="I7319" t="s">
        <v>12</v>
      </c>
      <c r="J7319" t="s">
        <v>18089</v>
      </c>
    </row>
    <row r="7320" spans="1:10" x14ac:dyDescent="0.25">
      <c r="A7320">
        <v>1772384</v>
      </c>
      <c r="B7320" t="s">
        <v>7716</v>
      </c>
      <c r="C7320" t="str">
        <f>"9781841134253"</f>
        <v>9781841134253</v>
      </c>
      <c r="D7320" t="str">
        <f>"9781847312594"</f>
        <v>9781847312594</v>
      </c>
      <c r="E7320" t="s">
        <v>4180</v>
      </c>
      <c r="F7320" t="s">
        <v>2199</v>
      </c>
      <c r="G7320" s="1">
        <v>37987</v>
      </c>
      <c r="H7320" s="1">
        <v>41876</v>
      </c>
      <c r="I7320" t="s">
        <v>12</v>
      </c>
      <c r="J7320" t="s">
        <v>18090</v>
      </c>
    </row>
    <row r="7321" spans="1:10" x14ac:dyDescent="0.25">
      <c r="A7321">
        <v>1772387</v>
      </c>
      <c r="B7321" t="s">
        <v>7717</v>
      </c>
      <c r="C7321" t="str">
        <f>"9781841136318"</f>
        <v>9781841136318</v>
      </c>
      <c r="D7321" t="str">
        <f>"9781847312693"</f>
        <v>9781847312693</v>
      </c>
      <c r="E7321" t="s">
        <v>4180</v>
      </c>
      <c r="F7321" t="s">
        <v>2199</v>
      </c>
      <c r="G7321" s="1">
        <v>38882</v>
      </c>
      <c r="H7321" s="1">
        <v>42326</v>
      </c>
      <c r="I7321" t="s">
        <v>12</v>
      </c>
      <c r="J7321" t="s">
        <v>18091</v>
      </c>
    </row>
    <row r="7322" spans="1:10" x14ac:dyDescent="0.25">
      <c r="A7322">
        <v>1772388</v>
      </c>
      <c r="B7322" t="s">
        <v>7718</v>
      </c>
      <c r="C7322" t="str">
        <f>"9781841133225"</f>
        <v>9781841133225</v>
      </c>
      <c r="D7322" t="str">
        <f>"9781847312723"</f>
        <v>9781847312723</v>
      </c>
      <c r="E7322" t="s">
        <v>1400</v>
      </c>
      <c r="F7322" t="s">
        <v>2199</v>
      </c>
      <c r="G7322" s="1">
        <v>38936</v>
      </c>
      <c r="H7322" s="1">
        <v>42094</v>
      </c>
      <c r="I7322" t="s">
        <v>12</v>
      </c>
      <c r="J7322" t="s">
        <v>18092</v>
      </c>
    </row>
    <row r="7323" spans="1:10" x14ac:dyDescent="0.25">
      <c r="A7323">
        <v>1772392</v>
      </c>
      <c r="B7323" t="s">
        <v>7719</v>
      </c>
      <c r="C7323" t="str">
        <f>"9781841132143"</f>
        <v>9781841132143</v>
      </c>
      <c r="D7323" t="str">
        <f>"9781847312815"</f>
        <v>9781847312815</v>
      </c>
      <c r="E7323" t="s">
        <v>4180</v>
      </c>
      <c r="F7323" t="s">
        <v>2199</v>
      </c>
      <c r="G7323" s="1">
        <v>38991</v>
      </c>
      <c r="H7323" s="1">
        <v>42326</v>
      </c>
      <c r="I7323" t="s">
        <v>12</v>
      </c>
      <c r="J7323" t="s">
        <v>18093</v>
      </c>
    </row>
    <row r="7324" spans="1:10" x14ac:dyDescent="0.25">
      <c r="A7324">
        <v>1772396</v>
      </c>
      <c r="B7324" t="s">
        <v>7720</v>
      </c>
      <c r="C7324" t="str">
        <f>"9781841135953"</f>
        <v>9781841135953</v>
      </c>
      <c r="D7324" t="str">
        <f>"9781847312877"</f>
        <v>9781847312877</v>
      </c>
      <c r="E7324" t="s">
        <v>4180</v>
      </c>
      <c r="F7324" t="s">
        <v>2199</v>
      </c>
      <c r="G7324" s="1">
        <v>39019</v>
      </c>
      <c r="H7324" s="1">
        <v>42326</v>
      </c>
      <c r="I7324" t="s">
        <v>12</v>
      </c>
      <c r="J7324" t="s">
        <v>18094</v>
      </c>
    </row>
    <row r="7325" spans="1:10" x14ac:dyDescent="0.25">
      <c r="A7325">
        <v>1772398</v>
      </c>
      <c r="B7325" t="s">
        <v>7721</v>
      </c>
      <c r="C7325" t="str">
        <f>"9781841135311"</f>
        <v>9781841135311</v>
      </c>
      <c r="D7325" t="str">
        <f>"9781847312907"</f>
        <v>9781847312907</v>
      </c>
      <c r="E7325" t="s">
        <v>4180</v>
      </c>
      <c r="F7325" t="s">
        <v>2199</v>
      </c>
      <c r="G7325" s="1">
        <v>39028</v>
      </c>
      <c r="H7325" s="1">
        <v>41876</v>
      </c>
      <c r="I7325" t="s">
        <v>12</v>
      </c>
      <c r="J7325" t="s">
        <v>18095</v>
      </c>
    </row>
    <row r="7326" spans="1:10" x14ac:dyDescent="0.25">
      <c r="A7326">
        <v>1772402</v>
      </c>
      <c r="B7326" t="s">
        <v>7722</v>
      </c>
      <c r="C7326" t="str">
        <f>"9781841136547"</f>
        <v>9781841136547</v>
      </c>
      <c r="D7326" t="str">
        <f>"9781847312945"</f>
        <v>9781847312945</v>
      </c>
      <c r="E7326" t="s">
        <v>4180</v>
      </c>
      <c r="F7326" t="s">
        <v>2199</v>
      </c>
      <c r="G7326" s="1">
        <v>39083</v>
      </c>
      <c r="H7326" s="1">
        <v>41876</v>
      </c>
      <c r="I7326" t="s">
        <v>12</v>
      </c>
      <c r="J7326" t="s">
        <v>18096</v>
      </c>
    </row>
    <row r="7327" spans="1:10" x14ac:dyDescent="0.25">
      <c r="A7327">
        <v>1772422</v>
      </c>
      <c r="B7327" t="s">
        <v>7723</v>
      </c>
      <c r="C7327" t="str">
        <f>"9781841137322"</f>
        <v>9781841137322</v>
      </c>
      <c r="D7327" t="str">
        <f>"9781847313911"</f>
        <v>9781847313911</v>
      </c>
      <c r="E7327" t="s">
        <v>4180</v>
      </c>
      <c r="F7327" t="s">
        <v>2199</v>
      </c>
      <c r="G7327" s="1">
        <v>39398</v>
      </c>
      <c r="H7327" s="1">
        <v>41876</v>
      </c>
      <c r="I7327" t="s">
        <v>12</v>
      </c>
      <c r="J7327" t="s">
        <v>18097</v>
      </c>
    </row>
    <row r="7328" spans="1:10" x14ac:dyDescent="0.25">
      <c r="A7328">
        <v>1772429</v>
      </c>
      <c r="B7328" t="s">
        <v>7724</v>
      </c>
      <c r="C7328" t="str">
        <f>"9781841137735"</f>
        <v>9781841137735</v>
      </c>
      <c r="D7328" t="str">
        <f>"9781847314055"</f>
        <v>9781847314055</v>
      </c>
      <c r="E7328" t="s">
        <v>4180</v>
      </c>
      <c r="F7328" t="s">
        <v>2199</v>
      </c>
      <c r="G7328" s="1">
        <v>39462</v>
      </c>
      <c r="H7328" s="1">
        <v>41876</v>
      </c>
      <c r="I7328" t="s">
        <v>12</v>
      </c>
      <c r="J7328" t="s">
        <v>18098</v>
      </c>
    </row>
    <row r="7329" spans="1:10" x14ac:dyDescent="0.25">
      <c r="A7329">
        <v>1772444</v>
      </c>
      <c r="B7329" t="s">
        <v>7725</v>
      </c>
      <c r="C7329" t="str">
        <f>"9781841137872"</f>
        <v>9781841137872</v>
      </c>
      <c r="D7329" t="str">
        <f>"9781847314697"</f>
        <v>9781847314697</v>
      </c>
      <c r="E7329" t="s">
        <v>4180</v>
      </c>
      <c r="F7329" t="s">
        <v>2199</v>
      </c>
      <c r="G7329" s="1">
        <v>39784</v>
      </c>
      <c r="H7329" s="1">
        <v>42326</v>
      </c>
      <c r="I7329" t="s">
        <v>12</v>
      </c>
      <c r="J7329" t="s">
        <v>18099</v>
      </c>
    </row>
    <row r="7330" spans="1:10" x14ac:dyDescent="0.25">
      <c r="A7330">
        <v>1772446</v>
      </c>
      <c r="B7330" t="s">
        <v>7726</v>
      </c>
      <c r="C7330" t="str">
        <f>"9781841138435"</f>
        <v>9781841138435</v>
      </c>
      <c r="D7330" t="str">
        <f>"9781847314758"</f>
        <v>9781847314758</v>
      </c>
      <c r="E7330" t="s">
        <v>4180</v>
      </c>
      <c r="F7330" t="s">
        <v>2199</v>
      </c>
      <c r="G7330" s="1">
        <v>39828</v>
      </c>
      <c r="H7330" s="1">
        <v>42326</v>
      </c>
      <c r="I7330" t="s">
        <v>12</v>
      </c>
      <c r="J7330" t="s">
        <v>18100</v>
      </c>
    </row>
    <row r="7331" spans="1:10" x14ac:dyDescent="0.25">
      <c r="A7331">
        <v>1772450</v>
      </c>
      <c r="B7331" t="s">
        <v>7727</v>
      </c>
      <c r="C7331" t="str">
        <f>"9781841139234"</f>
        <v>9781841139234</v>
      </c>
      <c r="D7331" t="str">
        <f>"9781847314932"</f>
        <v>9781847314932</v>
      </c>
      <c r="E7331" t="s">
        <v>4180</v>
      </c>
      <c r="F7331" t="s">
        <v>2199</v>
      </c>
      <c r="G7331" s="1">
        <v>39849</v>
      </c>
      <c r="H7331" s="1">
        <v>42326</v>
      </c>
      <c r="I7331" t="s">
        <v>12</v>
      </c>
      <c r="J7331" t="s">
        <v>18101</v>
      </c>
    </row>
    <row r="7332" spans="1:10" x14ac:dyDescent="0.25">
      <c r="A7332">
        <v>1772510</v>
      </c>
      <c r="B7332" t="s">
        <v>7728</v>
      </c>
      <c r="C7332" t="str">
        <f>"9781841134055"</f>
        <v>9781841134055</v>
      </c>
      <c r="D7332" t="str">
        <f>"9781847310583"</f>
        <v>9781847310583</v>
      </c>
      <c r="E7332" t="s">
        <v>4180</v>
      </c>
      <c r="F7332" t="s">
        <v>2199</v>
      </c>
      <c r="G7332" s="1">
        <v>37803</v>
      </c>
      <c r="H7332" s="1">
        <v>41876</v>
      </c>
      <c r="I7332" t="s">
        <v>12</v>
      </c>
      <c r="J7332" t="s">
        <v>18102</v>
      </c>
    </row>
    <row r="7333" spans="1:10" x14ac:dyDescent="0.25">
      <c r="A7333">
        <v>1772517</v>
      </c>
      <c r="B7333" t="s">
        <v>7729</v>
      </c>
      <c r="C7333" t="str">
        <f>"9781841134574"</f>
        <v>9781841134574</v>
      </c>
      <c r="D7333" t="str">
        <f>"9781847310743"</f>
        <v>9781847310743</v>
      </c>
      <c r="E7333" t="s">
        <v>4180</v>
      </c>
      <c r="F7333" t="s">
        <v>2199</v>
      </c>
      <c r="G7333" s="1">
        <v>38200</v>
      </c>
      <c r="H7333" s="1">
        <v>42326</v>
      </c>
      <c r="I7333" t="s">
        <v>12</v>
      </c>
      <c r="J7333" t="s">
        <v>18103</v>
      </c>
    </row>
    <row r="7334" spans="1:10" x14ac:dyDescent="0.25">
      <c r="A7334">
        <v>1772524</v>
      </c>
      <c r="B7334" t="s">
        <v>7730</v>
      </c>
      <c r="C7334" t="str">
        <f>"9781841134802"</f>
        <v>9781841134802</v>
      </c>
      <c r="D7334" t="str">
        <f>"9781847310002"</f>
        <v>9781847310002</v>
      </c>
      <c r="E7334" t="s">
        <v>4180</v>
      </c>
      <c r="F7334" t="s">
        <v>2199</v>
      </c>
      <c r="G7334" s="1">
        <v>38322</v>
      </c>
      <c r="H7334" s="1">
        <v>42326</v>
      </c>
      <c r="I7334" t="s">
        <v>12</v>
      </c>
      <c r="J7334" t="s">
        <v>18104</v>
      </c>
    </row>
    <row r="7335" spans="1:10" x14ac:dyDescent="0.25">
      <c r="A7335">
        <v>1772528</v>
      </c>
      <c r="B7335" t="s">
        <v>7731</v>
      </c>
      <c r="C7335" t="str">
        <f>"9781841136066"</f>
        <v>9781841136066</v>
      </c>
      <c r="D7335" t="str">
        <f>"9781847310156"</f>
        <v>9781847310156</v>
      </c>
      <c r="E7335" t="s">
        <v>4180</v>
      </c>
      <c r="F7335" t="s">
        <v>2199</v>
      </c>
      <c r="G7335" s="1">
        <v>38777</v>
      </c>
      <c r="H7335" s="1">
        <v>41876</v>
      </c>
      <c r="I7335" t="s">
        <v>12</v>
      </c>
      <c r="J7335" t="s">
        <v>18105</v>
      </c>
    </row>
    <row r="7336" spans="1:10" x14ac:dyDescent="0.25">
      <c r="A7336">
        <v>1772533</v>
      </c>
      <c r="B7336" t="s">
        <v>7732</v>
      </c>
      <c r="C7336" t="str">
        <f>"9781841133751"</f>
        <v>9781841133751</v>
      </c>
      <c r="D7336" t="str">
        <f>"9781847310385"</f>
        <v>9781847310385</v>
      </c>
      <c r="E7336" t="s">
        <v>4180</v>
      </c>
      <c r="F7336" t="s">
        <v>2199</v>
      </c>
      <c r="G7336" s="1">
        <v>38169</v>
      </c>
      <c r="H7336" s="1">
        <v>42326</v>
      </c>
      <c r="I7336" t="s">
        <v>12</v>
      </c>
      <c r="J7336" t="s">
        <v>18106</v>
      </c>
    </row>
    <row r="7337" spans="1:10" x14ac:dyDescent="0.25">
      <c r="A7337">
        <v>1772545</v>
      </c>
      <c r="B7337" t="s">
        <v>7733</v>
      </c>
      <c r="C7337" t="str">
        <f>"9781841136141"</f>
        <v>9781841136141</v>
      </c>
      <c r="D7337" t="str">
        <f>"9781847310774"</f>
        <v>9781847310774</v>
      </c>
      <c r="E7337" t="s">
        <v>1400</v>
      </c>
      <c r="F7337" t="s">
        <v>2199</v>
      </c>
      <c r="G7337" s="1">
        <v>38764</v>
      </c>
      <c r="H7337" s="1">
        <v>42094</v>
      </c>
      <c r="I7337" t="s">
        <v>12</v>
      </c>
      <c r="J7337" t="s">
        <v>18107</v>
      </c>
    </row>
    <row r="7338" spans="1:10" x14ac:dyDescent="0.25">
      <c r="A7338">
        <v>1772553</v>
      </c>
      <c r="B7338" t="s">
        <v>7734</v>
      </c>
      <c r="C7338" t="str">
        <f>"9781841133935"</f>
        <v>9781841133935</v>
      </c>
      <c r="D7338" t="str">
        <f>"9781847311382"</f>
        <v>9781847311382</v>
      </c>
      <c r="E7338" t="s">
        <v>4180</v>
      </c>
      <c r="F7338" t="s">
        <v>2199</v>
      </c>
      <c r="G7338" s="1">
        <v>38837</v>
      </c>
      <c r="H7338" s="1">
        <v>41876</v>
      </c>
      <c r="I7338" t="s">
        <v>12</v>
      </c>
      <c r="J7338" t="s">
        <v>18108</v>
      </c>
    </row>
    <row r="7339" spans="1:10" x14ac:dyDescent="0.25">
      <c r="A7339">
        <v>1772574</v>
      </c>
      <c r="B7339" t="s">
        <v>7735</v>
      </c>
      <c r="C7339" t="str">
        <f>"9781841135397"</f>
        <v>9781841135397</v>
      </c>
      <c r="D7339" t="str">
        <f>"9781847312419"</f>
        <v>9781847312419</v>
      </c>
      <c r="E7339" t="s">
        <v>1400</v>
      </c>
      <c r="F7339" t="s">
        <v>2199</v>
      </c>
      <c r="G7339" s="1">
        <v>38406</v>
      </c>
      <c r="H7339" s="1">
        <v>42094</v>
      </c>
      <c r="I7339" t="s">
        <v>12</v>
      </c>
      <c r="J7339" t="s">
        <v>18109</v>
      </c>
    </row>
    <row r="7340" spans="1:10" x14ac:dyDescent="0.25">
      <c r="A7340">
        <v>1772576</v>
      </c>
      <c r="B7340" t="s">
        <v>7736</v>
      </c>
      <c r="C7340" t="str">
        <f>"9781841131139"</f>
        <v>9781841131139</v>
      </c>
      <c r="D7340" t="str">
        <f>"9781847312464"</f>
        <v>9781847312464</v>
      </c>
      <c r="E7340" t="s">
        <v>1400</v>
      </c>
      <c r="F7340" t="s">
        <v>2199</v>
      </c>
      <c r="G7340" s="1">
        <v>37508</v>
      </c>
      <c r="H7340" s="1">
        <v>42094</v>
      </c>
      <c r="I7340" t="s">
        <v>12</v>
      </c>
      <c r="J7340" t="s">
        <v>18110</v>
      </c>
    </row>
    <row r="7341" spans="1:10" x14ac:dyDescent="0.25">
      <c r="A7341">
        <v>1772580</v>
      </c>
      <c r="B7341" t="s">
        <v>7737</v>
      </c>
      <c r="C7341" t="str">
        <f>"9781841135717"</f>
        <v>9781841135717</v>
      </c>
      <c r="D7341" t="str">
        <f>"9781847312563"</f>
        <v>9781847312563</v>
      </c>
      <c r="E7341" t="s">
        <v>1400</v>
      </c>
      <c r="F7341" t="s">
        <v>2199</v>
      </c>
      <c r="G7341" s="1">
        <v>38623</v>
      </c>
      <c r="H7341" s="1">
        <v>42094</v>
      </c>
      <c r="I7341" t="s">
        <v>12</v>
      </c>
      <c r="J7341" t="s">
        <v>18111</v>
      </c>
    </row>
    <row r="7342" spans="1:10" x14ac:dyDescent="0.25">
      <c r="A7342">
        <v>1772627</v>
      </c>
      <c r="B7342" t="s">
        <v>7738</v>
      </c>
      <c r="C7342" t="str">
        <f>"9781841138893"</f>
        <v>9781841138893</v>
      </c>
      <c r="D7342" t="str">
        <f>"9781847314765"</f>
        <v>9781847314765</v>
      </c>
      <c r="E7342" t="s">
        <v>4180</v>
      </c>
      <c r="F7342" t="s">
        <v>2199</v>
      </c>
      <c r="G7342" s="1">
        <v>39804</v>
      </c>
      <c r="H7342" s="1">
        <v>41876</v>
      </c>
      <c r="I7342" t="s">
        <v>12</v>
      </c>
      <c r="J7342" t="s">
        <v>18112</v>
      </c>
    </row>
    <row r="7343" spans="1:10" x14ac:dyDescent="0.25">
      <c r="A7343">
        <v>1772687</v>
      </c>
      <c r="B7343" t="s">
        <v>7739</v>
      </c>
      <c r="C7343" t="str">
        <f>"9781841134017"</f>
        <v>9781841134017</v>
      </c>
      <c r="D7343" t="str">
        <f>"9781847310392"</f>
        <v>9781847310392</v>
      </c>
      <c r="E7343" t="s">
        <v>4180</v>
      </c>
      <c r="F7343" t="s">
        <v>2199</v>
      </c>
      <c r="G7343" s="1">
        <v>37834</v>
      </c>
      <c r="H7343" s="1">
        <v>41876</v>
      </c>
      <c r="I7343" t="s">
        <v>12</v>
      </c>
      <c r="J7343" t="s">
        <v>18113</v>
      </c>
    </row>
    <row r="7344" spans="1:10" x14ac:dyDescent="0.25">
      <c r="A7344">
        <v>1772693</v>
      </c>
      <c r="B7344" t="s">
        <v>7740</v>
      </c>
      <c r="C7344" t="str">
        <f>"9781841134512"</f>
        <v>9781841134512</v>
      </c>
      <c r="D7344" t="str">
        <f>"9781847312617"</f>
        <v>9781847312617</v>
      </c>
      <c r="E7344" t="s">
        <v>4180</v>
      </c>
      <c r="F7344" t="s">
        <v>2199</v>
      </c>
      <c r="G7344" s="1">
        <v>38716</v>
      </c>
      <c r="H7344" s="1">
        <v>41876</v>
      </c>
      <c r="I7344" t="s">
        <v>12</v>
      </c>
      <c r="J7344" t="s">
        <v>18114</v>
      </c>
    </row>
    <row r="7345" spans="1:10" x14ac:dyDescent="0.25">
      <c r="A7345">
        <v>1772698</v>
      </c>
      <c r="B7345" t="s">
        <v>7741</v>
      </c>
      <c r="C7345" t="str">
        <f>"9781841135250"</f>
        <v>9781841135250</v>
      </c>
      <c r="D7345" t="str">
        <f>"9781847313492"</f>
        <v>9781847313492</v>
      </c>
      <c r="E7345" t="s">
        <v>1400</v>
      </c>
      <c r="F7345" t="s">
        <v>2199</v>
      </c>
      <c r="G7345" s="1">
        <v>39122</v>
      </c>
      <c r="H7345" s="1">
        <v>42094</v>
      </c>
      <c r="I7345" t="s">
        <v>12</v>
      </c>
      <c r="J7345" t="s">
        <v>18115</v>
      </c>
    </row>
    <row r="7346" spans="1:10" x14ac:dyDescent="0.25">
      <c r="A7346">
        <v>1772705</v>
      </c>
      <c r="B7346" t="s">
        <v>7742</v>
      </c>
      <c r="C7346" t="str">
        <f>"9781841136530"</f>
        <v>9781841136530</v>
      </c>
      <c r="D7346" t="str">
        <f>"9781847312761"</f>
        <v>9781847312761</v>
      </c>
      <c r="E7346" t="s">
        <v>4180</v>
      </c>
      <c r="F7346" t="s">
        <v>2199</v>
      </c>
      <c r="G7346" s="1">
        <v>38961</v>
      </c>
      <c r="H7346" s="1">
        <v>42326</v>
      </c>
      <c r="I7346" t="s">
        <v>12</v>
      </c>
      <c r="J7346" t="s">
        <v>18116</v>
      </c>
    </row>
    <row r="7347" spans="1:10" x14ac:dyDescent="0.25">
      <c r="A7347">
        <v>1772727</v>
      </c>
      <c r="B7347" t="s">
        <v>7743</v>
      </c>
      <c r="C7347" t="str">
        <f>"9781841134826"</f>
        <v>9781841134826</v>
      </c>
      <c r="D7347" t="str">
        <f>"9781847310248"</f>
        <v>9781847310248</v>
      </c>
      <c r="E7347" t="s">
        <v>4180</v>
      </c>
      <c r="F7347" t="s">
        <v>2199</v>
      </c>
      <c r="G7347" s="1">
        <v>38292</v>
      </c>
      <c r="H7347" s="1">
        <v>41876</v>
      </c>
      <c r="I7347" t="s">
        <v>12</v>
      </c>
      <c r="J7347" t="s">
        <v>18117</v>
      </c>
    </row>
    <row r="7348" spans="1:10" x14ac:dyDescent="0.25">
      <c r="A7348">
        <v>1772728</v>
      </c>
      <c r="B7348" t="s">
        <v>7744</v>
      </c>
      <c r="C7348" t="str">
        <f>"9781841133591"</f>
        <v>9781841133591</v>
      </c>
      <c r="D7348" t="str">
        <f>"9781847310330"</f>
        <v>9781847310330</v>
      </c>
      <c r="E7348" t="s">
        <v>4180</v>
      </c>
      <c r="F7348" t="s">
        <v>2199</v>
      </c>
      <c r="G7348" s="1">
        <v>38078</v>
      </c>
      <c r="H7348" s="1">
        <v>42326</v>
      </c>
      <c r="I7348" t="s">
        <v>12</v>
      </c>
      <c r="J7348" t="s">
        <v>18118</v>
      </c>
    </row>
    <row r="7349" spans="1:10" x14ac:dyDescent="0.25">
      <c r="A7349">
        <v>1772755</v>
      </c>
      <c r="B7349" t="s">
        <v>7745</v>
      </c>
      <c r="C7349" t="str">
        <f>"9781841137247"</f>
        <v>9781841137247</v>
      </c>
      <c r="D7349" t="str">
        <f>"9781847314956"</f>
        <v>9781847314956</v>
      </c>
      <c r="E7349" t="s">
        <v>4180</v>
      </c>
      <c r="F7349" t="s">
        <v>2199</v>
      </c>
      <c r="G7349" s="1">
        <v>39896</v>
      </c>
      <c r="H7349" s="1">
        <v>42326</v>
      </c>
      <c r="I7349" t="s">
        <v>12</v>
      </c>
      <c r="J7349" t="s">
        <v>18119</v>
      </c>
    </row>
    <row r="7350" spans="1:10" x14ac:dyDescent="0.25">
      <c r="A7350">
        <v>1772832</v>
      </c>
      <c r="B7350" t="s">
        <v>7746</v>
      </c>
      <c r="C7350" t="str">
        <f>"9781841133119"</f>
        <v>9781841133119</v>
      </c>
      <c r="D7350" t="str">
        <f>"9781847310781"</f>
        <v>9781847310781</v>
      </c>
      <c r="E7350" t="s">
        <v>4180</v>
      </c>
      <c r="F7350" t="s">
        <v>2199</v>
      </c>
      <c r="G7350" s="1">
        <v>38808</v>
      </c>
      <c r="H7350" s="1">
        <v>42326</v>
      </c>
      <c r="I7350" t="s">
        <v>12</v>
      </c>
      <c r="J7350" t="s">
        <v>18120</v>
      </c>
    </row>
    <row r="7351" spans="1:10" x14ac:dyDescent="0.25">
      <c r="A7351">
        <v>1773456</v>
      </c>
      <c r="B7351" t="s">
        <v>7747</v>
      </c>
      <c r="C7351" t="str">
        <f>"9780826126665"</f>
        <v>9780826126665</v>
      </c>
      <c r="D7351" t="str">
        <f>"9780826126672"</f>
        <v>9780826126672</v>
      </c>
      <c r="E7351" t="s">
        <v>3016</v>
      </c>
      <c r="F7351" t="s">
        <v>3016</v>
      </c>
      <c r="G7351" s="1">
        <v>41869</v>
      </c>
      <c r="H7351" s="1">
        <v>41878</v>
      </c>
      <c r="I7351" t="s">
        <v>12</v>
      </c>
      <c r="J7351" t="s">
        <v>18121</v>
      </c>
    </row>
    <row r="7352" spans="1:10" x14ac:dyDescent="0.25">
      <c r="A7352">
        <v>1778891</v>
      </c>
      <c r="B7352" t="s">
        <v>7748</v>
      </c>
      <c r="C7352" t="str">
        <f>"9781841136790"</f>
        <v>9781841136790</v>
      </c>
      <c r="D7352" t="str">
        <f>"9781847313447"</f>
        <v>9781847313447</v>
      </c>
      <c r="E7352" t="s">
        <v>4180</v>
      </c>
      <c r="F7352" t="s">
        <v>2199</v>
      </c>
      <c r="G7352" s="1">
        <v>39108</v>
      </c>
      <c r="H7352" s="1">
        <v>41913</v>
      </c>
      <c r="I7352" t="s">
        <v>12</v>
      </c>
      <c r="J7352" t="s">
        <v>18122</v>
      </c>
    </row>
    <row r="7353" spans="1:10" x14ac:dyDescent="0.25">
      <c r="A7353">
        <v>1780103</v>
      </c>
      <c r="B7353" t="s">
        <v>7749</v>
      </c>
      <c r="C7353" t="str">
        <f>"9780803227804"</f>
        <v>9780803227804</v>
      </c>
      <c r="D7353" t="str">
        <f>"9780803276963"</f>
        <v>9780803276963</v>
      </c>
      <c r="E7353" t="s">
        <v>2735</v>
      </c>
      <c r="F7353" t="s">
        <v>2728</v>
      </c>
      <c r="G7353" s="1">
        <v>41883</v>
      </c>
      <c r="H7353" s="1">
        <v>41883</v>
      </c>
      <c r="I7353" t="s">
        <v>12</v>
      </c>
      <c r="J7353" t="s">
        <v>18123</v>
      </c>
    </row>
    <row r="7354" spans="1:10" x14ac:dyDescent="0.25">
      <c r="A7354">
        <v>1782680</v>
      </c>
      <c r="B7354" t="s">
        <v>7750</v>
      </c>
      <c r="C7354" t="str">
        <f>"9780739196588"</f>
        <v>9780739196588</v>
      </c>
      <c r="D7354" t="str">
        <f>"9780739196595"</f>
        <v>9780739196595</v>
      </c>
      <c r="E7354" t="s">
        <v>6256</v>
      </c>
      <c r="F7354" t="s">
        <v>6256</v>
      </c>
      <c r="G7354" s="1">
        <v>41891</v>
      </c>
      <c r="H7354" s="1">
        <v>41894</v>
      </c>
      <c r="I7354" t="s">
        <v>12</v>
      </c>
      <c r="J7354" t="s">
        <v>18124</v>
      </c>
    </row>
    <row r="7355" spans="1:10" x14ac:dyDescent="0.25">
      <c r="A7355">
        <v>1784522</v>
      </c>
      <c r="B7355" t="s">
        <v>7751</v>
      </c>
      <c r="C7355" t="str">
        <f>"9780826129932"</f>
        <v>9780826129932</v>
      </c>
      <c r="D7355" t="str">
        <f>"9780826129949"</f>
        <v>9780826129949</v>
      </c>
      <c r="E7355" t="s">
        <v>3016</v>
      </c>
      <c r="F7355" t="s">
        <v>3016</v>
      </c>
      <c r="G7355" s="1">
        <v>41908</v>
      </c>
      <c r="H7355" s="1">
        <v>42331</v>
      </c>
      <c r="I7355" t="s">
        <v>12</v>
      </c>
      <c r="J7355" t="s">
        <v>18125</v>
      </c>
    </row>
    <row r="7356" spans="1:10" x14ac:dyDescent="0.25">
      <c r="A7356">
        <v>1794540</v>
      </c>
      <c r="B7356" t="s">
        <v>7752</v>
      </c>
      <c r="C7356" t="str">
        <f>"9781472509949"</f>
        <v>9781472509949</v>
      </c>
      <c r="D7356" t="str">
        <f>"9781472511614"</f>
        <v>9781472511614</v>
      </c>
      <c r="E7356" t="s">
        <v>4180</v>
      </c>
      <c r="F7356" t="s">
        <v>6461</v>
      </c>
      <c r="G7356" s="1">
        <v>42047</v>
      </c>
      <c r="H7356" s="1">
        <v>41907</v>
      </c>
      <c r="I7356" t="s">
        <v>12</v>
      </c>
      <c r="J7356" t="s">
        <v>18126</v>
      </c>
    </row>
    <row r="7357" spans="1:10" x14ac:dyDescent="0.25">
      <c r="A7357">
        <v>1809029</v>
      </c>
      <c r="B7357" t="s">
        <v>7753</v>
      </c>
      <c r="C7357" t="str">
        <f>"9780826119049"</f>
        <v>9780826119049</v>
      </c>
      <c r="D7357" t="str">
        <f>"9780826119056"</f>
        <v>9780826119056</v>
      </c>
      <c r="E7357" t="s">
        <v>3016</v>
      </c>
      <c r="F7357" t="s">
        <v>3016</v>
      </c>
      <c r="G7357" s="1">
        <v>41940</v>
      </c>
      <c r="H7357" s="1">
        <v>42331</v>
      </c>
      <c r="I7357" t="s">
        <v>12</v>
      </c>
      <c r="J7357" t="s">
        <v>18127</v>
      </c>
    </row>
    <row r="7358" spans="1:10" x14ac:dyDescent="0.25">
      <c r="A7358">
        <v>1809653</v>
      </c>
      <c r="B7358" t="s">
        <v>7754</v>
      </c>
      <c r="C7358" t="str">
        <f>"9780739186558"</f>
        <v>9780739186558</v>
      </c>
      <c r="D7358" t="str">
        <f>"9780739186565"</f>
        <v>9780739186565</v>
      </c>
      <c r="E7358" t="s">
        <v>6256</v>
      </c>
      <c r="F7358" t="s">
        <v>6256</v>
      </c>
      <c r="G7358" s="1">
        <v>41908</v>
      </c>
      <c r="H7358" s="1">
        <v>41953</v>
      </c>
      <c r="I7358" t="s">
        <v>12</v>
      </c>
      <c r="J7358" t="s">
        <v>18128</v>
      </c>
    </row>
    <row r="7359" spans="1:10" x14ac:dyDescent="0.25">
      <c r="A7359">
        <v>1815866</v>
      </c>
      <c r="B7359" t="s">
        <v>7755</v>
      </c>
      <c r="C7359" t="str">
        <f>"9781784530655"</f>
        <v>9781784530655</v>
      </c>
      <c r="D7359" t="str">
        <f>"9780857737403"</f>
        <v>9780857737403</v>
      </c>
      <c r="E7359" t="s">
        <v>6867</v>
      </c>
      <c r="F7359" t="s">
        <v>6867</v>
      </c>
      <c r="G7359" s="1">
        <v>41913</v>
      </c>
      <c r="H7359" s="1">
        <v>42346</v>
      </c>
      <c r="I7359" t="s">
        <v>12</v>
      </c>
      <c r="J7359" t="s">
        <v>18129</v>
      </c>
    </row>
    <row r="7360" spans="1:10" x14ac:dyDescent="0.25">
      <c r="A7360">
        <v>1818081</v>
      </c>
      <c r="B7360" t="s">
        <v>7756</v>
      </c>
      <c r="C7360" t="str">
        <f>"9781784660000"</f>
        <v>9781784660000</v>
      </c>
      <c r="D7360" t="str">
        <f>"9781784660017"</f>
        <v>9781784660017</v>
      </c>
      <c r="E7360" t="s">
        <v>6474</v>
      </c>
      <c r="F7360" t="s">
        <v>6474</v>
      </c>
      <c r="G7360" s="1">
        <v>41883</v>
      </c>
      <c r="H7360" s="1">
        <v>41931</v>
      </c>
      <c r="I7360" t="s">
        <v>12</v>
      </c>
      <c r="J7360" t="s">
        <v>18130</v>
      </c>
    </row>
    <row r="7361" spans="1:10" x14ac:dyDescent="0.25">
      <c r="A7361">
        <v>1820967</v>
      </c>
      <c r="B7361" t="s">
        <v>7757</v>
      </c>
      <c r="C7361" t="str">
        <f>"9781602230514"</f>
        <v>9781602230514</v>
      </c>
      <c r="D7361" t="str">
        <f>"9781602231139"</f>
        <v>9781602231139</v>
      </c>
      <c r="E7361" t="s">
        <v>7758</v>
      </c>
      <c r="F7361" t="s">
        <v>7758</v>
      </c>
      <c r="G7361" s="1">
        <v>40071</v>
      </c>
      <c r="H7361" s="1">
        <v>41933</v>
      </c>
      <c r="I7361" t="s">
        <v>12</v>
      </c>
      <c r="J7361" t="s">
        <v>18131</v>
      </c>
    </row>
    <row r="7362" spans="1:10" x14ac:dyDescent="0.25">
      <c r="A7362">
        <v>1830747</v>
      </c>
      <c r="B7362" t="s">
        <v>7759</v>
      </c>
      <c r="C7362" t="str">
        <f>"9780863723100"</f>
        <v>9780863723100</v>
      </c>
      <c r="D7362" t="str">
        <f>"9780863725517"</f>
        <v>9780863725517</v>
      </c>
      <c r="E7362" t="s">
        <v>7701</v>
      </c>
      <c r="F7362" t="s">
        <v>7704</v>
      </c>
      <c r="G7362" s="1">
        <v>39052</v>
      </c>
      <c r="H7362" s="1">
        <v>41946</v>
      </c>
      <c r="I7362" t="s">
        <v>12</v>
      </c>
      <c r="J7362" t="s">
        <v>18132</v>
      </c>
    </row>
    <row r="7363" spans="1:10" x14ac:dyDescent="0.25">
      <c r="A7363">
        <v>1832603</v>
      </c>
      <c r="B7363" t="s">
        <v>7760</v>
      </c>
      <c r="C7363" t="str">
        <f>"9781442218260"</f>
        <v>9781442218260</v>
      </c>
      <c r="D7363" t="str">
        <f>"9781442218284"</f>
        <v>9781442218284</v>
      </c>
      <c r="E7363" t="s">
        <v>6253</v>
      </c>
      <c r="F7363" t="s">
        <v>6253</v>
      </c>
      <c r="G7363" s="1">
        <v>41928</v>
      </c>
      <c r="H7363" s="1">
        <v>41953</v>
      </c>
      <c r="I7363" t="s">
        <v>12</v>
      </c>
      <c r="J7363" t="s">
        <v>18133</v>
      </c>
    </row>
    <row r="7364" spans="1:10" x14ac:dyDescent="0.25">
      <c r="A7364">
        <v>1832611</v>
      </c>
      <c r="B7364" t="s">
        <v>7761</v>
      </c>
      <c r="C7364" t="str">
        <f>"9781442235861"</f>
        <v>9781442235861</v>
      </c>
      <c r="D7364" t="str">
        <f>"9781442235878"</f>
        <v>9781442235878</v>
      </c>
      <c r="E7364" t="s">
        <v>6253</v>
      </c>
      <c r="F7364" t="s">
        <v>6253</v>
      </c>
      <c r="G7364" s="1">
        <v>41928</v>
      </c>
      <c r="H7364" s="1">
        <v>41953</v>
      </c>
      <c r="I7364" t="s">
        <v>12</v>
      </c>
      <c r="J7364" t="s">
        <v>18134</v>
      </c>
    </row>
    <row r="7365" spans="1:10" x14ac:dyDescent="0.25">
      <c r="A7365">
        <v>1833879</v>
      </c>
      <c r="B7365" t="s">
        <v>7762</v>
      </c>
      <c r="C7365" t="str">
        <f>"9780826196453"</f>
        <v>9780826196453</v>
      </c>
      <c r="D7365" t="str">
        <f>"9780826196422"</f>
        <v>9780826196422</v>
      </c>
      <c r="E7365" t="s">
        <v>3016</v>
      </c>
      <c r="F7365" t="s">
        <v>3016</v>
      </c>
      <c r="G7365" s="1">
        <v>41950</v>
      </c>
      <c r="H7365" s="1">
        <v>42344</v>
      </c>
      <c r="I7365" t="s">
        <v>12</v>
      </c>
      <c r="J7365" t="s">
        <v>18135</v>
      </c>
    </row>
    <row r="7366" spans="1:10" x14ac:dyDescent="0.25">
      <c r="A7366">
        <v>1840030</v>
      </c>
      <c r="B7366" t="s">
        <v>7763</v>
      </c>
      <c r="C7366" t="str">
        <f>"9781472525499"</f>
        <v>9781472525499</v>
      </c>
      <c r="D7366" t="str">
        <f>"9781472558084"</f>
        <v>9781472558084</v>
      </c>
      <c r="E7366" t="s">
        <v>4180</v>
      </c>
      <c r="F7366" t="s">
        <v>6461</v>
      </c>
      <c r="G7366" s="1">
        <v>42047</v>
      </c>
      <c r="H7366" s="1">
        <v>41993</v>
      </c>
      <c r="I7366" t="s">
        <v>12</v>
      </c>
      <c r="J7366" t="s">
        <v>18136</v>
      </c>
    </row>
    <row r="7367" spans="1:10" x14ac:dyDescent="0.25">
      <c r="A7367">
        <v>1864140</v>
      </c>
      <c r="B7367" t="s">
        <v>7764</v>
      </c>
      <c r="C7367" t="str">
        <f>"9781498507103"</f>
        <v>9781498507103</v>
      </c>
      <c r="D7367" t="str">
        <f>"9781498507110"</f>
        <v>9781498507110</v>
      </c>
      <c r="E7367" t="s">
        <v>6256</v>
      </c>
      <c r="F7367" t="s">
        <v>6256</v>
      </c>
      <c r="G7367" s="1">
        <v>41956</v>
      </c>
      <c r="H7367" s="1">
        <v>41963</v>
      </c>
      <c r="I7367" t="s">
        <v>12</v>
      </c>
      <c r="J7367" t="s">
        <v>18137</v>
      </c>
    </row>
    <row r="7368" spans="1:10" x14ac:dyDescent="0.25">
      <c r="A7368">
        <v>1865495</v>
      </c>
      <c r="B7368" t="s">
        <v>7765</v>
      </c>
      <c r="C7368" t="str">
        <f>"9780739199664"</f>
        <v>9780739199664</v>
      </c>
      <c r="D7368" t="str">
        <f>"9780739199671"</f>
        <v>9780739199671</v>
      </c>
      <c r="E7368" t="s">
        <v>6256</v>
      </c>
      <c r="F7368" t="s">
        <v>6256</v>
      </c>
      <c r="G7368" s="1">
        <v>41955</v>
      </c>
      <c r="H7368" s="1">
        <v>41964</v>
      </c>
      <c r="I7368" t="s">
        <v>12</v>
      </c>
      <c r="J7368" t="s">
        <v>18138</v>
      </c>
    </row>
    <row r="7369" spans="1:10" x14ac:dyDescent="0.25">
      <c r="A7369">
        <v>1868773</v>
      </c>
      <c r="B7369" t="s">
        <v>7766</v>
      </c>
      <c r="C7369" t="str">
        <f>"9780826495068"</f>
        <v>9780826495068</v>
      </c>
      <c r="D7369" t="str">
        <f>"9781441199225"</f>
        <v>9781441199225</v>
      </c>
      <c r="E7369" t="s">
        <v>4180</v>
      </c>
      <c r="F7369" t="s">
        <v>4180</v>
      </c>
      <c r="G7369" s="1">
        <v>40290</v>
      </c>
      <c r="H7369" s="1">
        <v>41993</v>
      </c>
      <c r="I7369" t="s">
        <v>12</v>
      </c>
      <c r="J7369" t="s">
        <v>18139</v>
      </c>
    </row>
    <row r="7370" spans="1:10" x14ac:dyDescent="0.25">
      <c r="A7370">
        <v>1874268</v>
      </c>
      <c r="B7370" t="s">
        <v>7767</v>
      </c>
      <c r="C7370" t="str">
        <f>"9781442237391"</f>
        <v>9781442237391</v>
      </c>
      <c r="D7370" t="str">
        <f>"9781442237407"</f>
        <v>9781442237407</v>
      </c>
      <c r="E7370" t="s">
        <v>6253</v>
      </c>
      <c r="F7370" t="s">
        <v>6253</v>
      </c>
      <c r="G7370" s="1">
        <v>41968</v>
      </c>
      <c r="H7370" s="1">
        <v>41971</v>
      </c>
      <c r="I7370" t="s">
        <v>12</v>
      </c>
      <c r="J7370" t="s">
        <v>18140</v>
      </c>
    </row>
    <row r="7371" spans="1:10" x14ac:dyDescent="0.25">
      <c r="A7371">
        <v>1899931</v>
      </c>
      <c r="B7371" t="s">
        <v>7768</v>
      </c>
      <c r="C7371" t="str">
        <f>"9780765623959"</f>
        <v>9780765623959</v>
      </c>
      <c r="D7371" t="str">
        <f>"9781317452577"</f>
        <v>9781317452577</v>
      </c>
      <c r="E7371" t="s">
        <v>15</v>
      </c>
      <c r="F7371" t="s">
        <v>16</v>
      </c>
      <c r="G7371" s="1">
        <v>40101</v>
      </c>
      <c r="H7371" s="1">
        <v>41992</v>
      </c>
      <c r="I7371" t="s">
        <v>12</v>
      </c>
      <c r="J7371" t="s">
        <v>18141</v>
      </c>
    </row>
    <row r="7372" spans="1:10" x14ac:dyDescent="0.25">
      <c r="A7372">
        <v>1899940</v>
      </c>
      <c r="B7372" t="s">
        <v>7769</v>
      </c>
      <c r="C7372" t="str">
        <f>"9780765617071"</f>
        <v>9780765617071</v>
      </c>
      <c r="D7372" t="str">
        <f>"9781317453864"</f>
        <v>9781317453864</v>
      </c>
      <c r="E7372" t="s">
        <v>15</v>
      </c>
      <c r="F7372" t="s">
        <v>16</v>
      </c>
      <c r="G7372" s="1">
        <v>40101</v>
      </c>
      <c r="H7372" s="1">
        <v>41992</v>
      </c>
      <c r="I7372" t="s">
        <v>12</v>
      </c>
      <c r="J7372" t="s">
        <v>18142</v>
      </c>
    </row>
    <row r="7373" spans="1:10" x14ac:dyDescent="0.25">
      <c r="A7373">
        <v>1899962</v>
      </c>
      <c r="B7373" t="s">
        <v>7770</v>
      </c>
      <c r="C7373" t="str">
        <f>"9780765627766"</f>
        <v>9780765627766</v>
      </c>
      <c r="D7373" t="str">
        <f>"9781317458333"</f>
        <v>9781317458333</v>
      </c>
      <c r="E7373" t="s">
        <v>15</v>
      </c>
      <c r="F7373" t="s">
        <v>16</v>
      </c>
      <c r="G7373" s="1">
        <v>40831</v>
      </c>
      <c r="H7373" s="1">
        <v>42334</v>
      </c>
      <c r="I7373" t="s">
        <v>12</v>
      </c>
      <c r="J7373" t="s">
        <v>18143</v>
      </c>
    </row>
    <row r="7374" spans="1:10" x14ac:dyDescent="0.25">
      <c r="A7374">
        <v>1900065</v>
      </c>
      <c r="B7374" t="s">
        <v>7771</v>
      </c>
      <c r="C7374" t="str">
        <f>"9780765623324"</f>
        <v>9780765623324</v>
      </c>
      <c r="D7374" t="str">
        <f>"9781317470847"</f>
        <v>9781317470847</v>
      </c>
      <c r="E7374" t="s">
        <v>15</v>
      </c>
      <c r="F7374" t="s">
        <v>16</v>
      </c>
      <c r="G7374" s="1">
        <v>39948</v>
      </c>
      <c r="H7374" s="1">
        <v>41992</v>
      </c>
      <c r="I7374" t="s">
        <v>12</v>
      </c>
      <c r="J7374" t="s">
        <v>18144</v>
      </c>
    </row>
    <row r="7375" spans="1:10" x14ac:dyDescent="0.25">
      <c r="A7375">
        <v>1900084</v>
      </c>
      <c r="B7375" t="s">
        <v>7772</v>
      </c>
      <c r="C7375" t="str">
        <f>"9780765617316"</f>
        <v>9780765617316</v>
      </c>
      <c r="D7375" t="str">
        <f>"9781317473305"</f>
        <v>9781317473305</v>
      </c>
      <c r="E7375" t="s">
        <v>15</v>
      </c>
      <c r="F7375" t="s">
        <v>16</v>
      </c>
      <c r="G7375" s="1">
        <v>38913</v>
      </c>
      <c r="H7375" s="1">
        <v>41992</v>
      </c>
      <c r="I7375" t="s">
        <v>12</v>
      </c>
      <c r="J7375" t="s">
        <v>18145</v>
      </c>
    </row>
    <row r="7376" spans="1:10" x14ac:dyDescent="0.25">
      <c r="A7376">
        <v>1900089</v>
      </c>
      <c r="B7376" t="s">
        <v>7773</v>
      </c>
      <c r="C7376" t="str">
        <f>"9780765624000"</f>
        <v>9780765624000</v>
      </c>
      <c r="D7376" t="str">
        <f>"9781317473787"</f>
        <v>9781317473787</v>
      </c>
      <c r="E7376" t="s">
        <v>15</v>
      </c>
      <c r="F7376" t="s">
        <v>16</v>
      </c>
      <c r="G7376" s="1">
        <v>39948</v>
      </c>
      <c r="H7376" s="1">
        <v>41992</v>
      </c>
      <c r="I7376" t="s">
        <v>12</v>
      </c>
      <c r="J7376" t="s">
        <v>18146</v>
      </c>
    </row>
    <row r="7377" spans="1:10" x14ac:dyDescent="0.25">
      <c r="A7377">
        <v>1900108</v>
      </c>
      <c r="B7377" t="s">
        <v>7774</v>
      </c>
      <c r="C7377" t="str">
        <f>"9780765623836"</f>
        <v>9780765623836</v>
      </c>
      <c r="D7377" t="str">
        <f>"9781317477860"</f>
        <v>9781317477860</v>
      </c>
      <c r="E7377" t="s">
        <v>15</v>
      </c>
      <c r="F7377" t="s">
        <v>16</v>
      </c>
      <c r="G7377" s="1">
        <v>40617</v>
      </c>
      <c r="H7377" s="1">
        <v>41992</v>
      </c>
      <c r="I7377" t="s">
        <v>12</v>
      </c>
      <c r="J7377" t="s">
        <v>18147</v>
      </c>
    </row>
    <row r="7378" spans="1:10" x14ac:dyDescent="0.25">
      <c r="A7378">
        <v>1900131</v>
      </c>
      <c r="B7378" t="s">
        <v>7775</v>
      </c>
      <c r="C7378" t="str">
        <f>"9780765623577"</f>
        <v>9780765623577</v>
      </c>
      <c r="D7378" t="str">
        <f>"9781317469193"</f>
        <v>9781317469193</v>
      </c>
      <c r="E7378" t="s">
        <v>15</v>
      </c>
      <c r="F7378" t="s">
        <v>16</v>
      </c>
      <c r="G7378" s="1">
        <v>40101</v>
      </c>
      <c r="H7378" s="1">
        <v>41992</v>
      </c>
      <c r="I7378" t="s">
        <v>12</v>
      </c>
      <c r="J7378" t="s">
        <v>18148</v>
      </c>
    </row>
    <row r="7379" spans="1:10" x14ac:dyDescent="0.25">
      <c r="A7379">
        <v>1900136</v>
      </c>
      <c r="B7379" t="s">
        <v>7776</v>
      </c>
      <c r="C7379" t="str">
        <f>"9780765680983"</f>
        <v>9780765680983</v>
      </c>
      <c r="D7379" t="str">
        <f>"9781317473121"</f>
        <v>9781317473121</v>
      </c>
      <c r="E7379" t="s">
        <v>15</v>
      </c>
      <c r="F7379" t="s">
        <v>16</v>
      </c>
      <c r="G7379" s="1">
        <v>39859</v>
      </c>
      <c r="H7379" s="1">
        <v>41992</v>
      </c>
      <c r="I7379" t="s">
        <v>12</v>
      </c>
      <c r="J7379" t="s">
        <v>18149</v>
      </c>
    </row>
    <row r="7380" spans="1:10" x14ac:dyDescent="0.25">
      <c r="A7380">
        <v>1910213</v>
      </c>
      <c r="B7380" t="s">
        <v>7777</v>
      </c>
      <c r="C7380" t="str">
        <f>"9780826123367"</f>
        <v>9780826123367</v>
      </c>
      <c r="D7380" t="str">
        <f>"9780826123374"</f>
        <v>9780826123374</v>
      </c>
      <c r="E7380" t="s">
        <v>3016</v>
      </c>
      <c r="F7380" t="s">
        <v>3016</v>
      </c>
      <c r="G7380" s="1">
        <v>41975</v>
      </c>
      <c r="H7380" s="1">
        <v>42331</v>
      </c>
      <c r="I7380" t="s">
        <v>12</v>
      </c>
      <c r="J7380" t="s">
        <v>18150</v>
      </c>
    </row>
    <row r="7381" spans="1:10" x14ac:dyDescent="0.25">
      <c r="A7381">
        <v>1915371</v>
      </c>
      <c r="B7381" t="s">
        <v>7778</v>
      </c>
      <c r="C7381" t="str">
        <f>"9780813124483"</f>
        <v>9780813124483</v>
      </c>
      <c r="D7381" t="str">
        <f>"9780813159836"</f>
        <v>9780813159836</v>
      </c>
      <c r="E7381" t="s">
        <v>7202</v>
      </c>
      <c r="F7381" t="s">
        <v>7202</v>
      </c>
      <c r="G7381" s="1">
        <v>39619</v>
      </c>
      <c r="H7381" s="1">
        <v>42015</v>
      </c>
      <c r="I7381" t="s">
        <v>12</v>
      </c>
      <c r="J7381" t="s">
        <v>18151</v>
      </c>
    </row>
    <row r="7382" spans="1:10" x14ac:dyDescent="0.25">
      <c r="A7382">
        <v>1920436</v>
      </c>
      <c r="B7382" t="s">
        <v>7779</v>
      </c>
      <c r="C7382" t="str">
        <f>"9781783093069"</f>
        <v>9781783093069</v>
      </c>
      <c r="D7382" t="str">
        <f>"9781783093076"</f>
        <v>9781783093076</v>
      </c>
      <c r="E7382" t="s">
        <v>886</v>
      </c>
      <c r="F7382" t="s">
        <v>887</v>
      </c>
      <c r="G7382" s="1">
        <v>42016</v>
      </c>
      <c r="H7382" s="1">
        <v>42017</v>
      </c>
      <c r="I7382" t="s">
        <v>12</v>
      </c>
      <c r="J7382" t="s">
        <v>18152</v>
      </c>
    </row>
    <row r="7383" spans="1:10" x14ac:dyDescent="0.25">
      <c r="A7383">
        <v>1921770</v>
      </c>
      <c r="B7383" t="s">
        <v>7780</v>
      </c>
      <c r="C7383" t="str">
        <f>"9780826196538"</f>
        <v>9780826196538</v>
      </c>
      <c r="D7383" t="str">
        <f>"9780826196569"</f>
        <v>9780826196569</v>
      </c>
      <c r="E7383" t="s">
        <v>3016</v>
      </c>
      <c r="F7383" t="s">
        <v>3016</v>
      </c>
      <c r="G7383" s="1">
        <v>42020</v>
      </c>
      <c r="H7383" s="1">
        <v>42331</v>
      </c>
      <c r="I7383" t="s">
        <v>12</v>
      </c>
      <c r="J7383" t="s">
        <v>18153</v>
      </c>
    </row>
    <row r="7384" spans="1:10" x14ac:dyDescent="0.25">
      <c r="A7384">
        <v>1924395</v>
      </c>
      <c r="B7384" t="s">
        <v>7781</v>
      </c>
      <c r="C7384" t="str">
        <f>"9781843923572"</f>
        <v>9781843923572</v>
      </c>
      <c r="D7384" t="str">
        <f>"9781135846282"</f>
        <v>9781135846282</v>
      </c>
      <c r="E7384" t="s">
        <v>5885</v>
      </c>
      <c r="F7384" t="s">
        <v>5885</v>
      </c>
      <c r="G7384" s="1">
        <v>40742</v>
      </c>
      <c r="H7384" s="1">
        <v>42024</v>
      </c>
      <c r="I7384" t="s">
        <v>12</v>
      </c>
      <c r="J7384" t="s">
        <v>18154</v>
      </c>
    </row>
    <row r="7385" spans="1:10" x14ac:dyDescent="0.25">
      <c r="A7385">
        <v>1936902</v>
      </c>
      <c r="B7385" t="s">
        <v>7782</v>
      </c>
      <c r="C7385" t="str">
        <f>"9780863723179"</f>
        <v>9780863723179</v>
      </c>
      <c r="D7385" t="str">
        <f>"9780863720130"</f>
        <v>9780863720130</v>
      </c>
      <c r="E7385" t="s">
        <v>7701</v>
      </c>
      <c r="F7385" t="s">
        <v>7702</v>
      </c>
      <c r="G7385" s="1">
        <v>36161</v>
      </c>
      <c r="H7385" s="1">
        <v>42114</v>
      </c>
      <c r="I7385" t="s">
        <v>12</v>
      </c>
      <c r="J7385" t="s">
        <v>18155</v>
      </c>
    </row>
    <row r="7386" spans="1:10" x14ac:dyDescent="0.25">
      <c r="A7386">
        <v>1951428</v>
      </c>
      <c r="B7386" t="s">
        <v>7783</v>
      </c>
      <c r="C7386" t="str">
        <f>"9789077596562"</f>
        <v>9789077596562</v>
      </c>
      <c r="D7386" t="str">
        <f>"9789077596609"</f>
        <v>9789077596609</v>
      </c>
      <c r="E7386" t="s">
        <v>7784</v>
      </c>
      <c r="F7386" t="s">
        <v>7784</v>
      </c>
      <c r="G7386" s="1">
        <v>39539</v>
      </c>
      <c r="H7386" s="1">
        <v>42045</v>
      </c>
      <c r="I7386" t="s">
        <v>12</v>
      </c>
      <c r="J7386" t="s">
        <v>18156</v>
      </c>
    </row>
    <row r="7387" spans="1:10" x14ac:dyDescent="0.25">
      <c r="A7387">
        <v>1951429</v>
      </c>
      <c r="B7387" t="s">
        <v>7785</v>
      </c>
      <c r="C7387" t="str">
        <f>"9789077596531"</f>
        <v>9789077596531</v>
      </c>
      <c r="D7387" t="str">
        <f>"9789077596593"</f>
        <v>9789077596593</v>
      </c>
      <c r="E7387" t="s">
        <v>7784</v>
      </c>
      <c r="F7387" t="s">
        <v>7784</v>
      </c>
      <c r="G7387" s="1">
        <v>39546</v>
      </c>
      <c r="H7387" s="1">
        <v>42045</v>
      </c>
      <c r="I7387" t="s">
        <v>12</v>
      </c>
      <c r="J7387" t="s">
        <v>18157</v>
      </c>
    </row>
    <row r="7388" spans="1:10" x14ac:dyDescent="0.25">
      <c r="A7388">
        <v>1953173</v>
      </c>
      <c r="B7388" t="s">
        <v>7786</v>
      </c>
      <c r="C7388" t="str">
        <f>"9780826120311"</f>
        <v>9780826120311</v>
      </c>
      <c r="D7388" t="str">
        <f>"9780826120328"</f>
        <v>9780826120328</v>
      </c>
      <c r="E7388" t="s">
        <v>3016</v>
      </c>
      <c r="F7388" t="s">
        <v>3016</v>
      </c>
      <c r="G7388" s="1">
        <v>42055</v>
      </c>
      <c r="H7388" s="1">
        <v>42047</v>
      </c>
      <c r="I7388" t="s">
        <v>12</v>
      </c>
      <c r="J7388" t="s">
        <v>18158</v>
      </c>
    </row>
    <row r="7389" spans="1:10" x14ac:dyDescent="0.25">
      <c r="A7389">
        <v>1961802</v>
      </c>
      <c r="B7389" t="s">
        <v>7787</v>
      </c>
      <c r="C7389" t="str">
        <f>"9780748616954"</f>
        <v>9780748616954</v>
      </c>
      <c r="D7389" t="str">
        <f>"9780748626472"</f>
        <v>9780748626472</v>
      </c>
      <c r="E7389" t="s">
        <v>1942</v>
      </c>
      <c r="F7389" t="s">
        <v>1942</v>
      </c>
      <c r="G7389" s="1">
        <v>39052</v>
      </c>
      <c r="H7389" s="1">
        <v>42054</v>
      </c>
      <c r="I7389" t="s">
        <v>12</v>
      </c>
      <c r="J7389" t="s">
        <v>18159</v>
      </c>
    </row>
    <row r="7390" spans="1:10" x14ac:dyDescent="0.25">
      <c r="A7390">
        <v>1961863</v>
      </c>
      <c r="B7390" t="s">
        <v>7788</v>
      </c>
      <c r="C7390" t="str">
        <f>"9780748628018"</f>
        <v>9780748628018</v>
      </c>
      <c r="D7390" t="str">
        <f>"9780748631834"</f>
        <v>9780748631834</v>
      </c>
      <c r="E7390" t="s">
        <v>1942</v>
      </c>
      <c r="F7390" t="s">
        <v>1942</v>
      </c>
      <c r="G7390" s="1">
        <v>40148</v>
      </c>
      <c r="H7390" s="1">
        <v>42054</v>
      </c>
      <c r="I7390" t="s">
        <v>12</v>
      </c>
      <c r="J7390" t="s">
        <v>18160</v>
      </c>
    </row>
    <row r="7391" spans="1:10" x14ac:dyDescent="0.25">
      <c r="A7391">
        <v>1961865</v>
      </c>
      <c r="B7391" t="s">
        <v>7789</v>
      </c>
      <c r="C7391" t="str">
        <f>"9780748617500"</f>
        <v>9780748617500</v>
      </c>
      <c r="D7391" t="str">
        <f>"9780748626533"</f>
        <v>9780748626533</v>
      </c>
      <c r="E7391" t="s">
        <v>1942</v>
      </c>
      <c r="F7391" t="s">
        <v>1942</v>
      </c>
      <c r="G7391" s="1">
        <v>39052</v>
      </c>
      <c r="H7391" s="1">
        <v>42054</v>
      </c>
      <c r="I7391" t="s">
        <v>12</v>
      </c>
      <c r="J7391" t="s">
        <v>18161</v>
      </c>
    </row>
    <row r="7392" spans="1:10" x14ac:dyDescent="0.25">
      <c r="A7392">
        <v>1961866</v>
      </c>
      <c r="B7392" t="s">
        <v>7790</v>
      </c>
      <c r="C7392" t="str">
        <f>"9780748620418"</f>
        <v>9780748620418</v>
      </c>
      <c r="D7392" t="str">
        <f>"9780748626373"</f>
        <v>9780748626373</v>
      </c>
      <c r="E7392" t="s">
        <v>1942</v>
      </c>
      <c r="F7392" t="s">
        <v>1942</v>
      </c>
      <c r="G7392" s="1">
        <v>38706</v>
      </c>
      <c r="H7392" s="1">
        <v>42054</v>
      </c>
      <c r="I7392" t="s">
        <v>12</v>
      </c>
      <c r="J7392" t="s">
        <v>18162</v>
      </c>
    </row>
    <row r="7393" spans="1:10" x14ac:dyDescent="0.25">
      <c r="A7393">
        <v>1961907</v>
      </c>
      <c r="B7393" t="s">
        <v>7791</v>
      </c>
      <c r="C7393" t="str">
        <f>"9780748621118"</f>
        <v>9780748621118</v>
      </c>
      <c r="D7393" t="str">
        <f>"9780748626892"</f>
        <v>9780748626892</v>
      </c>
      <c r="E7393" t="s">
        <v>1942</v>
      </c>
      <c r="F7393" t="s">
        <v>1942</v>
      </c>
      <c r="G7393" s="1">
        <v>39052</v>
      </c>
      <c r="H7393" s="1">
        <v>42054</v>
      </c>
      <c r="I7393" t="s">
        <v>12</v>
      </c>
      <c r="J7393" t="s">
        <v>18163</v>
      </c>
    </row>
    <row r="7394" spans="1:10" x14ac:dyDescent="0.25">
      <c r="A7394">
        <v>1962004</v>
      </c>
      <c r="B7394" t="s">
        <v>7792</v>
      </c>
      <c r="C7394" t="str">
        <f>"9780748624492"</f>
        <v>9780748624492</v>
      </c>
      <c r="D7394" t="str">
        <f>"9780748626793"</f>
        <v>9780748626793</v>
      </c>
      <c r="E7394" t="s">
        <v>1942</v>
      </c>
      <c r="F7394" t="s">
        <v>1942</v>
      </c>
      <c r="G7394" s="1">
        <v>39052</v>
      </c>
      <c r="H7394" s="1">
        <v>42054</v>
      </c>
      <c r="I7394" t="s">
        <v>12</v>
      </c>
      <c r="J7394" t="s">
        <v>18164</v>
      </c>
    </row>
    <row r="7395" spans="1:10" x14ac:dyDescent="0.25">
      <c r="A7395">
        <v>1962040</v>
      </c>
      <c r="B7395" t="s">
        <v>7793</v>
      </c>
      <c r="C7395" t="str">
        <f>"9780748640157"</f>
        <v>9780748640157</v>
      </c>
      <c r="D7395" t="str">
        <f>"9780748641673"</f>
        <v>9780748641673</v>
      </c>
      <c r="E7395" t="s">
        <v>1942</v>
      </c>
      <c r="F7395" t="s">
        <v>1942</v>
      </c>
      <c r="G7395" s="1">
        <v>40237</v>
      </c>
      <c r="H7395" s="1">
        <v>42054</v>
      </c>
      <c r="I7395" t="s">
        <v>12</v>
      </c>
      <c r="J7395" t="s">
        <v>18165</v>
      </c>
    </row>
    <row r="7396" spans="1:10" x14ac:dyDescent="0.25">
      <c r="A7396">
        <v>1962057</v>
      </c>
      <c r="B7396" t="s">
        <v>7794</v>
      </c>
      <c r="C7396" t="str">
        <f>"9780748620371"</f>
        <v>9780748620371</v>
      </c>
      <c r="D7396" t="str">
        <f>"9780748626717"</f>
        <v>9780748626717</v>
      </c>
      <c r="E7396" t="s">
        <v>1942</v>
      </c>
      <c r="F7396" t="s">
        <v>1942</v>
      </c>
      <c r="G7396" s="1">
        <v>39052</v>
      </c>
      <c r="H7396" s="1">
        <v>42054</v>
      </c>
      <c r="I7396" t="s">
        <v>12</v>
      </c>
      <c r="J7396" t="s">
        <v>18166</v>
      </c>
    </row>
    <row r="7397" spans="1:10" x14ac:dyDescent="0.25">
      <c r="A7397">
        <v>1962129</v>
      </c>
      <c r="B7397" t="s">
        <v>7795</v>
      </c>
      <c r="C7397" t="str">
        <f>"9780748625857"</f>
        <v>9780748625857</v>
      </c>
      <c r="D7397" t="str">
        <f>"9780748631247"</f>
        <v>9780748631247</v>
      </c>
      <c r="E7397" t="s">
        <v>1942</v>
      </c>
      <c r="F7397" t="s">
        <v>1942</v>
      </c>
      <c r="G7397" s="1">
        <v>39783</v>
      </c>
      <c r="H7397" s="1">
        <v>42054</v>
      </c>
      <c r="I7397" t="s">
        <v>12</v>
      </c>
      <c r="J7397" t="s">
        <v>18167</v>
      </c>
    </row>
    <row r="7398" spans="1:10" x14ac:dyDescent="0.25">
      <c r="A7398">
        <v>1962141</v>
      </c>
      <c r="B7398" t="s">
        <v>7796</v>
      </c>
      <c r="C7398" t="str">
        <f>"9780748616503"</f>
        <v>9780748616503</v>
      </c>
      <c r="D7398" t="str">
        <f>"9780748628728"</f>
        <v>9780748628728</v>
      </c>
      <c r="E7398" t="s">
        <v>1942</v>
      </c>
      <c r="F7398" t="s">
        <v>1942</v>
      </c>
      <c r="G7398" s="1">
        <v>39417</v>
      </c>
      <c r="H7398" s="1">
        <v>42054</v>
      </c>
      <c r="I7398" t="s">
        <v>12</v>
      </c>
      <c r="J7398" t="s">
        <v>18168</v>
      </c>
    </row>
    <row r="7399" spans="1:10" x14ac:dyDescent="0.25">
      <c r="A7399">
        <v>1962154</v>
      </c>
      <c r="B7399" t="s">
        <v>7797</v>
      </c>
      <c r="C7399" t="str">
        <f>"9780748620982"</f>
        <v>9780748620982</v>
      </c>
      <c r="D7399" t="str">
        <f>"9780748629305"</f>
        <v>9780748629305</v>
      </c>
      <c r="E7399" t="s">
        <v>1942</v>
      </c>
      <c r="F7399" t="s">
        <v>2789</v>
      </c>
      <c r="G7399" s="1">
        <v>39417</v>
      </c>
      <c r="H7399" s="1">
        <v>42054</v>
      </c>
      <c r="I7399" t="s">
        <v>12</v>
      </c>
      <c r="J7399" t="s">
        <v>18169</v>
      </c>
    </row>
    <row r="7400" spans="1:10" x14ac:dyDescent="0.25">
      <c r="A7400">
        <v>1962201</v>
      </c>
      <c r="B7400" t="s">
        <v>7798</v>
      </c>
      <c r="C7400" t="str">
        <f>"9780748625598"</f>
        <v>9780748625598</v>
      </c>
      <c r="D7400" t="str">
        <f>"9780748631971"</f>
        <v>9780748631971</v>
      </c>
      <c r="E7400" t="s">
        <v>1942</v>
      </c>
      <c r="F7400" t="s">
        <v>2789</v>
      </c>
      <c r="G7400" s="1">
        <v>40148</v>
      </c>
      <c r="H7400" s="1">
        <v>42054</v>
      </c>
      <c r="I7400" t="s">
        <v>12</v>
      </c>
      <c r="J7400" t="s">
        <v>18170</v>
      </c>
    </row>
    <row r="7401" spans="1:10" x14ac:dyDescent="0.25">
      <c r="A7401">
        <v>1962222</v>
      </c>
      <c r="B7401" t="s">
        <v>7799</v>
      </c>
      <c r="C7401" t="str">
        <f>"9780748620326"</f>
        <v>9780748620326</v>
      </c>
      <c r="D7401" t="str">
        <f>"9780748626830"</f>
        <v>9780748626830</v>
      </c>
      <c r="E7401" t="s">
        <v>1942</v>
      </c>
      <c r="F7401" t="s">
        <v>1942</v>
      </c>
      <c r="G7401" s="1">
        <v>39052</v>
      </c>
      <c r="H7401" s="1">
        <v>42054</v>
      </c>
      <c r="I7401" t="s">
        <v>12</v>
      </c>
      <c r="J7401" t="s">
        <v>18171</v>
      </c>
    </row>
    <row r="7402" spans="1:10" x14ac:dyDescent="0.25">
      <c r="A7402">
        <v>1962257</v>
      </c>
      <c r="B7402" t="s">
        <v>7800</v>
      </c>
      <c r="C7402" t="str">
        <f>"9780748621392"</f>
        <v>9780748621392</v>
      </c>
      <c r="D7402" t="str">
        <f>"9780748626205"</f>
        <v>9780748626205</v>
      </c>
      <c r="E7402" t="s">
        <v>1942</v>
      </c>
      <c r="F7402" t="s">
        <v>1942</v>
      </c>
      <c r="G7402" s="1">
        <v>38687</v>
      </c>
      <c r="H7402" s="1">
        <v>42054</v>
      </c>
      <c r="I7402" t="s">
        <v>12</v>
      </c>
      <c r="J7402" t="s">
        <v>18172</v>
      </c>
    </row>
    <row r="7403" spans="1:10" x14ac:dyDescent="0.25">
      <c r="A7403">
        <v>1962265</v>
      </c>
      <c r="B7403" t="s">
        <v>7801</v>
      </c>
      <c r="C7403" t="str">
        <f>"9780748625017"</f>
        <v>9780748625017</v>
      </c>
      <c r="D7403" t="str">
        <f>"9780748630691"</f>
        <v>9780748630691</v>
      </c>
      <c r="E7403" t="s">
        <v>1942</v>
      </c>
      <c r="F7403" t="s">
        <v>1942</v>
      </c>
      <c r="G7403" s="1">
        <v>39783</v>
      </c>
      <c r="H7403" s="1">
        <v>42054</v>
      </c>
      <c r="I7403" t="s">
        <v>12</v>
      </c>
      <c r="J7403" t="s">
        <v>18173</v>
      </c>
    </row>
    <row r="7404" spans="1:10" x14ac:dyDescent="0.25">
      <c r="A7404">
        <v>1962285</v>
      </c>
      <c r="B7404" t="s">
        <v>7802</v>
      </c>
      <c r="C7404" t="str">
        <f>"9780748622238"</f>
        <v>9780748622238</v>
      </c>
      <c r="D7404" t="str">
        <f>"9780748626663"</f>
        <v>9780748626663</v>
      </c>
      <c r="E7404" t="s">
        <v>1942</v>
      </c>
      <c r="F7404" t="s">
        <v>1942</v>
      </c>
      <c r="G7404" s="1">
        <v>39052</v>
      </c>
      <c r="H7404" s="1">
        <v>42054</v>
      </c>
      <c r="I7404" t="s">
        <v>12</v>
      </c>
      <c r="J7404" t="s">
        <v>18174</v>
      </c>
    </row>
    <row r="7405" spans="1:10" x14ac:dyDescent="0.25">
      <c r="A7405">
        <v>1962305</v>
      </c>
      <c r="B7405" t="s">
        <v>7803</v>
      </c>
      <c r="C7405" t="str">
        <f>"9780748622627"</f>
        <v>9780748622627</v>
      </c>
      <c r="D7405" t="str">
        <f>"9780748626670"</f>
        <v>9780748626670</v>
      </c>
      <c r="E7405" t="s">
        <v>1942</v>
      </c>
      <c r="F7405" t="s">
        <v>1942</v>
      </c>
      <c r="G7405" s="1">
        <v>39052</v>
      </c>
      <c r="H7405" s="1">
        <v>42054</v>
      </c>
      <c r="I7405" t="s">
        <v>12</v>
      </c>
      <c r="J7405" t="s">
        <v>18175</v>
      </c>
    </row>
    <row r="7406" spans="1:10" x14ac:dyDescent="0.25">
      <c r="A7406">
        <v>1962331</v>
      </c>
      <c r="B7406" t="s">
        <v>7804</v>
      </c>
      <c r="C7406" t="str">
        <f>"9780748620715"</f>
        <v>9780748620715</v>
      </c>
      <c r="D7406" t="str">
        <f>"9780748629282"</f>
        <v>9780748629282</v>
      </c>
      <c r="E7406" t="s">
        <v>1942</v>
      </c>
      <c r="F7406" t="s">
        <v>1942</v>
      </c>
      <c r="G7406" s="1">
        <v>39417</v>
      </c>
      <c r="H7406" s="1">
        <v>42054</v>
      </c>
      <c r="I7406" t="s">
        <v>12</v>
      </c>
      <c r="J7406" t="s">
        <v>18176</v>
      </c>
    </row>
    <row r="7407" spans="1:10" x14ac:dyDescent="0.25">
      <c r="A7407">
        <v>1962334</v>
      </c>
      <c r="B7407" t="s">
        <v>7805</v>
      </c>
      <c r="C7407" t="str">
        <f>"9780748625345"</f>
        <v>9780748625345</v>
      </c>
      <c r="D7407" t="str">
        <f>"9780748630905"</f>
        <v>9780748630905</v>
      </c>
      <c r="E7407" t="s">
        <v>1942</v>
      </c>
      <c r="F7407" t="s">
        <v>1942</v>
      </c>
      <c r="G7407" s="1">
        <v>39417</v>
      </c>
      <c r="H7407" s="1">
        <v>42054</v>
      </c>
      <c r="I7407" t="s">
        <v>12</v>
      </c>
      <c r="J7407" t="s">
        <v>18177</v>
      </c>
    </row>
    <row r="7408" spans="1:10" x14ac:dyDescent="0.25">
      <c r="A7408">
        <v>1968914</v>
      </c>
      <c r="B7408" t="s">
        <v>7806</v>
      </c>
      <c r="C7408" t="str">
        <f>"9780765613028"</f>
        <v>9780765613028</v>
      </c>
      <c r="D7408" t="str">
        <f>"9781317469162"</f>
        <v>9781317469162</v>
      </c>
      <c r="E7408" t="s">
        <v>15</v>
      </c>
      <c r="F7408" t="s">
        <v>16</v>
      </c>
      <c r="G7408" s="1">
        <v>38913</v>
      </c>
      <c r="H7408" s="1">
        <v>42066</v>
      </c>
      <c r="I7408" t="s">
        <v>12</v>
      </c>
      <c r="J7408" t="s">
        <v>18178</v>
      </c>
    </row>
    <row r="7409" spans="1:10" x14ac:dyDescent="0.25">
      <c r="A7409">
        <v>1974428</v>
      </c>
      <c r="B7409" t="s">
        <v>7807</v>
      </c>
      <c r="C7409" t="str">
        <f>"9780765632029"</f>
        <v>9780765632029</v>
      </c>
      <c r="D7409" t="str">
        <f>"9781317453260"</f>
        <v>9781317453260</v>
      </c>
      <c r="E7409" t="s">
        <v>15</v>
      </c>
      <c r="F7409" t="s">
        <v>16</v>
      </c>
      <c r="G7409" s="1">
        <v>40892</v>
      </c>
      <c r="H7409" s="1">
        <v>42072</v>
      </c>
      <c r="I7409" t="s">
        <v>12</v>
      </c>
      <c r="J7409" t="s">
        <v>18179</v>
      </c>
    </row>
    <row r="7410" spans="1:10" x14ac:dyDescent="0.25">
      <c r="A7410">
        <v>1981159</v>
      </c>
      <c r="B7410" t="s">
        <v>7808</v>
      </c>
      <c r="C7410" t="str">
        <f>"9781462520879"</f>
        <v>9781462520879</v>
      </c>
      <c r="D7410" t="str">
        <f>"9781462520886"</f>
        <v>9781462520886</v>
      </c>
      <c r="E7410" t="s">
        <v>3740</v>
      </c>
      <c r="F7410" t="s">
        <v>3741</v>
      </c>
      <c r="G7410" s="1">
        <v>42156</v>
      </c>
      <c r="H7410" s="1">
        <v>42349</v>
      </c>
      <c r="I7410" t="s">
        <v>12</v>
      </c>
      <c r="J7410" t="s">
        <v>18180</v>
      </c>
    </row>
    <row r="7411" spans="1:10" x14ac:dyDescent="0.25">
      <c r="A7411">
        <v>1987299</v>
      </c>
      <c r="B7411" t="s">
        <v>7809</v>
      </c>
      <c r="C7411" t="str">
        <f>"9780765619891"</f>
        <v>9780765619891</v>
      </c>
      <c r="D7411" t="str">
        <f>"9781317472254"</f>
        <v>9781317472254</v>
      </c>
      <c r="E7411" t="s">
        <v>15</v>
      </c>
      <c r="F7411" t="s">
        <v>16</v>
      </c>
      <c r="G7411" s="1">
        <v>41773</v>
      </c>
      <c r="H7411" s="1">
        <v>42075</v>
      </c>
      <c r="I7411" t="s">
        <v>12</v>
      </c>
      <c r="J7411" t="s">
        <v>18181</v>
      </c>
    </row>
    <row r="7412" spans="1:10" x14ac:dyDescent="0.25">
      <c r="A7412">
        <v>1987300</v>
      </c>
      <c r="B7412" t="s">
        <v>7810</v>
      </c>
      <c r="C7412" t="str">
        <f>"9780765618153"</f>
        <v>9780765618153</v>
      </c>
      <c r="D7412" t="str">
        <f>"9781317473213"</f>
        <v>9781317473213</v>
      </c>
      <c r="E7412" t="s">
        <v>15</v>
      </c>
      <c r="F7412" t="s">
        <v>16</v>
      </c>
      <c r="G7412" s="1">
        <v>39066</v>
      </c>
      <c r="H7412" s="1">
        <v>42075</v>
      </c>
      <c r="I7412" t="s">
        <v>12</v>
      </c>
      <c r="J7412" t="s">
        <v>18182</v>
      </c>
    </row>
    <row r="7413" spans="1:10" x14ac:dyDescent="0.25">
      <c r="A7413">
        <v>1987312</v>
      </c>
      <c r="B7413" t="s">
        <v>7811</v>
      </c>
      <c r="C7413" t="str">
        <f>"9780765620354"</f>
        <v>9780765620354</v>
      </c>
      <c r="D7413" t="str">
        <f>"9781317456353"</f>
        <v>9781317456353</v>
      </c>
      <c r="E7413" t="s">
        <v>16</v>
      </c>
      <c r="F7413" t="s">
        <v>16</v>
      </c>
      <c r="G7413" s="1">
        <v>39156</v>
      </c>
      <c r="H7413" s="1">
        <v>42075</v>
      </c>
      <c r="I7413" t="s">
        <v>12</v>
      </c>
      <c r="J7413" t="s">
        <v>18183</v>
      </c>
    </row>
    <row r="7414" spans="1:10" x14ac:dyDescent="0.25">
      <c r="A7414">
        <v>1987313</v>
      </c>
      <c r="B7414" t="s">
        <v>7812</v>
      </c>
      <c r="C7414" t="str">
        <f>"9780765619501"</f>
        <v>9780765619501</v>
      </c>
      <c r="D7414" t="str">
        <f>"9781317462774"</f>
        <v>9781317462774</v>
      </c>
      <c r="E7414" t="s">
        <v>15</v>
      </c>
      <c r="F7414" t="s">
        <v>16</v>
      </c>
      <c r="G7414" s="1">
        <v>40009</v>
      </c>
      <c r="H7414" s="1">
        <v>42075</v>
      </c>
      <c r="I7414" t="s">
        <v>12</v>
      </c>
      <c r="J7414" t="s">
        <v>18184</v>
      </c>
    </row>
    <row r="7415" spans="1:10" x14ac:dyDescent="0.25">
      <c r="A7415">
        <v>2010065</v>
      </c>
      <c r="B7415" t="s">
        <v>7813</v>
      </c>
      <c r="C7415" t="str">
        <f>"9780849319181"</f>
        <v>9780849319181</v>
      </c>
      <c r="D7415" t="str">
        <f>"9780203486337"</f>
        <v>9780203486337</v>
      </c>
      <c r="E7415" t="s">
        <v>15</v>
      </c>
      <c r="F7415" t="s">
        <v>139</v>
      </c>
      <c r="G7415" s="1">
        <v>37893</v>
      </c>
      <c r="H7415" s="1">
        <v>42114</v>
      </c>
      <c r="I7415" t="s">
        <v>12</v>
      </c>
      <c r="J7415" t="s">
        <v>18185</v>
      </c>
    </row>
    <row r="7416" spans="1:10" x14ac:dyDescent="0.25">
      <c r="A7416">
        <v>2010074</v>
      </c>
      <c r="B7416" t="s">
        <v>7814</v>
      </c>
      <c r="C7416" t="str">
        <f>"9780849322112"</f>
        <v>9780849322112</v>
      </c>
      <c r="D7416" t="str">
        <f>"9780203501283"</f>
        <v>9780203501283</v>
      </c>
      <c r="E7416" t="s">
        <v>1900</v>
      </c>
      <c r="F7416" t="s">
        <v>1900</v>
      </c>
      <c r="G7416" s="1">
        <v>38320</v>
      </c>
      <c r="H7416" s="1">
        <v>42198</v>
      </c>
      <c r="I7416" t="s">
        <v>12</v>
      </c>
      <c r="J7416" t="s">
        <v>18186</v>
      </c>
    </row>
    <row r="7417" spans="1:10" x14ac:dyDescent="0.25">
      <c r="A7417">
        <v>2010083</v>
      </c>
      <c r="B7417" t="s">
        <v>7815</v>
      </c>
      <c r="C7417" t="str">
        <f>"9780849313691"</f>
        <v>9780849313691</v>
      </c>
      <c r="D7417" t="str">
        <f>"9780203492468"</f>
        <v>9780203492468</v>
      </c>
      <c r="E7417" t="s">
        <v>144</v>
      </c>
      <c r="F7417" t="s">
        <v>144</v>
      </c>
      <c r="G7417" s="1">
        <v>38288</v>
      </c>
      <c r="H7417" s="1">
        <v>42340</v>
      </c>
      <c r="I7417" t="s">
        <v>12</v>
      </c>
      <c r="J7417" t="s">
        <v>18187</v>
      </c>
    </row>
    <row r="7418" spans="1:10" x14ac:dyDescent="0.25">
      <c r="A7418">
        <v>2010089</v>
      </c>
      <c r="B7418" t="s">
        <v>7816</v>
      </c>
      <c r="C7418" t="str">
        <f>"9780849316531"</f>
        <v>9780849316531</v>
      </c>
      <c r="D7418" t="str">
        <f>"9780203491966"</f>
        <v>9780203491966</v>
      </c>
      <c r="E7418" t="s">
        <v>15</v>
      </c>
      <c r="F7418" t="s">
        <v>139</v>
      </c>
      <c r="G7418" s="1">
        <v>38593</v>
      </c>
      <c r="H7418" s="1">
        <v>42114</v>
      </c>
      <c r="I7418" t="s">
        <v>12</v>
      </c>
      <c r="J7418" t="s">
        <v>18188</v>
      </c>
    </row>
    <row r="7419" spans="1:10" x14ac:dyDescent="0.25">
      <c r="A7419">
        <v>2010097</v>
      </c>
      <c r="B7419" t="s">
        <v>7817</v>
      </c>
      <c r="C7419" t="str">
        <f>"9780849322600"</f>
        <v>9780849322600</v>
      </c>
      <c r="D7419" t="str">
        <f>"9780203507308"</f>
        <v>9780203507308</v>
      </c>
      <c r="E7419" t="s">
        <v>144</v>
      </c>
      <c r="F7419" t="s">
        <v>144</v>
      </c>
      <c r="G7419" s="1">
        <v>38259</v>
      </c>
      <c r="H7419" s="1">
        <v>42114</v>
      </c>
      <c r="I7419" t="s">
        <v>12</v>
      </c>
      <c r="J7419" t="s">
        <v>18189</v>
      </c>
    </row>
    <row r="7420" spans="1:10" x14ac:dyDescent="0.25">
      <c r="A7420">
        <v>2010119</v>
      </c>
      <c r="B7420" t="s">
        <v>7818</v>
      </c>
      <c r="C7420" t="str">
        <f>"9781566706421"</f>
        <v>9781566706421</v>
      </c>
      <c r="D7420" t="str">
        <f>"9780203499436"</f>
        <v>9780203499436</v>
      </c>
      <c r="E7420" t="s">
        <v>15</v>
      </c>
      <c r="F7420" t="s">
        <v>139</v>
      </c>
      <c r="G7420" s="1">
        <v>37799</v>
      </c>
      <c r="H7420" s="1">
        <v>42114</v>
      </c>
      <c r="I7420" t="s">
        <v>12</v>
      </c>
      <c r="J7420" t="s">
        <v>18190</v>
      </c>
    </row>
    <row r="7421" spans="1:10" x14ac:dyDescent="0.25">
      <c r="A7421">
        <v>2010128</v>
      </c>
      <c r="B7421" t="s">
        <v>7819</v>
      </c>
      <c r="C7421" t="str">
        <f>"9780849315268"</f>
        <v>9780849315268</v>
      </c>
      <c r="D7421" t="str">
        <f>"9780203486788"</f>
        <v>9780203486788</v>
      </c>
      <c r="E7421" t="s">
        <v>15</v>
      </c>
      <c r="F7421" t="s">
        <v>139</v>
      </c>
      <c r="G7421" s="1">
        <v>38195</v>
      </c>
      <c r="H7421" s="1">
        <v>42114</v>
      </c>
      <c r="I7421" t="s">
        <v>12</v>
      </c>
      <c r="J7421" t="s">
        <v>18191</v>
      </c>
    </row>
    <row r="7422" spans="1:10" x14ac:dyDescent="0.25">
      <c r="A7422">
        <v>2010135</v>
      </c>
      <c r="B7422" t="s">
        <v>7820</v>
      </c>
      <c r="C7422" t="str">
        <f>"9780849321115"</f>
        <v>9780849321115</v>
      </c>
      <c r="D7422" t="str">
        <f>"9780203494936"</f>
        <v>9780203494936</v>
      </c>
      <c r="E7422" t="s">
        <v>15</v>
      </c>
      <c r="F7422" t="s">
        <v>139</v>
      </c>
      <c r="G7422" s="1">
        <v>38196</v>
      </c>
      <c r="H7422" s="1">
        <v>42114</v>
      </c>
      <c r="I7422" t="s">
        <v>12</v>
      </c>
      <c r="J7422" t="s">
        <v>18192</v>
      </c>
    </row>
    <row r="7423" spans="1:10" x14ac:dyDescent="0.25">
      <c r="A7423">
        <v>2010139</v>
      </c>
      <c r="B7423" t="s">
        <v>7821</v>
      </c>
      <c r="C7423" t="str">
        <f>"9781584883449"</f>
        <v>9781584883449</v>
      </c>
      <c r="D7423" t="str">
        <f>"9780203497159"</f>
        <v>9780203497159</v>
      </c>
      <c r="E7423" t="s">
        <v>144</v>
      </c>
      <c r="F7423" t="s">
        <v>679</v>
      </c>
      <c r="G7423" s="1">
        <v>37831</v>
      </c>
      <c r="H7423" s="1">
        <v>42114</v>
      </c>
      <c r="I7423" t="s">
        <v>12</v>
      </c>
      <c r="J7423" t="s">
        <v>18193</v>
      </c>
    </row>
    <row r="7424" spans="1:10" x14ac:dyDescent="0.25">
      <c r="A7424">
        <v>2010149</v>
      </c>
      <c r="B7424" t="s">
        <v>7822</v>
      </c>
      <c r="C7424" t="str">
        <f>"9781587160851"</f>
        <v>9781587160851</v>
      </c>
      <c r="D7424" t="str">
        <f>"9780203508459"</f>
        <v>9780203508459</v>
      </c>
      <c r="E7424" t="s">
        <v>15</v>
      </c>
      <c r="F7424" t="s">
        <v>139</v>
      </c>
      <c r="G7424" s="1">
        <v>38601</v>
      </c>
      <c r="H7424" s="1">
        <v>42114</v>
      </c>
      <c r="I7424" t="s">
        <v>12</v>
      </c>
      <c r="J7424" t="s">
        <v>18194</v>
      </c>
    </row>
    <row r="7425" spans="1:10" x14ac:dyDescent="0.25">
      <c r="A7425">
        <v>2010162</v>
      </c>
      <c r="B7425" t="s">
        <v>7823</v>
      </c>
      <c r="C7425" t="str">
        <f>"9780849312328"</f>
        <v>9780849312328</v>
      </c>
      <c r="D7425" t="str">
        <f>"9780203010525"</f>
        <v>9780203010525</v>
      </c>
      <c r="E7425" t="s">
        <v>15</v>
      </c>
      <c r="F7425" t="s">
        <v>139</v>
      </c>
      <c r="G7425" s="1">
        <v>37678</v>
      </c>
      <c r="H7425" s="1">
        <v>42114</v>
      </c>
      <c r="I7425" t="s">
        <v>12</v>
      </c>
      <c r="J7425" t="s">
        <v>18195</v>
      </c>
    </row>
    <row r="7426" spans="1:10" x14ac:dyDescent="0.25">
      <c r="A7426">
        <v>2010168</v>
      </c>
      <c r="B7426" t="s">
        <v>7824</v>
      </c>
      <c r="C7426" t="str">
        <f>"9781566706865"</f>
        <v>9781566706865</v>
      </c>
      <c r="D7426" t="str">
        <f>"9780203493328"</f>
        <v>9780203493328</v>
      </c>
      <c r="E7426" t="s">
        <v>15</v>
      </c>
      <c r="F7426" t="s">
        <v>139</v>
      </c>
      <c r="G7426" s="1">
        <v>38337</v>
      </c>
      <c r="H7426" s="1">
        <v>42114</v>
      </c>
      <c r="I7426" t="s">
        <v>12</v>
      </c>
      <c r="J7426" t="s">
        <v>18196</v>
      </c>
    </row>
    <row r="7427" spans="1:10" x14ac:dyDescent="0.25">
      <c r="A7427">
        <v>2010186</v>
      </c>
      <c r="B7427" t="s">
        <v>7825</v>
      </c>
      <c r="C7427" t="str">
        <f>"9780419248309"</f>
        <v>9780419248309</v>
      </c>
      <c r="D7427" t="str">
        <f>"9780203301654"</f>
        <v>9780203301654</v>
      </c>
      <c r="E7427" t="s">
        <v>15</v>
      </c>
      <c r="F7427" t="s">
        <v>139</v>
      </c>
      <c r="G7427" s="1">
        <v>36927</v>
      </c>
      <c r="H7427" s="1">
        <v>42114</v>
      </c>
      <c r="I7427" t="s">
        <v>12</v>
      </c>
      <c r="J7427" t="s">
        <v>18197</v>
      </c>
    </row>
    <row r="7428" spans="1:10" x14ac:dyDescent="0.25">
      <c r="A7428">
        <v>2010195</v>
      </c>
      <c r="B7428" t="s">
        <v>7826</v>
      </c>
      <c r="C7428" t="str">
        <f>"9780849319365"</f>
        <v>9780849319365</v>
      </c>
      <c r="D7428" t="str">
        <f>"9780203491232"</f>
        <v>9780203491232</v>
      </c>
      <c r="E7428" t="s">
        <v>15</v>
      </c>
      <c r="F7428" t="s">
        <v>139</v>
      </c>
      <c r="G7428" s="1">
        <v>38320</v>
      </c>
      <c r="H7428" s="1">
        <v>42114</v>
      </c>
      <c r="I7428" t="s">
        <v>12</v>
      </c>
      <c r="J7428" t="s">
        <v>18198</v>
      </c>
    </row>
    <row r="7429" spans="1:10" x14ac:dyDescent="0.25">
      <c r="A7429">
        <v>2010196</v>
      </c>
      <c r="B7429" t="s">
        <v>7827</v>
      </c>
      <c r="C7429" t="str">
        <f>"9780849319402"</f>
        <v>9780849319402</v>
      </c>
      <c r="D7429" t="str">
        <f>"9780203500224"</f>
        <v>9780203500224</v>
      </c>
      <c r="E7429" t="s">
        <v>15</v>
      </c>
      <c r="F7429" t="s">
        <v>139</v>
      </c>
      <c r="G7429" s="1">
        <v>38341</v>
      </c>
      <c r="H7429" s="1">
        <v>42114</v>
      </c>
      <c r="I7429" t="s">
        <v>12</v>
      </c>
      <c r="J7429" t="s">
        <v>18199</v>
      </c>
    </row>
    <row r="7430" spans="1:10" x14ac:dyDescent="0.25">
      <c r="A7430">
        <v>2010202</v>
      </c>
      <c r="B7430" t="s">
        <v>7828</v>
      </c>
      <c r="C7430" t="str">
        <f>"9780849316289"</f>
        <v>9780849316289</v>
      </c>
      <c r="D7430" t="str">
        <f>"9780203508046"</f>
        <v>9780203508046</v>
      </c>
      <c r="E7430" t="s">
        <v>1900</v>
      </c>
      <c r="F7430" t="s">
        <v>1900</v>
      </c>
      <c r="G7430" s="1">
        <v>37921</v>
      </c>
      <c r="H7430" s="1">
        <v>42114</v>
      </c>
      <c r="I7430" t="s">
        <v>12</v>
      </c>
      <c r="J7430" t="s">
        <v>18200</v>
      </c>
    </row>
    <row r="7431" spans="1:10" x14ac:dyDescent="0.25">
      <c r="A7431">
        <v>2010204</v>
      </c>
      <c r="B7431" t="s">
        <v>7829</v>
      </c>
      <c r="C7431" t="str">
        <f>"9781566706391"</f>
        <v>9781566706391</v>
      </c>
      <c r="D7431" t="str">
        <f>"9780203486603"</f>
        <v>9780203486603</v>
      </c>
      <c r="E7431" t="s">
        <v>15</v>
      </c>
      <c r="F7431" t="s">
        <v>139</v>
      </c>
      <c r="G7431" s="1">
        <v>38349</v>
      </c>
      <c r="H7431" s="1">
        <v>42114</v>
      </c>
      <c r="I7431" t="s">
        <v>12</v>
      </c>
      <c r="J7431" t="s">
        <v>18201</v>
      </c>
    </row>
    <row r="7432" spans="1:10" x14ac:dyDescent="0.25">
      <c r="A7432">
        <v>2010256</v>
      </c>
      <c r="B7432" t="s">
        <v>7830</v>
      </c>
      <c r="C7432" t="str">
        <f>"9781587161384"</f>
        <v>9781587161384</v>
      </c>
      <c r="D7432" t="str">
        <f>"9780203508732"</f>
        <v>9780203508732</v>
      </c>
      <c r="E7432" t="s">
        <v>15</v>
      </c>
      <c r="F7432" t="s">
        <v>139</v>
      </c>
      <c r="G7432" s="1">
        <v>37831</v>
      </c>
      <c r="H7432" s="1">
        <v>42340</v>
      </c>
      <c r="I7432" t="s">
        <v>12</v>
      </c>
      <c r="J7432" t="s">
        <v>18202</v>
      </c>
    </row>
    <row r="7433" spans="1:10" x14ac:dyDescent="0.25">
      <c r="A7433">
        <v>2010263</v>
      </c>
      <c r="B7433" t="s">
        <v>7831</v>
      </c>
      <c r="C7433" t="str">
        <f>"9781587160295"</f>
        <v>9781587160295</v>
      </c>
      <c r="D7433" t="str">
        <f>"9780203490082"</f>
        <v>9780203490082</v>
      </c>
      <c r="E7433" t="s">
        <v>15</v>
      </c>
      <c r="F7433" t="s">
        <v>139</v>
      </c>
      <c r="G7433" s="1">
        <v>37922</v>
      </c>
      <c r="H7433" s="1">
        <v>42114</v>
      </c>
      <c r="I7433" t="s">
        <v>12</v>
      </c>
      <c r="J7433" t="s">
        <v>18203</v>
      </c>
    </row>
    <row r="7434" spans="1:10" x14ac:dyDescent="0.25">
      <c r="A7434">
        <v>2010284</v>
      </c>
      <c r="B7434" t="s">
        <v>7832</v>
      </c>
      <c r="C7434" t="str">
        <f>"9780849315497"</f>
        <v>9780849315497</v>
      </c>
      <c r="D7434" t="str">
        <f>"9780203488751"</f>
        <v>9780203488751</v>
      </c>
      <c r="E7434" t="s">
        <v>1900</v>
      </c>
      <c r="F7434" t="s">
        <v>1900</v>
      </c>
      <c r="G7434" s="1">
        <v>38730</v>
      </c>
      <c r="H7434" s="1">
        <v>42340</v>
      </c>
      <c r="I7434" t="s">
        <v>12</v>
      </c>
      <c r="J7434" t="s">
        <v>18204</v>
      </c>
    </row>
    <row r="7435" spans="1:10" x14ac:dyDescent="0.25">
      <c r="A7435">
        <v>2010288</v>
      </c>
      <c r="B7435" t="s">
        <v>7833</v>
      </c>
      <c r="C7435" t="str">
        <f>"9780849308222"</f>
        <v>9780849308222</v>
      </c>
      <c r="D7435" t="str">
        <f>"9780203498156"</f>
        <v>9780203498156</v>
      </c>
      <c r="E7435" t="s">
        <v>1900</v>
      </c>
      <c r="F7435" t="s">
        <v>1900</v>
      </c>
      <c r="G7435" s="1">
        <v>38118</v>
      </c>
      <c r="H7435" s="1">
        <v>42114</v>
      </c>
      <c r="I7435" t="s">
        <v>12</v>
      </c>
      <c r="J7435" t="s">
        <v>18205</v>
      </c>
    </row>
    <row r="7436" spans="1:10" x14ac:dyDescent="0.25">
      <c r="A7436">
        <v>2010315</v>
      </c>
      <c r="B7436" t="s">
        <v>7834</v>
      </c>
      <c r="C7436" t="str">
        <f>"9781587160080"</f>
        <v>9781587160080</v>
      </c>
      <c r="D7436" t="str">
        <f>"9780203485248"</f>
        <v>9780203485248</v>
      </c>
      <c r="E7436" t="s">
        <v>15</v>
      </c>
      <c r="F7436" t="s">
        <v>139</v>
      </c>
      <c r="G7436" s="1">
        <v>38587</v>
      </c>
      <c r="H7436" s="1">
        <v>42114</v>
      </c>
      <c r="I7436" t="s">
        <v>12</v>
      </c>
      <c r="J7436" t="s">
        <v>18206</v>
      </c>
    </row>
    <row r="7437" spans="1:10" x14ac:dyDescent="0.25">
      <c r="A7437">
        <v>2010355</v>
      </c>
      <c r="B7437" t="s">
        <v>7835</v>
      </c>
      <c r="C7437" t="str">
        <f>"9781566769334"</f>
        <v>9781566769334</v>
      </c>
      <c r="D7437" t="str">
        <f>"9780203485347"</f>
        <v>9780203485347</v>
      </c>
      <c r="E7437" t="s">
        <v>15</v>
      </c>
      <c r="F7437" t="s">
        <v>139</v>
      </c>
      <c r="G7437" s="1">
        <v>38544</v>
      </c>
      <c r="H7437" s="1">
        <v>42340</v>
      </c>
      <c r="I7437" t="s">
        <v>12</v>
      </c>
      <c r="J7437" t="s">
        <v>18207</v>
      </c>
    </row>
    <row r="7438" spans="1:10" x14ac:dyDescent="0.25">
      <c r="A7438">
        <v>2010357</v>
      </c>
      <c r="B7438" t="s">
        <v>7836</v>
      </c>
      <c r="C7438" t="str">
        <f>"9780849314803"</f>
        <v>9780849314803</v>
      </c>
      <c r="D7438" t="str">
        <f>"9780203487303"</f>
        <v>9780203487303</v>
      </c>
      <c r="E7438" t="s">
        <v>15</v>
      </c>
      <c r="F7438" t="s">
        <v>139</v>
      </c>
      <c r="G7438" s="1">
        <v>37830</v>
      </c>
      <c r="H7438" s="1">
        <v>42114</v>
      </c>
      <c r="I7438" t="s">
        <v>12</v>
      </c>
      <c r="J7438" t="s">
        <v>18208</v>
      </c>
    </row>
    <row r="7439" spans="1:10" x14ac:dyDescent="0.25">
      <c r="A7439">
        <v>2010367</v>
      </c>
      <c r="B7439" t="s">
        <v>7837</v>
      </c>
      <c r="C7439" t="str">
        <f>"9780849314841"</f>
        <v>9780849314841</v>
      </c>
      <c r="D7439" t="str">
        <f>"9780203493014"</f>
        <v>9780203493014</v>
      </c>
      <c r="E7439" t="s">
        <v>15</v>
      </c>
      <c r="F7439" t="s">
        <v>139</v>
      </c>
      <c r="G7439" s="1">
        <v>37921</v>
      </c>
      <c r="H7439" s="1">
        <v>42114</v>
      </c>
      <c r="I7439" t="s">
        <v>12</v>
      </c>
      <c r="J7439" t="s">
        <v>18209</v>
      </c>
    </row>
    <row r="7440" spans="1:10" x14ac:dyDescent="0.25">
      <c r="A7440">
        <v>2010368</v>
      </c>
      <c r="B7440" t="s">
        <v>7838</v>
      </c>
      <c r="C7440" t="str">
        <f>"9780849318016"</f>
        <v>9780849318016</v>
      </c>
      <c r="D7440" t="str">
        <f>"9780203010457"</f>
        <v>9780203010457</v>
      </c>
      <c r="E7440" t="s">
        <v>15</v>
      </c>
      <c r="F7440" t="s">
        <v>139</v>
      </c>
      <c r="G7440" s="1">
        <v>37706</v>
      </c>
      <c r="H7440" s="1">
        <v>42114</v>
      </c>
      <c r="I7440" t="s">
        <v>12</v>
      </c>
      <c r="J7440" t="s">
        <v>18210</v>
      </c>
    </row>
    <row r="7441" spans="1:10" x14ac:dyDescent="0.25">
      <c r="A7441">
        <v>2010385</v>
      </c>
      <c r="B7441" t="s">
        <v>7839</v>
      </c>
      <c r="C7441" t="str">
        <f>"9780849319129"</f>
        <v>9780849319129</v>
      </c>
      <c r="D7441" t="str">
        <f>"9780203498101"</f>
        <v>9780203498101</v>
      </c>
      <c r="E7441" t="s">
        <v>15</v>
      </c>
      <c r="F7441" t="s">
        <v>139</v>
      </c>
      <c r="G7441" s="1">
        <v>37984</v>
      </c>
      <c r="H7441" s="1">
        <v>42114</v>
      </c>
      <c r="I7441" t="s">
        <v>12</v>
      </c>
      <c r="J7441" t="s">
        <v>18211</v>
      </c>
    </row>
    <row r="7442" spans="1:10" x14ac:dyDescent="0.25">
      <c r="A7442">
        <v>2010395</v>
      </c>
      <c r="B7442" t="s">
        <v>7840</v>
      </c>
      <c r="C7442" t="str">
        <f>"9780849321429"</f>
        <v>9780849321429</v>
      </c>
      <c r="D7442" t="str">
        <f>"9780203496213"</f>
        <v>9780203496213</v>
      </c>
      <c r="E7442" t="s">
        <v>1900</v>
      </c>
      <c r="F7442" t="s">
        <v>1900</v>
      </c>
      <c r="G7442" s="1">
        <v>38104</v>
      </c>
      <c r="H7442" s="1">
        <v>42114</v>
      </c>
      <c r="I7442" t="s">
        <v>12</v>
      </c>
      <c r="J7442" t="s">
        <v>18212</v>
      </c>
    </row>
    <row r="7443" spans="1:10" x14ac:dyDescent="0.25">
      <c r="A7443">
        <v>2010419</v>
      </c>
      <c r="B7443" t="s">
        <v>7841</v>
      </c>
      <c r="C7443" t="str">
        <f>"9780849396953"</f>
        <v>9780849396953</v>
      </c>
      <c r="D7443" t="str">
        <f>"9780203492543"</f>
        <v>9780203492543</v>
      </c>
      <c r="E7443" t="s">
        <v>15</v>
      </c>
      <c r="F7443" t="s">
        <v>139</v>
      </c>
      <c r="G7443" s="1">
        <v>38351</v>
      </c>
      <c r="H7443" s="1">
        <v>42114</v>
      </c>
      <c r="I7443" t="s">
        <v>12</v>
      </c>
      <c r="J7443" t="s">
        <v>18213</v>
      </c>
    </row>
    <row r="7444" spans="1:10" x14ac:dyDescent="0.25">
      <c r="A7444">
        <v>2010420</v>
      </c>
      <c r="B7444" t="s">
        <v>7842</v>
      </c>
      <c r="C7444" t="str">
        <f>"9781584881575"</f>
        <v>9781584881575</v>
      </c>
      <c r="D7444" t="str">
        <f>"9780203496893"</f>
        <v>9780203496893</v>
      </c>
      <c r="E7444" t="s">
        <v>144</v>
      </c>
      <c r="F7444" t="s">
        <v>679</v>
      </c>
      <c r="G7444" s="1">
        <v>37889</v>
      </c>
      <c r="H7444" s="1">
        <v>42114</v>
      </c>
      <c r="I7444" t="s">
        <v>12</v>
      </c>
      <c r="J7444" t="s">
        <v>18214</v>
      </c>
    </row>
    <row r="7445" spans="1:10" x14ac:dyDescent="0.25">
      <c r="A7445">
        <v>2010421</v>
      </c>
      <c r="B7445" t="s">
        <v>7843</v>
      </c>
      <c r="C7445" t="str">
        <f>"9780849322242"</f>
        <v>9780849322242</v>
      </c>
      <c r="D7445" t="str">
        <f>"9780203486061"</f>
        <v>9780203486061</v>
      </c>
      <c r="E7445" t="s">
        <v>1900</v>
      </c>
      <c r="F7445" t="s">
        <v>1900</v>
      </c>
      <c r="G7445" s="1">
        <v>38498</v>
      </c>
      <c r="H7445" s="1">
        <v>42114</v>
      </c>
      <c r="I7445" t="s">
        <v>12</v>
      </c>
      <c r="J7445" t="s">
        <v>18215</v>
      </c>
    </row>
    <row r="7446" spans="1:10" x14ac:dyDescent="0.25">
      <c r="A7446">
        <v>2010470</v>
      </c>
      <c r="B7446" t="s">
        <v>7844</v>
      </c>
      <c r="C7446" t="str">
        <f>"9781584883487"</f>
        <v>9781584883487</v>
      </c>
      <c r="D7446" t="str">
        <f>"9780203494653"</f>
        <v>9780203494653</v>
      </c>
      <c r="E7446" t="s">
        <v>144</v>
      </c>
      <c r="F7446" t="s">
        <v>679</v>
      </c>
      <c r="G7446" s="1">
        <v>38195</v>
      </c>
      <c r="H7446" s="1">
        <v>42114</v>
      </c>
      <c r="I7446" t="s">
        <v>12</v>
      </c>
      <c r="J7446" t="s">
        <v>18216</v>
      </c>
    </row>
    <row r="7447" spans="1:10" x14ac:dyDescent="0.25">
      <c r="A7447">
        <v>2010472</v>
      </c>
      <c r="B7447" t="s">
        <v>7845</v>
      </c>
      <c r="C7447" t="str">
        <f>"9780849315244"</f>
        <v>9780849315244</v>
      </c>
      <c r="D7447" t="str">
        <f>"9780203490310"</f>
        <v>9780203490310</v>
      </c>
      <c r="E7447" t="s">
        <v>15</v>
      </c>
      <c r="F7447" t="s">
        <v>139</v>
      </c>
      <c r="G7447" s="1">
        <v>38300</v>
      </c>
      <c r="H7447" s="1">
        <v>42114</v>
      </c>
      <c r="I7447" t="s">
        <v>12</v>
      </c>
      <c r="J7447" t="s">
        <v>18217</v>
      </c>
    </row>
    <row r="7448" spans="1:10" x14ac:dyDescent="0.25">
      <c r="A7448">
        <v>2010475</v>
      </c>
      <c r="B7448" t="s">
        <v>7846</v>
      </c>
      <c r="C7448" t="str">
        <f>"9780415272117"</f>
        <v>9780415272117</v>
      </c>
      <c r="D7448" t="str">
        <f>"9780203166437"</f>
        <v>9780203166437</v>
      </c>
      <c r="E7448" t="s">
        <v>15</v>
      </c>
      <c r="F7448" t="s">
        <v>139</v>
      </c>
      <c r="G7448" s="1">
        <v>37073</v>
      </c>
      <c r="H7448" s="1">
        <v>42309</v>
      </c>
      <c r="I7448" t="s">
        <v>12</v>
      </c>
      <c r="J7448" t="s">
        <v>18218</v>
      </c>
    </row>
    <row r="7449" spans="1:10" x14ac:dyDescent="0.25">
      <c r="A7449">
        <v>2048835</v>
      </c>
      <c r="B7449" t="s">
        <v>7847</v>
      </c>
      <c r="C7449" t="str">
        <f>"9781859642160"</f>
        <v>9781859642160</v>
      </c>
      <c r="D7449" t="str">
        <f>"9781859644317"</f>
        <v>9781859644317</v>
      </c>
      <c r="E7449" t="s">
        <v>7701</v>
      </c>
      <c r="F7449" t="s">
        <v>7704</v>
      </c>
      <c r="G7449" s="1">
        <v>39783</v>
      </c>
      <c r="H7449" s="1">
        <v>42138</v>
      </c>
      <c r="I7449" t="s">
        <v>12</v>
      </c>
      <c r="J7449" t="s">
        <v>18219</v>
      </c>
    </row>
    <row r="7450" spans="1:10" x14ac:dyDescent="0.25">
      <c r="A7450">
        <v>2051477</v>
      </c>
      <c r="B7450" t="s">
        <v>7848</v>
      </c>
      <c r="C7450" t="str">
        <f>"9781783482269"</f>
        <v>9781783482269</v>
      </c>
      <c r="D7450" t="str">
        <f>"9781783482283"</f>
        <v>9781783482283</v>
      </c>
      <c r="E7450" t="s">
        <v>6253</v>
      </c>
      <c r="F7450" t="s">
        <v>6253</v>
      </c>
      <c r="G7450" s="1">
        <v>42144</v>
      </c>
      <c r="H7450" s="1">
        <v>42349</v>
      </c>
      <c r="I7450" t="s">
        <v>12</v>
      </c>
      <c r="J7450" t="s">
        <v>18220</v>
      </c>
    </row>
    <row r="7451" spans="1:10" x14ac:dyDescent="0.25">
      <c r="A7451">
        <v>2051836</v>
      </c>
      <c r="B7451" t="s">
        <v>7849</v>
      </c>
      <c r="C7451" t="str">
        <f>"9780765611505"</f>
        <v>9780765611505</v>
      </c>
      <c r="D7451" t="str">
        <f>"9781317472704"</f>
        <v>9781317472704</v>
      </c>
      <c r="E7451" t="s">
        <v>15</v>
      </c>
      <c r="F7451" t="s">
        <v>16</v>
      </c>
      <c r="G7451" s="1">
        <v>38626</v>
      </c>
      <c r="H7451" s="1">
        <v>42139</v>
      </c>
      <c r="I7451" t="s">
        <v>12</v>
      </c>
      <c r="J7451" t="s">
        <v>18221</v>
      </c>
    </row>
    <row r="7452" spans="1:10" x14ac:dyDescent="0.25">
      <c r="A7452">
        <v>2051883</v>
      </c>
      <c r="B7452" t="s">
        <v>7850</v>
      </c>
      <c r="C7452" t="str">
        <f>"9780765613271"</f>
        <v>9780765613271</v>
      </c>
      <c r="D7452" t="str">
        <f>"9781317472193"</f>
        <v>9781317472193</v>
      </c>
      <c r="E7452" t="s">
        <v>15</v>
      </c>
      <c r="F7452" t="s">
        <v>16</v>
      </c>
      <c r="G7452" s="1">
        <v>38748</v>
      </c>
      <c r="H7452" s="1">
        <v>42139</v>
      </c>
      <c r="I7452" t="s">
        <v>12</v>
      </c>
      <c r="J7452" t="s">
        <v>18222</v>
      </c>
    </row>
    <row r="7453" spans="1:10" x14ac:dyDescent="0.25">
      <c r="A7453">
        <v>2068841</v>
      </c>
      <c r="B7453" t="s">
        <v>7851</v>
      </c>
      <c r="C7453" t="str">
        <f>"9781783485406"</f>
        <v>9781783485406</v>
      </c>
      <c r="D7453" t="str">
        <f>"9781783485413"</f>
        <v>9781783485413</v>
      </c>
      <c r="E7453" t="s">
        <v>7852</v>
      </c>
      <c r="F7453" t="s">
        <v>7853</v>
      </c>
      <c r="G7453" s="1">
        <v>42178</v>
      </c>
      <c r="H7453" s="1">
        <v>42349</v>
      </c>
      <c r="I7453" t="s">
        <v>12</v>
      </c>
      <c r="J7453" t="s">
        <v>18223</v>
      </c>
    </row>
    <row r="7454" spans="1:10" x14ac:dyDescent="0.25">
      <c r="A7454">
        <v>2075374</v>
      </c>
      <c r="B7454" t="s">
        <v>7854</v>
      </c>
      <c r="C7454" t="str">
        <f>"9780857855411"</f>
        <v>9780857855411</v>
      </c>
      <c r="D7454" t="str">
        <f>"9781474240512"</f>
        <v>9781474240512</v>
      </c>
      <c r="E7454" t="s">
        <v>4180</v>
      </c>
      <c r="F7454" t="s">
        <v>6461</v>
      </c>
      <c r="G7454" s="1">
        <v>42299</v>
      </c>
      <c r="H7454" s="1">
        <v>42178</v>
      </c>
      <c r="I7454" t="s">
        <v>12</v>
      </c>
      <c r="J7454" t="s">
        <v>18224</v>
      </c>
    </row>
    <row r="7455" spans="1:10" x14ac:dyDescent="0.25">
      <c r="A7455">
        <v>2081658</v>
      </c>
      <c r="B7455" t="s">
        <v>7855</v>
      </c>
      <c r="C7455" t="str">
        <f>"9780814799482"</f>
        <v>9780814799482</v>
      </c>
      <c r="D7455" t="str">
        <f>"9780814789896"</f>
        <v>9780814789896</v>
      </c>
      <c r="E7455" t="s">
        <v>7358</v>
      </c>
      <c r="F7455" t="s">
        <v>7856</v>
      </c>
      <c r="G7455" s="1">
        <v>39356</v>
      </c>
      <c r="H7455" s="1">
        <v>42187</v>
      </c>
      <c r="I7455" t="s">
        <v>12</v>
      </c>
      <c r="J7455" t="s">
        <v>18225</v>
      </c>
    </row>
    <row r="7456" spans="1:10" x14ac:dyDescent="0.25">
      <c r="A7456">
        <v>2081748</v>
      </c>
      <c r="B7456" t="s">
        <v>7857</v>
      </c>
      <c r="C7456" t="str">
        <f>"9780814752203"</f>
        <v>9780814752203</v>
      </c>
      <c r="D7456" t="str">
        <f>"9780814753392"</f>
        <v>9780814753392</v>
      </c>
      <c r="E7456" t="s">
        <v>7358</v>
      </c>
      <c r="F7456" t="s">
        <v>7856</v>
      </c>
      <c r="G7456" s="1">
        <v>39387</v>
      </c>
      <c r="H7456" s="1">
        <v>42188</v>
      </c>
      <c r="I7456" t="s">
        <v>12</v>
      </c>
      <c r="J7456" t="s">
        <v>18226</v>
      </c>
    </row>
    <row r="7457" spans="1:10" x14ac:dyDescent="0.25">
      <c r="A7457">
        <v>2082688</v>
      </c>
      <c r="B7457" t="s">
        <v>7858</v>
      </c>
      <c r="C7457" t="str">
        <f>"9783428143498"</f>
        <v>9783428143498</v>
      </c>
      <c r="D7457" t="str">
        <f>"9783428543496"</f>
        <v>9783428543496</v>
      </c>
      <c r="E7457" t="s">
        <v>7472</v>
      </c>
      <c r="F7457" t="s">
        <v>7472</v>
      </c>
      <c r="G7457" s="1">
        <v>41940</v>
      </c>
      <c r="H7457" s="1">
        <v>42189</v>
      </c>
      <c r="I7457" t="s">
        <v>12</v>
      </c>
      <c r="J7457" t="s">
        <v>18227</v>
      </c>
    </row>
    <row r="7458" spans="1:10" x14ac:dyDescent="0.25">
      <c r="A7458">
        <v>2097896</v>
      </c>
      <c r="B7458" t="s">
        <v>7859</v>
      </c>
      <c r="C7458" t="str">
        <f>"9781882197255"</f>
        <v>9781882197255</v>
      </c>
      <c r="D7458" t="str">
        <f>"9781932973501"</f>
        <v>9781932973501</v>
      </c>
      <c r="E7458" t="s">
        <v>6319</v>
      </c>
      <c r="F7458" t="s">
        <v>6319</v>
      </c>
      <c r="G7458" s="1">
        <v>43221</v>
      </c>
      <c r="H7458" s="1">
        <v>42205</v>
      </c>
      <c r="I7458" t="s">
        <v>12</v>
      </c>
      <c r="J7458" t="s">
        <v>18228</v>
      </c>
    </row>
    <row r="7459" spans="1:10" x14ac:dyDescent="0.25">
      <c r="A7459">
        <v>2097910</v>
      </c>
      <c r="B7459" t="s">
        <v>7860</v>
      </c>
      <c r="C7459" t="str">
        <f>"9781604910230"</f>
        <v>9781604910230</v>
      </c>
      <c r="D7459" t="str">
        <f>"9781604910247"</f>
        <v>9781604910247</v>
      </c>
      <c r="E7459" t="s">
        <v>6319</v>
      </c>
      <c r="F7459" t="s">
        <v>6319</v>
      </c>
      <c r="G7459" s="1">
        <v>43221</v>
      </c>
      <c r="H7459" s="1">
        <v>42205</v>
      </c>
      <c r="I7459" t="s">
        <v>12</v>
      </c>
      <c r="J7459" t="s">
        <v>18229</v>
      </c>
    </row>
    <row r="7460" spans="1:10" x14ac:dyDescent="0.25">
      <c r="A7460">
        <v>2097911</v>
      </c>
      <c r="B7460" t="s">
        <v>7861</v>
      </c>
      <c r="C7460" t="str">
        <f>"9781604910254"</f>
        <v>9781604910254</v>
      </c>
      <c r="D7460" t="str">
        <f>"9781604910261"</f>
        <v>9781604910261</v>
      </c>
      <c r="E7460" t="s">
        <v>6319</v>
      </c>
      <c r="F7460" t="s">
        <v>6319</v>
      </c>
      <c r="G7460" s="1">
        <v>43221</v>
      </c>
      <c r="H7460" s="1">
        <v>42205</v>
      </c>
      <c r="I7460" t="s">
        <v>12</v>
      </c>
      <c r="J7460" t="s">
        <v>18230</v>
      </c>
    </row>
    <row r="7461" spans="1:10" x14ac:dyDescent="0.25">
      <c r="A7461">
        <v>2122360</v>
      </c>
      <c r="B7461" t="s">
        <v>7862</v>
      </c>
      <c r="C7461" t="str">
        <f>"9781933588469"</f>
        <v>9781933588469</v>
      </c>
      <c r="D7461" t="str">
        <f>"9781933588476"</f>
        <v>9781933588476</v>
      </c>
      <c r="E7461" t="s">
        <v>7863</v>
      </c>
      <c r="F7461" t="s">
        <v>7863</v>
      </c>
      <c r="G7461" s="1">
        <v>42200</v>
      </c>
      <c r="H7461" s="1">
        <v>42226</v>
      </c>
      <c r="I7461" t="s">
        <v>12</v>
      </c>
      <c r="J7461" t="s">
        <v>18231</v>
      </c>
    </row>
    <row r="7462" spans="1:10" x14ac:dyDescent="0.25">
      <c r="A7462">
        <v>2122776</v>
      </c>
      <c r="B7462" t="s">
        <v>7864</v>
      </c>
      <c r="C7462" t="str">
        <f>"9781845415327"</f>
        <v>9781845415327</v>
      </c>
      <c r="D7462" t="str">
        <f>"9781845415341"</f>
        <v>9781845415341</v>
      </c>
      <c r="E7462" t="s">
        <v>886</v>
      </c>
      <c r="F7462" t="s">
        <v>886</v>
      </c>
      <c r="G7462" s="1">
        <v>42220</v>
      </c>
      <c r="H7462" s="1">
        <v>42221</v>
      </c>
      <c r="I7462" t="s">
        <v>12</v>
      </c>
      <c r="J7462" t="s">
        <v>18232</v>
      </c>
    </row>
    <row r="7463" spans="1:10" x14ac:dyDescent="0.25">
      <c r="A7463">
        <v>2125433</v>
      </c>
      <c r="B7463" t="s">
        <v>7865</v>
      </c>
      <c r="C7463" t="str">
        <f>"9781851969395"</f>
        <v>9781851969395</v>
      </c>
      <c r="D7463" t="str">
        <f>"9781317314509"</f>
        <v>9781317314509</v>
      </c>
      <c r="E7463" t="s">
        <v>15</v>
      </c>
      <c r="F7463" t="s">
        <v>16</v>
      </c>
      <c r="G7463" s="1">
        <v>39630</v>
      </c>
      <c r="H7463" s="1">
        <v>42222</v>
      </c>
      <c r="I7463" t="s">
        <v>12</v>
      </c>
      <c r="J7463" t="s">
        <v>18233</v>
      </c>
    </row>
    <row r="7464" spans="1:10" x14ac:dyDescent="0.25">
      <c r="A7464">
        <v>2125458</v>
      </c>
      <c r="B7464" t="s">
        <v>7866</v>
      </c>
      <c r="C7464" t="str">
        <f>"9781851969265"</f>
        <v>9781851969265</v>
      </c>
      <c r="D7464" t="str">
        <f>"9781317314622"</f>
        <v>9781317314622</v>
      </c>
      <c r="E7464" t="s">
        <v>15</v>
      </c>
      <c r="F7464" t="s">
        <v>16</v>
      </c>
      <c r="G7464" s="1">
        <v>39630</v>
      </c>
      <c r="H7464" s="1">
        <v>42222</v>
      </c>
      <c r="I7464" t="s">
        <v>12</v>
      </c>
      <c r="J7464" t="s">
        <v>18234</v>
      </c>
    </row>
    <row r="7465" spans="1:10" x14ac:dyDescent="0.25">
      <c r="A7465">
        <v>2126777</v>
      </c>
      <c r="B7465" t="s">
        <v>7867</v>
      </c>
      <c r="C7465" t="str">
        <f>"9781848931558"</f>
        <v>9781848931558</v>
      </c>
      <c r="D7465" t="str">
        <f>"9781317322726"</f>
        <v>9781317322726</v>
      </c>
      <c r="E7465" t="s">
        <v>15</v>
      </c>
      <c r="F7465" t="s">
        <v>16</v>
      </c>
      <c r="G7465" s="1">
        <v>40848</v>
      </c>
      <c r="H7465" s="1">
        <v>42222</v>
      </c>
      <c r="I7465" t="s">
        <v>12</v>
      </c>
      <c r="J7465" t="s">
        <v>18235</v>
      </c>
    </row>
    <row r="7466" spans="1:10" x14ac:dyDescent="0.25">
      <c r="A7466">
        <v>2126784</v>
      </c>
      <c r="B7466" t="s">
        <v>7868</v>
      </c>
      <c r="C7466" t="str">
        <f>"9781848931497"</f>
        <v>9781848931497</v>
      </c>
      <c r="D7466" t="str">
        <f>"9781317322788"</f>
        <v>9781317322788</v>
      </c>
      <c r="E7466" t="s">
        <v>15</v>
      </c>
      <c r="F7466" t="s">
        <v>16</v>
      </c>
      <c r="G7466" s="1">
        <v>40360</v>
      </c>
      <c r="H7466" s="1">
        <v>42222</v>
      </c>
      <c r="I7466" t="s">
        <v>12</v>
      </c>
      <c r="J7466" t="s">
        <v>18236</v>
      </c>
    </row>
    <row r="7467" spans="1:10" x14ac:dyDescent="0.25">
      <c r="A7467">
        <v>2126792</v>
      </c>
      <c r="B7467" t="s">
        <v>7869</v>
      </c>
      <c r="C7467" t="str">
        <f>"9781848930438"</f>
        <v>9781848930438</v>
      </c>
      <c r="D7467" t="str">
        <f>"9781317323839"</f>
        <v>9781317323839</v>
      </c>
      <c r="E7467" t="s">
        <v>15</v>
      </c>
      <c r="F7467" t="s">
        <v>16</v>
      </c>
      <c r="G7467" s="1">
        <v>40725</v>
      </c>
      <c r="H7467" s="1">
        <v>42222</v>
      </c>
      <c r="I7467" t="s">
        <v>12</v>
      </c>
      <c r="J7467" t="s">
        <v>18237</v>
      </c>
    </row>
    <row r="7468" spans="1:10" x14ac:dyDescent="0.25">
      <c r="A7468">
        <v>2126811</v>
      </c>
      <c r="B7468" t="s">
        <v>7870</v>
      </c>
      <c r="C7468" t="str">
        <f>"9781848930711"</f>
        <v>9781848930711</v>
      </c>
      <c r="D7468" t="str">
        <f>"9781317323563"</f>
        <v>9781317323563</v>
      </c>
      <c r="E7468" t="s">
        <v>15</v>
      </c>
      <c r="F7468" t="s">
        <v>16</v>
      </c>
      <c r="G7468" s="1">
        <v>40360</v>
      </c>
      <c r="H7468" s="1">
        <v>42222</v>
      </c>
      <c r="I7468" t="s">
        <v>12</v>
      </c>
      <c r="J7468" t="s">
        <v>18238</v>
      </c>
    </row>
    <row r="7469" spans="1:10" x14ac:dyDescent="0.25">
      <c r="A7469">
        <v>2126837</v>
      </c>
      <c r="B7469" t="s">
        <v>7871</v>
      </c>
      <c r="C7469" t="str">
        <f>"9781848931367"</f>
        <v>9781848931367</v>
      </c>
      <c r="D7469" t="str">
        <f>"9781317322849"</f>
        <v>9781317322849</v>
      </c>
      <c r="E7469" t="s">
        <v>15</v>
      </c>
      <c r="F7469" t="s">
        <v>16</v>
      </c>
      <c r="G7469" s="1">
        <v>40725</v>
      </c>
      <c r="H7469" s="1">
        <v>42222</v>
      </c>
      <c r="I7469" t="s">
        <v>12</v>
      </c>
      <c r="J7469" t="s">
        <v>18239</v>
      </c>
    </row>
    <row r="7470" spans="1:10" x14ac:dyDescent="0.25">
      <c r="A7470">
        <v>2126871</v>
      </c>
      <c r="B7470" t="s">
        <v>7872</v>
      </c>
      <c r="C7470" t="str">
        <f>"9781851969708"</f>
        <v>9781851969708</v>
      </c>
      <c r="D7470" t="str">
        <f>"9781317314110"</f>
        <v>9781317314110</v>
      </c>
      <c r="E7470" t="s">
        <v>15</v>
      </c>
      <c r="F7470" t="s">
        <v>16</v>
      </c>
      <c r="G7470" s="1">
        <v>39630</v>
      </c>
      <c r="H7470" s="1">
        <v>42222</v>
      </c>
      <c r="I7470" t="s">
        <v>12</v>
      </c>
      <c r="J7470" t="s">
        <v>18240</v>
      </c>
    </row>
    <row r="7471" spans="1:10" x14ac:dyDescent="0.25">
      <c r="A7471">
        <v>2126880</v>
      </c>
      <c r="B7471" t="s">
        <v>7873</v>
      </c>
      <c r="C7471" t="str">
        <f>"9781848930896"</f>
        <v>9781848930896</v>
      </c>
      <c r="D7471" t="str">
        <f>"9781317323358"</f>
        <v>9781317323358</v>
      </c>
      <c r="E7471" t="s">
        <v>15</v>
      </c>
      <c r="F7471" t="s">
        <v>16</v>
      </c>
      <c r="G7471" s="1">
        <v>40695</v>
      </c>
      <c r="H7471" s="1">
        <v>42222</v>
      </c>
      <c r="I7471" t="s">
        <v>12</v>
      </c>
      <c r="J7471" t="s">
        <v>18241</v>
      </c>
    </row>
    <row r="7472" spans="1:10" x14ac:dyDescent="0.25">
      <c r="A7472">
        <v>2166341</v>
      </c>
      <c r="B7472" t="s">
        <v>7874</v>
      </c>
      <c r="C7472" t="str">
        <f>"9781138950160"</f>
        <v>9781138950160</v>
      </c>
      <c r="D7472" t="str">
        <f>"9781317305897"</f>
        <v>9781317305897</v>
      </c>
      <c r="E7472" t="s">
        <v>16</v>
      </c>
      <c r="F7472" t="s">
        <v>16</v>
      </c>
      <c r="G7472" s="1">
        <v>37964</v>
      </c>
      <c r="H7472" s="1">
        <v>42234</v>
      </c>
      <c r="I7472" t="s">
        <v>12</v>
      </c>
      <c r="J7472" t="s">
        <v>18242</v>
      </c>
    </row>
    <row r="7473" spans="1:10" x14ac:dyDescent="0.25">
      <c r="A7473">
        <v>2166641</v>
      </c>
      <c r="B7473" t="s">
        <v>7875</v>
      </c>
      <c r="C7473" t="str">
        <f>"9780826194541"</f>
        <v>9780826194541</v>
      </c>
      <c r="D7473" t="str">
        <f>"9780826194558"</f>
        <v>9780826194558</v>
      </c>
      <c r="E7473" t="s">
        <v>3016</v>
      </c>
      <c r="F7473" t="s">
        <v>3016</v>
      </c>
      <c r="G7473" s="1">
        <v>42213</v>
      </c>
      <c r="H7473" s="1">
        <v>42344</v>
      </c>
      <c r="I7473" t="s">
        <v>12</v>
      </c>
      <c r="J7473" t="s">
        <v>18243</v>
      </c>
    </row>
    <row r="7474" spans="1:10" x14ac:dyDescent="0.25">
      <c r="A7474">
        <v>2166643</v>
      </c>
      <c r="B7474" t="s">
        <v>7876</v>
      </c>
      <c r="C7474" t="str">
        <f>"9780826119919"</f>
        <v>9780826119919</v>
      </c>
      <c r="D7474" t="str">
        <f>"9780826119926"</f>
        <v>9780826119926</v>
      </c>
      <c r="E7474" t="s">
        <v>3016</v>
      </c>
      <c r="F7474" t="s">
        <v>3016</v>
      </c>
      <c r="G7474" s="1">
        <v>42036</v>
      </c>
      <c r="H7474" s="1">
        <v>42344</v>
      </c>
      <c r="I7474" t="s">
        <v>12</v>
      </c>
      <c r="J7474" t="s">
        <v>18244</v>
      </c>
    </row>
    <row r="7475" spans="1:10" x14ac:dyDescent="0.25">
      <c r="A7475">
        <v>2166648</v>
      </c>
      <c r="B7475" t="s">
        <v>7877</v>
      </c>
      <c r="C7475" t="str">
        <f>"9780826196385"</f>
        <v>9780826196385</v>
      </c>
      <c r="D7475" t="str">
        <f>"9780826196392"</f>
        <v>9780826196392</v>
      </c>
      <c r="E7475" t="s">
        <v>3016</v>
      </c>
      <c r="F7475" t="s">
        <v>3016</v>
      </c>
      <c r="G7475" s="1">
        <v>42074</v>
      </c>
      <c r="H7475" s="1">
        <v>42331</v>
      </c>
      <c r="I7475" t="s">
        <v>12</v>
      </c>
      <c r="J7475" t="s">
        <v>18245</v>
      </c>
    </row>
    <row r="7476" spans="1:10" x14ac:dyDescent="0.25">
      <c r="A7476">
        <v>2166654</v>
      </c>
      <c r="B7476" t="s">
        <v>7878</v>
      </c>
      <c r="C7476" t="str">
        <f>"9780826198617"</f>
        <v>9780826198617</v>
      </c>
      <c r="D7476" t="str">
        <f>"9780826198631"</f>
        <v>9780826198631</v>
      </c>
      <c r="E7476" t="s">
        <v>3016</v>
      </c>
      <c r="F7476" t="s">
        <v>3016</v>
      </c>
      <c r="G7476" s="1">
        <v>42100</v>
      </c>
      <c r="H7476" s="1">
        <v>42331</v>
      </c>
      <c r="I7476" t="s">
        <v>12</v>
      </c>
      <c r="J7476" t="s">
        <v>18246</v>
      </c>
    </row>
    <row r="7477" spans="1:10" x14ac:dyDescent="0.25">
      <c r="A7477">
        <v>2166657</v>
      </c>
      <c r="B7477" t="s">
        <v>7879</v>
      </c>
      <c r="C7477" t="str">
        <f>"9780826127037"</f>
        <v>9780826127037</v>
      </c>
      <c r="D7477" t="str">
        <f>"9780826127044"</f>
        <v>9780826127044</v>
      </c>
      <c r="E7477" t="s">
        <v>3016</v>
      </c>
      <c r="F7477" t="s">
        <v>3016</v>
      </c>
      <c r="G7477" s="1">
        <v>42107</v>
      </c>
      <c r="H7477" s="1">
        <v>42234</v>
      </c>
      <c r="I7477" t="s">
        <v>12</v>
      </c>
      <c r="J7477" t="s">
        <v>18247</v>
      </c>
    </row>
    <row r="7478" spans="1:10" x14ac:dyDescent="0.25">
      <c r="A7478">
        <v>2166664</v>
      </c>
      <c r="B7478" t="s">
        <v>7880</v>
      </c>
      <c r="C7478" t="str">
        <f>"9780826130174"</f>
        <v>9780826130174</v>
      </c>
      <c r="D7478" t="str">
        <f>"9780826130181"</f>
        <v>9780826130181</v>
      </c>
      <c r="E7478" t="s">
        <v>3016</v>
      </c>
      <c r="F7478" t="s">
        <v>3016</v>
      </c>
      <c r="G7478" s="1">
        <v>42136</v>
      </c>
      <c r="H7478" s="1">
        <v>42331</v>
      </c>
      <c r="I7478" t="s">
        <v>12</v>
      </c>
      <c r="J7478" t="s">
        <v>18248</v>
      </c>
    </row>
    <row r="7479" spans="1:10" x14ac:dyDescent="0.25">
      <c r="A7479">
        <v>2166669</v>
      </c>
      <c r="B7479" t="s">
        <v>7881</v>
      </c>
      <c r="C7479" t="str">
        <f>"9780826127624"</f>
        <v>9780826127624</v>
      </c>
      <c r="D7479" t="str">
        <f>"9780826127631"</f>
        <v>9780826127631</v>
      </c>
      <c r="E7479" t="s">
        <v>3016</v>
      </c>
      <c r="F7479" t="s">
        <v>3016</v>
      </c>
      <c r="G7479" s="1">
        <v>42181</v>
      </c>
      <c r="H7479" s="1">
        <v>42344</v>
      </c>
      <c r="I7479" t="s">
        <v>12</v>
      </c>
      <c r="J7479" t="s">
        <v>18249</v>
      </c>
    </row>
    <row r="7480" spans="1:10" x14ac:dyDescent="0.25">
      <c r="A7480">
        <v>2166673</v>
      </c>
      <c r="B7480" t="s">
        <v>7882</v>
      </c>
      <c r="C7480" t="str">
        <f>"9780826194060"</f>
        <v>9780826194060</v>
      </c>
      <c r="D7480" t="str">
        <f>"9780826194077"</f>
        <v>9780826194077</v>
      </c>
      <c r="E7480" t="s">
        <v>3016</v>
      </c>
      <c r="F7480" t="s">
        <v>3016</v>
      </c>
      <c r="G7480" s="1">
        <v>42191</v>
      </c>
      <c r="H7480" s="1">
        <v>42331</v>
      </c>
      <c r="I7480" t="s">
        <v>12</v>
      </c>
      <c r="J7480" t="s">
        <v>18250</v>
      </c>
    </row>
    <row r="7481" spans="1:10" x14ac:dyDescent="0.25">
      <c r="A7481">
        <v>2166674</v>
      </c>
      <c r="B7481" t="s">
        <v>7883</v>
      </c>
      <c r="C7481" t="str">
        <f>"9780826121721"</f>
        <v>9780826121721</v>
      </c>
      <c r="D7481" t="str">
        <f>"9780826121738"</f>
        <v>9780826121738</v>
      </c>
      <c r="E7481" t="s">
        <v>3016</v>
      </c>
      <c r="F7481" t="s">
        <v>3016</v>
      </c>
      <c r="G7481" s="1">
        <v>42205</v>
      </c>
      <c r="H7481" s="1">
        <v>42331</v>
      </c>
      <c r="I7481" t="s">
        <v>12</v>
      </c>
      <c r="J7481" t="s">
        <v>18251</v>
      </c>
    </row>
    <row r="7482" spans="1:10" x14ac:dyDescent="0.25">
      <c r="A7482">
        <v>2166675</v>
      </c>
      <c r="B7482" t="s">
        <v>7884</v>
      </c>
      <c r="C7482" t="str">
        <f>"9780826122728"</f>
        <v>9780826122728</v>
      </c>
      <c r="D7482" t="str">
        <f>"9780826122735"</f>
        <v>9780826122735</v>
      </c>
      <c r="E7482" t="s">
        <v>3016</v>
      </c>
      <c r="F7482" t="s">
        <v>3016</v>
      </c>
      <c r="G7482" s="1">
        <v>42200</v>
      </c>
      <c r="H7482" s="1">
        <v>42344</v>
      </c>
      <c r="I7482" t="s">
        <v>12</v>
      </c>
      <c r="J7482" t="s">
        <v>18252</v>
      </c>
    </row>
    <row r="7483" spans="1:10" x14ac:dyDescent="0.25">
      <c r="A7483">
        <v>2194905</v>
      </c>
      <c r="B7483" t="s">
        <v>7885</v>
      </c>
      <c r="C7483" t="str">
        <f>"9781138960336"</f>
        <v>9781138960336</v>
      </c>
      <c r="D7483" t="str">
        <f>"9781317304814"</f>
        <v>9781317304814</v>
      </c>
      <c r="E7483" t="s">
        <v>15</v>
      </c>
      <c r="F7483" t="s">
        <v>16</v>
      </c>
      <c r="G7483" s="1">
        <v>38987</v>
      </c>
      <c r="H7483" s="1">
        <v>42244</v>
      </c>
      <c r="I7483" t="s">
        <v>12</v>
      </c>
      <c r="J7483" t="s">
        <v>18253</v>
      </c>
    </row>
    <row r="7484" spans="1:10" x14ac:dyDescent="0.25">
      <c r="A7484">
        <v>2194949</v>
      </c>
      <c r="B7484" t="s">
        <v>7886</v>
      </c>
      <c r="C7484" t="str">
        <f>"9781138960343"</f>
        <v>9781138960343</v>
      </c>
      <c r="D7484" t="str">
        <f>"9781317304784"</f>
        <v>9781317304784</v>
      </c>
      <c r="E7484" t="s">
        <v>15</v>
      </c>
      <c r="F7484" t="s">
        <v>16</v>
      </c>
      <c r="G7484" s="1">
        <v>37435</v>
      </c>
      <c r="H7484" s="1">
        <v>42244</v>
      </c>
      <c r="I7484" t="s">
        <v>12</v>
      </c>
      <c r="J7484" t="s">
        <v>18254</v>
      </c>
    </row>
    <row r="7485" spans="1:10" x14ac:dyDescent="0.25">
      <c r="A7485">
        <v>3000506</v>
      </c>
      <c r="B7485" t="s">
        <v>7887</v>
      </c>
      <c r="C7485" t="str">
        <f>"9780313314827"</f>
        <v>9780313314827</v>
      </c>
      <c r="D7485" t="str">
        <f>"9780313016776"</f>
        <v>9780313016776</v>
      </c>
      <c r="E7485" t="s">
        <v>7888</v>
      </c>
      <c r="F7485" t="s">
        <v>7889</v>
      </c>
      <c r="G7485" s="1">
        <v>37226</v>
      </c>
      <c r="H7485" s="1">
        <v>37622</v>
      </c>
      <c r="I7485" t="s">
        <v>12</v>
      </c>
      <c r="J7485" t="s">
        <v>18255</v>
      </c>
    </row>
    <row r="7486" spans="1:10" x14ac:dyDescent="0.25">
      <c r="A7486">
        <v>3000725</v>
      </c>
      <c r="B7486" t="s">
        <v>7890</v>
      </c>
      <c r="C7486" t="str">
        <f>"9780275971434"</f>
        <v>9780275971434</v>
      </c>
      <c r="D7486" t="str">
        <f>"9780313074677"</f>
        <v>9780313074677</v>
      </c>
      <c r="E7486" t="s">
        <v>7888</v>
      </c>
      <c r="F7486" t="s">
        <v>7889</v>
      </c>
      <c r="G7486" s="1">
        <v>37104</v>
      </c>
      <c r="H7486" s="1">
        <v>37622</v>
      </c>
      <c r="I7486" t="s">
        <v>12</v>
      </c>
      <c r="J7486" t="s">
        <v>18256</v>
      </c>
    </row>
    <row r="7487" spans="1:10" x14ac:dyDescent="0.25">
      <c r="A7487">
        <v>3000874</v>
      </c>
      <c r="B7487" t="s">
        <v>7891</v>
      </c>
      <c r="C7487" t="str">
        <f>"9780313309557"</f>
        <v>9780313309557</v>
      </c>
      <c r="D7487" t="str">
        <f>"9780313006876"</f>
        <v>9780313006876</v>
      </c>
      <c r="E7487" t="s">
        <v>7888</v>
      </c>
      <c r="F7487" t="s">
        <v>7889</v>
      </c>
      <c r="G7487" s="1">
        <v>37226</v>
      </c>
      <c r="H7487" s="1">
        <v>37859</v>
      </c>
      <c r="I7487" t="s">
        <v>12</v>
      </c>
      <c r="J7487" t="s">
        <v>18257</v>
      </c>
    </row>
    <row r="7488" spans="1:10" x14ac:dyDescent="0.25">
      <c r="A7488">
        <v>3000941</v>
      </c>
      <c r="B7488" t="s">
        <v>7892</v>
      </c>
      <c r="C7488" t="str">
        <f>"9780313320767"</f>
        <v>9780313320767</v>
      </c>
      <c r="D7488" t="str">
        <f>"9780313052804"</f>
        <v>9780313052804</v>
      </c>
      <c r="E7488" t="s">
        <v>7893</v>
      </c>
      <c r="F7488" t="s">
        <v>2457</v>
      </c>
      <c r="G7488" s="1">
        <v>37987</v>
      </c>
      <c r="H7488" s="1">
        <v>39107</v>
      </c>
      <c r="I7488" t="s">
        <v>12</v>
      </c>
      <c r="J7488" t="s">
        <v>18258</v>
      </c>
    </row>
    <row r="7489" spans="1:10" x14ac:dyDescent="0.25">
      <c r="A7489">
        <v>3000957</v>
      </c>
      <c r="B7489" t="s">
        <v>7894</v>
      </c>
      <c r="C7489" t="str">
        <f>"9780275979034"</f>
        <v>9780275979034</v>
      </c>
      <c r="D7489" t="str">
        <f>"9780313051807"</f>
        <v>9780313051807</v>
      </c>
      <c r="E7489" t="s">
        <v>7888</v>
      </c>
      <c r="F7489" t="s">
        <v>7889</v>
      </c>
      <c r="G7489" s="1">
        <v>38078</v>
      </c>
      <c r="H7489" s="1">
        <v>39107</v>
      </c>
      <c r="I7489" t="s">
        <v>12</v>
      </c>
      <c r="J7489" t="s">
        <v>18259</v>
      </c>
    </row>
    <row r="7490" spans="1:10" x14ac:dyDescent="0.25">
      <c r="A7490">
        <v>3000995</v>
      </c>
      <c r="B7490" t="s">
        <v>7895</v>
      </c>
      <c r="C7490" t="str">
        <f>"9780275984021"</f>
        <v>9780275984021</v>
      </c>
      <c r="D7490" t="str">
        <f>"9780313026799"</f>
        <v>9780313026799</v>
      </c>
      <c r="E7490" t="s">
        <v>7888</v>
      </c>
      <c r="F7490" t="s">
        <v>7889</v>
      </c>
      <c r="G7490" s="1">
        <v>38231</v>
      </c>
      <c r="H7490" s="1">
        <v>39107</v>
      </c>
      <c r="I7490" t="s">
        <v>12</v>
      </c>
      <c r="J7490" t="s">
        <v>18260</v>
      </c>
    </row>
    <row r="7491" spans="1:10" x14ac:dyDescent="0.25">
      <c r="A7491">
        <v>3001041</v>
      </c>
      <c r="B7491" t="s">
        <v>7896</v>
      </c>
      <c r="C7491" t="str">
        <f>"9780275980405"</f>
        <v>9780275980405</v>
      </c>
      <c r="D7491" t="str">
        <f>"9780313057601"</f>
        <v>9780313057601</v>
      </c>
      <c r="E7491" t="s">
        <v>7888</v>
      </c>
      <c r="F7491" t="s">
        <v>7889</v>
      </c>
      <c r="G7491" s="1">
        <v>38322</v>
      </c>
      <c r="H7491" s="1">
        <v>39107</v>
      </c>
      <c r="I7491" t="s">
        <v>12</v>
      </c>
      <c r="J7491" t="s">
        <v>18261</v>
      </c>
    </row>
    <row r="7492" spans="1:10" x14ac:dyDescent="0.25">
      <c r="A7492">
        <v>3001056</v>
      </c>
      <c r="B7492" t="s">
        <v>7897</v>
      </c>
      <c r="C7492" t="str">
        <f>"9780313310348"</f>
        <v>9780313310348</v>
      </c>
      <c r="D7492" t="str">
        <f>"9780313061561"</f>
        <v>9780313061561</v>
      </c>
      <c r="E7492" t="s">
        <v>7888</v>
      </c>
      <c r="F7492" t="s">
        <v>7889</v>
      </c>
      <c r="G7492" s="1">
        <v>38231</v>
      </c>
      <c r="H7492" s="1">
        <v>39107</v>
      </c>
      <c r="I7492" t="s">
        <v>12</v>
      </c>
      <c r="J7492" t="s">
        <v>18262</v>
      </c>
    </row>
    <row r="7493" spans="1:10" x14ac:dyDescent="0.25">
      <c r="A7493">
        <v>3001057</v>
      </c>
      <c r="B7493" t="s">
        <v>7898</v>
      </c>
      <c r="C7493" t="str">
        <f>"9780313320095"</f>
        <v>9780313320095</v>
      </c>
      <c r="D7493" t="str">
        <f>"9780313068652"</f>
        <v>9780313068652</v>
      </c>
      <c r="E7493" t="s">
        <v>7888</v>
      </c>
      <c r="F7493" t="s">
        <v>7889</v>
      </c>
      <c r="G7493" s="1">
        <v>38412</v>
      </c>
      <c r="H7493" s="1">
        <v>39107</v>
      </c>
      <c r="I7493" t="s">
        <v>12</v>
      </c>
      <c r="J7493" t="s">
        <v>18263</v>
      </c>
    </row>
    <row r="7494" spans="1:10" x14ac:dyDescent="0.25">
      <c r="A7494">
        <v>3001063</v>
      </c>
      <c r="B7494" t="s">
        <v>7899</v>
      </c>
      <c r="C7494" t="str">
        <f>"9781567506846"</f>
        <v>9781567506846</v>
      </c>
      <c r="D7494" t="str">
        <f>"9780313072284"</f>
        <v>9780313072284</v>
      </c>
      <c r="E7494" t="s">
        <v>7888</v>
      </c>
      <c r="F7494" t="s">
        <v>7889</v>
      </c>
      <c r="G7494" s="1">
        <v>37773</v>
      </c>
      <c r="H7494" s="1">
        <v>39107</v>
      </c>
      <c r="I7494" t="s">
        <v>12</v>
      </c>
      <c r="J7494" t="s">
        <v>18264</v>
      </c>
    </row>
    <row r="7495" spans="1:10" x14ac:dyDescent="0.25">
      <c r="A7495">
        <v>3001098</v>
      </c>
      <c r="B7495" t="s">
        <v>7900</v>
      </c>
      <c r="C7495" t="str">
        <f>"9781591580270"</f>
        <v>9781591580270</v>
      </c>
      <c r="D7495" t="str">
        <f>"9780313058783"</f>
        <v>9780313058783</v>
      </c>
      <c r="E7495" t="s">
        <v>7893</v>
      </c>
      <c r="F7495" t="s">
        <v>2457</v>
      </c>
      <c r="G7495" s="1">
        <v>38139</v>
      </c>
      <c r="H7495" s="1">
        <v>39343</v>
      </c>
      <c r="I7495" t="s">
        <v>12</v>
      </c>
      <c r="J7495" t="s">
        <v>18265</v>
      </c>
    </row>
    <row r="7496" spans="1:10" x14ac:dyDescent="0.25">
      <c r="A7496">
        <v>3001103</v>
      </c>
      <c r="B7496" t="s">
        <v>7901</v>
      </c>
      <c r="C7496" t="str">
        <f>"9781567204544"</f>
        <v>9781567204544</v>
      </c>
      <c r="D7496" t="str">
        <f>"9780313076626"</f>
        <v>9780313076626</v>
      </c>
      <c r="E7496" t="s">
        <v>7888</v>
      </c>
      <c r="F7496" t="s">
        <v>7889</v>
      </c>
      <c r="G7496" s="1">
        <v>37257</v>
      </c>
      <c r="H7496" s="1">
        <v>39343</v>
      </c>
      <c r="I7496" t="s">
        <v>12</v>
      </c>
      <c r="J7496" t="s">
        <v>18266</v>
      </c>
    </row>
    <row r="7497" spans="1:10" x14ac:dyDescent="0.25">
      <c r="A7497">
        <v>3001113</v>
      </c>
      <c r="B7497" t="s">
        <v>7902</v>
      </c>
      <c r="C7497" t="str">
        <f>"9781591581918"</f>
        <v>9781591581918</v>
      </c>
      <c r="D7497" t="str">
        <f>"9780313068904"</f>
        <v>9780313068904</v>
      </c>
      <c r="E7497" t="s">
        <v>7893</v>
      </c>
      <c r="F7497" t="s">
        <v>2457</v>
      </c>
      <c r="G7497" s="1">
        <v>38443</v>
      </c>
      <c r="H7497" s="1">
        <v>39343</v>
      </c>
      <c r="I7497" t="s">
        <v>12</v>
      </c>
      <c r="J7497" t="s">
        <v>18267</v>
      </c>
    </row>
    <row r="7498" spans="1:10" x14ac:dyDescent="0.25">
      <c r="A7498">
        <v>3001126</v>
      </c>
      <c r="B7498" t="s">
        <v>7903</v>
      </c>
      <c r="C7498" t="str">
        <f>"9781591581840"</f>
        <v>9781591581840</v>
      </c>
      <c r="D7498" t="str">
        <f>"9780897899437"</f>
        <v>9780897899437</v>
      </c>
      <c r="E7498" t="s">
        <v>7893</v>
      </c>
      <c r="F7498" t="s">
        <v>2457</v>
      </c>
      <c r="G7498" s="1">
        <v>38443</v>
      </c>
      <c r="H7498" s="1">
        <v>39343</v>
      </c>
      <c r="I7498" t="s">
        <v>12</v>
      </c>
      <c r="J7498" t="s">
        <v>18268</v>
      </c>
    </row>
    <row r="7499" spans="1:10" x14ac:dyDescent="0.25">
      <c r="A7499">
        <v>3001149</v>
      </c>
      <c r="B7499" t="s">
        <v>7904</v>
      </c>
      <c r="C7499" t="str">
        <f>"9780897898829"</f>
        <v>9780897898829</v>
      </c>
      <c r="D7499" t="str">
        <f>"9780313053146"</f>
        <v>9780313053146</v>
      </c>
      <c r="E7499" t="s">
        <v>7888</v>
      </c>
      <c r="F7499" t="s">
        <v>7889</v>
      </c>
      <c r="G7499" s="1">
        <v>37865</v>
      </c>
      <c r="H7499" s="1">
        <v>39343</v>
      </c>
      <c r="I7499" t="s">
        <v>12</v>
      </c>
      <c r="J7499" t="s">
        <v>18269</v>
      </c>
    </row>
    <row r="7500" spans="1:10" x14ac:dyDescent="0.25">
      <c r="A7500">
        <v>3001169</v>
      </c>
      <c r="B7500" t="s">
        <v>7905</v>
      </c>
      <c r="C7500" t="str">
        <f>"9781567206166"</f>
        <v>9781567206166</v>
      </c>
      <c r="D7500" t="str">
        <f>"9780313072505"</f>
        <v>9780313072505</v>
      </c>
      <c r="E7500" t="s">
        <v>7888</v>
      </c>
      <c r="F7500" t="s">
        <v>7889</v>
      </c>
      <c r="G7500" s="1">
        <v>37926</v>
      </c>
      <c r="H7500" s="1">
        <v>39343</v>
      </c>
      <c r="I7500" t="s">
        <v>12</v>
      </c>
      <c r="J7500" t="s">
        <v>18270</v>
      </c>
    </row>
    <row r="7501" spans="1:10" x14ac:dyDescent="0.25">
      <c r="A7501">
        <v>3001174</v>
      </c>
      <c r="B7501" t="s">
        <v>7906</v>
      </c>
      <c r="C7501" t="str">
        <f>"9780897897495"</f>
        <v>9780897897495</v>
      </c>
      <c r="D7501" t="str">
        <f>"9780313053078"</f>
        <v>9780313053078</v>
      </c>
      <c r="E7501" t="s">
        <v>7888</v>
      </c>
      <c r="F7501" t="s">
        <v>7889</v>
      </c>
      <c r="G7501" s="1">
        <v>37895</v>
      </c>
      <c r="H7501" s="1">
        <v>39343</v>
      </c>
      <c r="I7501" t="s">
        <v>12</v>
      </c>
      <c r="J7501" t="s">
        <v>18271</v>
      </c>
    </row>
    <row r="7502" spans="1:10" x14ac:dyDescent="0.25">
      <c r="A7502">
        <v>3001175</v>
      </c>
      <c r="B7502" t="s">
        <v>7907</v>
      </c>
      <c r="C7502" t="str">
        <f>"9781563088193"</f>
        <v>9781563088193</v>
      </c>
      <c r="D7502" t="str">
        <f>"9780313068577"</f>
        <v>9780313068577</v>
      </c>
      <c r="E7502" t="s">
        <v>7893</v>
      </c>
      <c r="F7502" t="s">
        <v>2457</v>
      </c>
      <c r="G7502" s="1">
        <v>38412</v>
      </c>
      <c r="H7502" s="1">
        <v>39343</v>
      </c>
      <c r="I7502" t="s">
        <v>12</v>
      </c>
      <c r="J7502" t="s">
        <v>18272</v>
      </c>
    </row>
    <row r="7503" spans="1:10" x14ac:dyDescent="0.25">
      <c r="A7503">
        <v>3001190</v>
      </c>
      <c r="B7503" t="s">
        <v>7908</v>
      </c>
      <c r="C7503" t="str">
        <f>"9781591583202"</f>
        <v>9781591583202</v>
      </c>
      <c r="D7503" t="str">
        <f>"9780897899628"</f>
        <v>9780897899628</v>
      </c>
      <c r="E7503" t="s">
        <v>7893</v>
      </c>
      <c r="F7503" t="s">
        <v>2457</v>
      </c>
      <c r="G7503" s="1">
        <v>38596</v>
      </c>
      <c r="H7503" s="1">
        <v>39343</v>
      </c>
      <c r="I7503" t="s">
        <v>12</v>
      </c>
      <c r="J7503" t="s">
        <v>18273</v>
      </c>
    </row>
    <row r="7504" spans="1:10" x14ac:dyDescent="0.25">
      <c r="A7504">
        <v>3001194</v>
      </c>
      <c r="B7504" t="s">
        <v>7909</v>
      </c>
      <c r="C7504" t="str">
        <f>"9780897898003"</f>
        <v>9780897898003</v>
      </c>
      <c r="D7504" t="str">
        <f>"9780313053115"</f>
        <v>9780313053115</v>
      </c>
      <c r="E7504" t="s">
        <v>7888</v>
      </c>
      <c r="F7504" t="s">
        <v>7889</v>
      </c>
      <c r="G7504" s="1">
        <v>37681</v>
      </c>
      <c r="H7504" s="1">
        <v>39343</v>
      </c>
      <c r="I7504" t="s">
        <v>12</v>
      </c>
      <c r="J7504" t="s">
        <v>18274</v>
      </c>
    </row>
    <row r="7505" spans="1:10" x14ac:dyDescent="0.25">
      <c r="A7505">
        <v>3001196</v>
      </c>
      <c r="B7505" t="s">
        <v>7910</v>
      </c>
      <c r="C7505" t="str">
        <f>"9781567204629"</f>
        <v>9781567204629</v>
      </c>
      <c r="D7505" t="str">
        <f>"9780313076459"</f>
        <v>9780313076459</v>
      </c>
      <c r="E7505" t="s">
        <v>7888</v>
      </c>
      <c r="F7505" t="s">
        <v>7889</v>
      </c>
      <c r="G7505" s="1">
        <v>37530</v>
      </c>
      <c r="H7505" s="1">
        <v>39343</v>
      </c>
      <c r="I7505" t="s">
        <v>12</v>
      </c>
      <c r="J7505" t="s">
        <v>18275</v>
      </c>
    </row>
    <row r="7506" spans="1:10" x14ac:dyDescent="0.25">
      <c r="A7506">
        <v>3001326</v>
      </c>
      <c r="B7506" t="s">
        <v>7911</v>
      </c>
      <c r="C7506" t="str">
        <f>"9780275980115"</f>
        <v>9780275980115</v>
      </c>
      <c r="D7506" t="str">
        <f>"9780313057557"</f>
        <v>9780313057557</v>
      </c>
      <c r="E7506" t="s">
        <v>6230</v>
      </c>
      <c r="F7506" t="s">
        <v>6231</v>
      </c>
      <c r="G7506" s="1">
        <v>37924</v>
      </c>
      <c r="H7506" s="1">
        <v>40152</v>
      </c>
      <c r="I7506" t="s">
        <v>12</v>
      </c>
      <c r="J7506" t="s">
        <v>18276</v>
      </c>
    </row>
    <row r="7507" spans="1:10" x14ac:dyDescent="0.25">
      <c r="A7507">
        <v>3001333</v>
      </c>
      <c r="B7507" t="s">
        <v>7912</v>
      </c>
      <c r="C7507" t="str">
        <f>"9780275976828"</f>
        <v>9780275976828</v>
      </c>
      <c r="D7507" t="str">
        <f>"9780313012488"</f>
        <v>9780313012488</v>
      </c>
      <c r="E7507" t="s">
        <v>1951</v>
      </c>
      <c r="F7507" t="s">
        <v>6233</v>
      </c>
      <c r="G7507" s="1">
        <v>37437</v>
      </c>
      <c r="H7507" s="1">
        <v>40152</v>
      </c>
      <c r="I7507" t="s">
        <v>12</v>
      </c>
      <c r="J7507" t="s">
        <v>18277</v>
      </c>
    </row>
    <row r="7508" spans="1:10" x14ac:dyDescent="0.25">
      <c r="A7508">
        <v>3001473</v>
      </c>
      <c r="B7508" t="s">
        <v>7913</v>
      </c>
      <c r="C7508" t="str">
        <f>"9781591588870"</f>
        <v>9781591588870</v>
      </c>
      <c r="D7508" t="str">
        <f>"9780313391170"</f>
        <v>9780313391170</v>
      </c>
      <c r="E7508" t="s">
        <v>6230</v>
      </c>
      <c r="F7508" t="s">
        <v>2457</v>
      </c>
      <c r="G7508" s="1">
        <v>40136</v>
      </c>
      <c r="H7508" s="1">
        <v>40333</v>
      </c>
      <c r="I7508" t="s">
        <v>12</v>
      </c>
      <c r="J7508" t="s">
        <v>18278</v>
      </c>
    </row>
    <row r="7509" spans="1:10" x14ac:dyDescent="0.25">
      <c r="A7509">
        <v>3001563</v>
      </c>
      <c r="B7509" t="s">
        <v>7914</v>
      </c>
      <c r="C7509" t="str">
        <f>"9780838935651"</f>
        <v>9780838935651</v>
      </c>
      <c r="D7509" t="str">
        <f>"9780838998342"</f>
        <v>9780838998342</v>
      </c>
      <c r="E7509" t="s">
        <v>6111</v>
      </c>
      <c r="F7509" t="s">
        <v>6111</v>
      </c>
      <c r="G7509" s="1">
        <v>38687</v>
      </c>
      <c r="H7509" s="1">
        <v>39319</v>
      </c>
      <c r="I7509" t="s">
        <v>12</v>
      </c>
      <c r="J7509" t="s">
        <v>18279</v>
      </c>
    </row>
    <row r="7510" spans="1:10" x14ac:dyDescent="0.25">
      <c r="A7510">
        <v>3001581</v>
      </c>
      <c r="B7510" t="s">
        <v>7915</v>
      </c>
      <c r="C7510" t="str">
        <f>"9780838908396"</f>
        <v>9780838908396</v>
      </c>
      <c r="D7510" t="str">
        <f>"9780838998915"</f>
        <v>9780838998915</v>
      </c>
      <c r="E7510" t="s">
        <v>6111</v>
      </c>
      <c r="F7510" t="s">
        <v>6111</v>
      </c>
      <c r="G7510" s="1">
        <v>37257</v>
      </c>
      <c r="H7510" s="1">
        <v>39319</v>
      </c>
      <c r="I7510" t="s">
        <v>12</v>
      </c>
      <c r="J7510" t="s">
        <v>18280</v>
      </c>
    </row>
    <row r="7511" spans="1:10" x14ac:dyDescent="0.25">
      <c r="A7511">
        <v>3001599</v>
      </c>
      <c r="B7511" t="s">
        <v>7916</v>
      </c>
      <c r="C7511" t="str">
        <f>"9780838909010"</f>
        <v>9780838909010</v>
      </c>
      <c r="D7511" t="str">
        <f>"9780838998007"</f>
        <v>9780838998007</v>
      </c>
      <c r="E7511" t="s">
        <v>6111</v>
      </c>
      <c r="F7511" t="s">
        <v>6111</v>
      </c>
      <c r="G7511" s="1">
        <v>38322</v>
      </c>
      <c r="H7511" s="1">
        <v>39421</v>
      </c>
      <c r="I7511" t="s">
        <v>12</v>
      </c>
      <c r="J7511" t="s">
        <v>18281</v>
      </c>
    </row>
    <row r="7512" spans="1:10" x14ac:dyDescent="0.25">
      <c r="A7512">
        <v>3001602</v>
      </c>
      <c r="B7512" t="s">
        <v>7917</v>
      </c>
      <c r="C7512" t="str">
        <f>"9780838908440"</f>
        <v>9780838908440</v>
      </c>
      <c r="D7512" t="str">
        <f>"9780838999622"</f>
        <v>9780838999622</v>
      </c>
      <c r="E7512" t="s">
        <v>6111</v>
      </c>
      <c r="F7512" t="s">
        <v>6111</v>
      </c>
      <c r="G7512" s="1">
        <v>37591</v>
      </c>
      <c r="H7512" s="1">
        <v>39421</v>
      </c>
      <c r="I7512" t="s">
        <v>12</v>
      </c>
      <c r="J7512" t="s">
        <v>18282</v>
      </c>
    </row>
    <row r="7513" spans="1:10" x14ac:dyDescent="0.25">
      <c r="A7513">
        <v>3001611</v>
      </c>
      <c r="B7513" t="s">
        <v>7918</v>
      </c>
      <c r="C7513" t="str">
        <f>"9780838935538"</f>
        <v>9780838935538</v>
      </c>
      <c r="D7513" t="str">
        <f>"9780838998069"</f>
        <v>9780838998069</v>
      </c>
      <c r="E7513" t="s">
        <v>6111</v>
      </c>
      <c r="F7513" t="s">
        <v>6111</v>
      </c>
      <c r="G7513" s="1">
        <v>38322</v>
      </c>
      <c r="H7513" s="1">
        <v>39421</v>
      </c>
      <c r="I7513" t="s">
        <v>12</v>
      </c>
      <c r="J7513" t="s">
        <v>18283</v>
      </c>
    </row>
    <row r="7514" spans="1:10" x14ac:dyDescent="0.25">
      <c r="A7514">
        <v>3001615</v>
      </c>
      <c r="B7514" t="s">
        <v>7919</v>
      </c>
      <c r="C7514" t="str">
        <f>"9780838908402"</f>
        <v>9780838908402</v>
      </c>
      <c r="D7514" t="str">
        <f>"9780838999004"</f>
        <v>9780838999004</v>
      </c>
      <c r="E7514" t="s">
        <v>6111</v>
      </c>
      <c r="F7514" t="s">
        <v>6111</v>
      </c>
      <c r="G7514" s="1">
        <v>37591</v>
      </c>
      <c r="H7514" s="1">
        <v>39421</v>
      </c>
      <c r="I7514" t="s">
        <v>12</v>
      </c>
      <c r="J7514" t="s">
        <v>18284</v>
      </c>
    </row>
    <row r="7515" spans="1:10" x14ac:dyDescent="0.25">
      <c r="A7515">
        <v>3001618</v>
      </c>
      <c r="B7515" t="s">
        <v>7920</v>
      </c>
      <c r="C7515" t="str">
        <f>"9780838908525"</f>
        <v>9780838908525</v>
      </c>
      <c r="D7515" t="str">
        <f>"9780838999462"</f>
        <v>9780838999462</v>
      </c>
      <c r="E7515" t="s">
        <v>6111</v>
      </c>
      <c r="F7515" t="s">
        <v>6111</v>
      </c>
      <c r="G7515" s="1">
        <v>37591</v>
      </c>
      <c r="H7515" s="1">
        <v>39421</v>
      </c>
      <c r="I7515" t="s">
        <v>12</v>
      </c>
      <c r="J7515" t="s">
        <v>18285</v>
      </c>
    </row>
    <row r="7516" spans="1:10" x14ac:dyDescent="0.25">
      <c r="A7516">
        <v>3001627</v>
      </c>
      <c r="B7516" t="s">
        <v>7921</v>
      </c>
      <c r="C7516" t="str">
        <f>"9780838909294"</f>
        <v>9780838909294</v>
      </c>
      <c r="D7516" t="str">
        <f>"9781441618825"</f>
        <v>9781441618825</v>
      </c>
      <c r="E7516" t="s">
        <v>6111</v>
      </c>
      <c r="F7516" t="s">
        <v>6111</v>
      </c>
      <c r="G7516" s="1">
        <v>39052</v>
      </c>
      <c r="H7516" s="1">
        <v>39421</v>
      </c>
      <c r="I7516" t="s">
        <v>12</v>
      </c>
      <c r="J7516" t="s">
        <v>18286</v>
      </c>
    </row>
    <row r="7517" spans="1:10" x14ac:dyDescent="0.25">
      <c r="A7517">
        <v>3001635</v>
      </c>
      <c r="B7517" t="s">
        <v>7922</v>
      </c>
      <c r="C7517" t="str">
        <f>"9780838909126"</f>
        <v>9780838909126</v>
      </c>
      <c r="D7517" t="str">
        <f>"9780838998380"</f>
        <v>9780838998380</v>
      </c>
      <c r="E7517" t="s">
        <v>6111</v>
      </c>
      <c r="F7517" t="s">
        <v>6111</v>
      </c>
      <c r="G7517" s="1">
        <v>38687</v>
      </c>
      <c r="H7517" s="1">
        <v>39421</v>
      </c>
      <c r="I7517" t="s">
        <v>12</v>
      </c>
      <c r="J7517" t="s">
        <v>18287</v>
      </c>
    </row>
    <row r="7518" spans="1:10" x14ac:dyDescent="0.25">
      <c r="A7518">
        <v>3001636</v>
      </c>
      <c r="B7518" t="s">
        <v>7923</v>
      </c>
      <c r="C7518" t="str">
        <f>"9780838909164"</f>
        <v>9780838909164</v>
      </c>
      <c r="D7518" t="str">
        <f>"9780838998397"</f>
        <v>9780838998397</v>
      </c>
      <c r="E7518" t="s">
        <v>6111</v>
      </c>
      <c r="F7518" t="s">
        <v>6111</v>
      </c>
      <c r="G7518" s="1">
        <v>38687</v>
      </c>
      <c r="H7518" s="1">
        <v>39421</v>
      </c>
      <c r="I7518" t="s">
        <v>12</v>
      </c>
      <c r="J7518" t="s">
        <v>18288</v>
      </c>
    </row>
    <row r="7519" spans="1:10" x14ac:dyDescent="0.25">
      <c r="A7519">
        <v>3001641</v>
      </c>
      <c r="B7519" t="s">
        <v>7924</v>
      </c>
      <c r="C7519" t="str">
        <f>"9780838909089"</f>
        <v>9780838909089</v>
      </c>
      <c r="D7519" t="str">
        <f>"9780838998045"</f>
        <v>9780838998045</v>
      </c>
      <c r="E7519" t="s">
        <v>6111</v>
      </c>
      <c r="F7519" t="s">
        <v>6111</v>
      </c>
      <c r="G7519" s="1">
        <v>38322</v>
      </c>
      <c r="H7519" s="1">
        <v>39421</v>
      </c>
      <c r="I7519" t="s">
        <v>12</v>
      </c>
      <c r="J7519" t="s">
        <v>18289</v>
      </c>
    </row>
    <row r="7520" spans="1:10" x14ac:dyDescent="0.25">
      <c r="A7520">
        <v>3001649</v>
      </c>
      <c r="B7520" t="s">
        <v>7925</v>
      </c>
      <c r="C7520" t="str">
        <f>"9780838935125"</f>
        <v>9780838935125</v>
      </c>
      <c r="D7520" t="str">
        <f>"9780838999066"</f>
        <v>9780838999066</v>
      </c>
      <c r="E7520" t="s">
        <v>6111</v>
      </c>
      <c r="F7520" t="s">
        <v>6111</v>
      </c>
      <c r="G7520" s="1">
        <v>36861</v>
      </c>
      <c r="H7520" s="1">
        <v>39421</v>
      </c>
      <c r="I7520" t="s">
        <v>12</v>
      </c>
      <c r="J7520" t="s">
        <v>18290</v>
      </c>
    </row>
    <row r="7521" spans="1:10" x14ac:dyDescent="0.25">
      <c r="A7521">
        <v>3001672</v>
      </c>
      <c r="B7521" t="s">
        <v>7926</v>
      </c>
      <c r="C7521" t="str">
        <f>"9780838909133"</f>
        <v>9780838909133</v>
      </c>
      <c r="D7521" t="str">
        <f>"9780838998472"</f>
        <v>9780838998472</v>
      </c>
      <c r="E7521" t="s">
        <v>6111</v>
      </c>
      <c r="F7521" t="s">
        <v>6111</v>
      </c>
      <c r="G7521" s="1">
        <v>38687</v>
      </c>
      <c r="H7521" s="1">
        <v>39421</v>
      </c>
      <c r="I7521" t="s">
        <v>12</v>
      </c>
      <c r="J7521" t="s">
        <v>18291</v>
      </c>
    </row>
    <row r="7522" spans="1:10" x14ac:dyDescent="0.25">
      <c r="A7522">
        <v>3001736</v>
      </c>
      <c r="B7522" t="s">
        <v>7927</v>
      </c>
      <c r="C7522" t="str">
        <f>"9780814471524"</f>
        <v>9780814471524</v>
      </c>
      <c r="D7522" t="str">
        <f>"9780814426586"</f>
        <v>9780814426586</v>
      </c>
      <c r="E7522" t="s">
        <v>5709</v>
      </c>
      <c r="F7522" t="s">
        <v>5710</v>
      </c>
      <c r="G7522" s="1">
        <v>37226</v>
      </c>
      <c r="H7522" s="1">
        <v>37622</v>
      </c>
      <c r="I7522" t="s">
        <v>12</v>
      </c>
      <c r="J7522" t="s">
        <v>18292</v>
      </c>
    </row>
    <row r="7523" spans="1:10" x14ac:dyDescent="0.25">
      <c r="A7523">
        <v>3001749</v>
      </c>
      <c r="B7523" t="s">
        <v>7928</v>
      </c>
      <c r="C7523" t="str">
        <f>"9780814407349"</f>
        <v>9780814407349</v>
      </c>
      <c r="D7523" t="str">
        <f>"9780814426500"</f>
        <v>9780814426500</v>
      </c>
      <c r="E7523" t="s">
        <v>5709</v>
      </c>
      <c r="F7523" t="s">
        <v>5710</v>
      </c>
      <c r="G7523" s="1">
        <v>37347</v>
      </c>
      <c r="H7523" s="1">
        <v>37935</v>
      </c>
      <c r="I7523" t="s">
        <v>12</v>
      </c>
      <c r="J7523" t="s">
        <v>18293</v>
      </c>
    </row>
    <row r="7524" spans="1:10" x14ac:dyDescent="0.25">
      <c r="A7524">
        <v>3001750</v>
      </c>
      <c r="B7524" t="s">
        <v>7929</v>
      </c>
      <c r="C7524" t="str">
        <f>"9780814471760"</f>
        <v>9780814471760</v>
      </c>
      <c r="D7524" t="str">
        <f>"9780814427361"</f>
        <v>9780814427361</v>
      </c>
      <c r="E7524" t="s">
        <v>5709</v>
      </c>
      <c r="F7524" t="s">
        <v>5710</v>
      </c>
      <c r="G7524" s="1">
        <v>37956</v>
      </c>
      <c r="H7524" s="1">
        <v>38077</v>
      </c>
      <c r="I7524" t="s">
        <v>12</v>
      </c>
      <c r="J7524" t="s">
        <v>18294</v>
      </c>
    </row>
    <row r="7525" spans="1:10" x14ac:dyDescent="0.25">
      <c r="A7525">
        <v>3001767</v>
      </c>
      <c r="B7525" t="s">
        <v>7930</v>
      </c>
      <c r="C7525" t="str">
        <f>"9780814472408"</f>
        <v>9780814472408</v>
      </c>
      <c r="D7525" t="str">
        <f>"9780814428085"</f>
        <v>9780814428085</v>
      </c>
      <c r="E7525" t="s">
        <v>5709</v>
      </c>
      <c r="F7525" t="s">
        <v>5710</v>
      </c>
      <c r="G7525" s="1">
        <v>38169</v>
      </c>
      <c r="H7525" s="1">
        <v>38163</v>
      </c>
      <c r="I7525" t="s">
        <v>12</v>
      </c>
      <c r="J7525" t="s">
        <v>18295</v>
      </c>
    </row>
    <row r="7526" spans="1:10" x14ac:dyDescent="0.25">
      <c r="A7526">
        <v>3001770</v>
      </c>
      <c r="B7526" t="s">
        <v>7931</v>
      </c>
      <c r="C7526" t="str">
        <f>"9780814408186"</f>
        <v>9780814408186</v>
      </c>
      <c r="D7526" t="str">
        <f>"9780814428580"</f>
        <v>9780814428580</v>
      </c>
      <c r="E7526" t="s">
        <v>5709</v>
      </c>
      <c r="F7526" t="s">
        <v>5710</v>
      </c>
      <c r="G7526" s="1">
        <v>38384</v>
      </c>
      <c r="H7526" s="1">
        <v>38411</v>
      </c>
      <c r="I7526" t="s">
        <v>12</v>
      </c>
      <c r="J7526" t="s">
        <v>18296</v>
      </c>
    </row>
    <row r="7527" spans="1:10" x14ac:dyDescent="0.25">
      <c r="A7527">
        <v>3001771</v>
      </c>
      <c r="B7527" t="s">
        <v>7932</v>
      </c>
      <c r="C7527" t="str">
        <f>"9780814407462"</f>
        <v>9780814407462</v>
      </c>
      <c r="D7527" t="str">
        <f>"9780814426913"</f>
        <v>9780814426913</v>
      </c>
      <c r="E7527" t="s">
        <v>5709</v>
      </c>
      <c r="F7527" t="s">
        <v>5710</v>
      </c>
      <c r="G7527" s="1">
        <v>37561</v>
      </c>
      <c r="H7527" s="1">
        <v>38411</v>
      </c>
      <c r="I7527" t="s">
        <v>12</v>
      </c>
      <c r="J7527" t="s">
        <v>18297</v>
      </c>
    </row>
    <row r="7528" spans="1:10" x14ac:dyDescent="0.25">
      <c r="A7528">
        <v>3001779</v>
      </c>
      <c r="B7528" t="s">
        <v>7933</v>
      </c>
      <c r="C7528" t="str">
        <f>"9780814407707"</f>
        <v>9780814407707</v>
      </c>
      <c r="D7528" t="str">
        <f>"9780814427484"</f>
        <v>9780814427484</v>
      </c>
      <c r="E7528" t="s">
        <v>5709</v>
      </c>
      <c r="F7528" t="s">
        <v>5710</v>
      </c>
      <c r="G7528" s="1">
        <v>37895</v>
      </c>
      <c r="H7528" s="1">
        <v>38411</v>
      </c>
      <c r="I7528" t="s">
        <v>12</v>
      </c>
      <c r="J7528" t="s">
        <v>18298</v>
      </c>
    </row>
    <row r="7529" spans="1:10" x14ac:dyDescent="0.25">
      <c r="A7529">
        <v>3001791</v>
      </c>
      <c r="B7529" t="s">
        <v>7934</v>
      </c>
      <c r="C7529" t="str">
        <f>"9780814408568"</f>
        <v>9780814408568</v>
      </c>
      <c r="D7529" t="str">
        <f>"9780814428771"</f>
        <v>9780814428771</v>
      </c>
      <c r="E7529" t="s">
        <v>5709</v>
      </c>
      <c r="F7529" t="s">
        <v>5710</v>
      </c>
      <c r="G7529" s="1">
        <v>38384</v>
      </c>
      <c r="H7529" s="1">
        <v>38411</v>
      </c>
      <c r="I7529" t="s">
        <v>12</v>
      </c>
      <c r="J7529" t="s">
        <v>18299</v>
      </c>
    </row>
    <row r="7530" spans="1:10" x14ac:dyDescent="0.25">
      <c r="A7530">
        <v>3001809</v>
      </c>
      <c r="B7530" t="s">
        <v>7935</v>
      </c>
      <c r="C7530" t="str">
        <f>"9780814473269"</f>
        <v>9780814473269</v>
      </c>
      <c r="D7530" t="str">
        <f>"9780814426968"</f>
        <v>9780814426968</v>
      </c>
      <c r="E7530" t="s">
        <v>5709</v>
      </c>
      <c r="F7530" t="s">
        <v>5710</v>
      </c>
      <c r="G7530" s="1">
        <v>38718</v>
      </c>
      <c r="H7530" s="1">
        <v>38855</v>
      </c>
      <c r="I7530" t="s">
        <v>12</v>
      </c>
      <c r="J7530" t="s">
        <v>18300</v>
      </c>
    </row>
    <row r="7531" spans="1:10" x14ac:dyDescent="0.25">
      <c r="A7531">
        <v>3001814</v>
      </c>
      <c r="B7531" t="s">
        <v>7936</v>
      </c>
      <c r="C7531" t="str">
        <f>"9780814408681"</f>
        <v>9780814408681</v>
      </c>
      <c r="D7531" t="str">
        <f>"9780814428818"</f>
        <v>9780814428818</v>
      </c>
      <c r="E7531" t="s">
        <v>5709</v>
      </c>
      <c r="F7531" t="s">
        <v>5710</v>
      </c>
      <c r="G7531" s="1">
        <v>38443</v>
      </c>
      <c r="H7531" s="1">
        <v>38855</v>
      </c>
      <c r="I7531" t="s">
        <v>12</v>
      </c>
      <c r="J7531" t="s">
        <v>18301</v>
      </c>
    </row>
    <row r="7532" spans="1:10" x14ac:dyDescent="0.25">
      <c r="A7532">
        <v>3001816</v>
      </c>
      <c r="B7532" t="s">
        <v>7937</v>
      </c>
      <c r="C7532" t="str">
        <f>"9780814407103"</f>
        <v>9780814407103</v>
      </c>
      <c r="D7532" t="str">
        <f>"9780814427019"</f>
        <v>9780814427019</v>
      </c>
      <c r="E7532" t="s">
        <v>5709</v>
      </c>
      <c r="F7532" t="s">
        <v>5710</v>
      </c>
      <c r="G7532" s="1">
        <v>37591</v>
      </c>
      <c r="H7532" s="1">
        <v>38855</v>
      </c>
      <c r="I7532" t="s">
        <v>12</v>
      </c>
      <c r="J7532" t="s">
        <v>18302</v>
      </c>
    </row>
    <row r="7533" spans="1:10" x14ac:dyDescent="0.25">
      <c r="A7533">
        <v>3001818</v>
      </c>
      <c r="B7533" t="s">
        <v>7938</v>
      </c>
      <c r="C7533" t="str">
        <f>"9780814408476"</f>
        <v>9780814408476</v>
      </c>
      <c r="D7533" t="str">
        <f>"9780814429150"</f>
        <v>9780814429150</v>
      </c>
      <c r="E7533" t="s">
        <v>5709</v>
      </c>
      <c r="F7533" t="s">
        <v>5710</v>
      </c>
      <c r="G7533" s="1">
        <v>38565</v>
      </c>
      <c r="H7533" s="1">
        <v>38855</v>
      </c>
      <c r="I7533" t="s">
        <v>12</v>
      </c>
      <c r="J7533" t="s">
        <v>18303</v>
      </c>
    </row>
    <row r="7534" spans="1:10" x14ac:dyDescent="0.25">
      <c r="A7534">
        <v>3001820</v>
      </c>
      <c r="B7534" t="s">
        <v>7939</v>
      </c>
      <c r="C7534" t="str">
        <f>"9780814473955"</f>
        <v>9780814473955</v>
      </c>
      <c r="D7534" t="str">
        <f>"9780814430002"</f>
        <v>9780814430002</v>
      </c>
      <c r="E7534" t="s">
        <v>1080</v>
      </c>
      <c r="F7534" t="s">
        <v>1080</v>
      </c>
      <c r="G7534" s="1">
        <v>39407</v>
      </c>
      <c r="H7534" s="1">
        <v>39421</v>
      </c>
      <c r="I7534" t="s">
        <v>12</v>
      </c>
      <c r="J7534" t="s">
        <v>18304</v>
      </c>
    </row>
    <row r="7535" spans="1:10" x14ac:dyDescent="0.25">
      <c r="A7535">
        <v>3001823</v>
      </c>
      <c r="B7535" t="s">
        <v>7940</v>
      </c>
      <c r="C7535" t="str">
        <f>"9780814474518"</f>
        <v>9780814474518</v>
      </c>
      <c r="D7535" t="str">
        <f>"9780814400852"</f>
        <v>9780814400852</v>
      </c>
      <c r="E7535" t="s">
        <v>5709</v>
      </c>
      <c r="F7535" t="s">
        <v>5710</v>
      </c>
      <c r="G7535" s="1">
        <v>39083</v>
      </c>
      <c r="H7535" s="1">
        <v>39426</v>
      </c>
      <c r="I7535" t="s">
        <v>12</v>
      </c>
      <c r="J7535" t="s">
        <v>18305</v>
      </c>
    </row>
    <row r="7536" spans="1:10" x14ac:dyDescent="0.25">
      <c r="A7536">
        <v>3001824</v>
      </c>
      <c r="B7536" t="s">
        <v>7941</v>
      </c>
      <c r="C7536" t="str">
        <f>"9780814474204"</f>
        <v>9780814474204</v>
      </c>
      <c r="D7536" t="str">
        <f>"9780814429747"</f>
        <v>9780814429747</v>
      </c>
      <c r="E7536" t="s">
        <v>5709</v>
      </c>
      <c r="F7536" t="s">
        <v>5710</v>
      </c>
      <c r="G7536" s="1">
        <v>39083</v>
      </c>
      <c r="H7536" s="1">
        <v>39426</v>
      </c>
      <c r="I7536" t="s">
        <v>12</v>
      </c>
      <c r="J7536" t="s">
        <v>18306</v>
      </c>
    </row>
    <row r="7537" spans="1:10" x14ac:dyDescent="0.25">
      <c r="A7537">
        <v>3001825</v>
      </c>
      <c r="B7537" t="s">
        <v>7942</v>
      </c>
      <c r="C7537" t="str">
        <f>"9780814473313"</f>
        <v>9780814473313</v>
      </c>
      <c r="D7537" t="str">
        <f>"9780814429846"</f>
        <v>9780814429846</v>
      </c>
      <c r="E7537" t="s">
        <v>5709</v>
      </c>
      <c r="F7537" t="s">
        <v>5710</v>
      </c>
      <c r="G7537" s="1">
        <v>38930</v>
      </c>
      <c r="H7537" s="1">
        <v>39426</v>
      </c>
      <c r="I7537" t="s">
        <v>12</v>
      </c>
      <c r="J7537" t="s">
        <v>18307</v>
      </c>
    </row>
    <row r="7538" spans="1:10" x14ac:dyDescent="0.25">
      <c r="A7538">
        <v>3001826</v>
      </c>
      <c r="B7538" t="s">
        <v>7943</v>
      </c>
      <c r="C7538" t="str">
        <f>"9780814473832"</f>
        <v>9780814473832</v>
      </c>
      <c r="D7538" t="str">
        <f>"9780814429907"</f>
        <v>9780814429907</v>
      </c>
      <c r="E7538" t="s">
        <v>5709</v>
      </c>
      <c r="F7538" t="s">
        <v>5710</v>
      </c>
      <c r="G7538" s="1">
        <v>39142</v>
      </c>
      <c r="H7538" s="1">
        <v>39426</v>
      </c>
      <c r="I7538" t="s">
        <v>12</v>
      </c>
      <c r="J7538" t="s">
        <v>18308</v>
      </c>
    </row>
    <row r="7539" spans="1:10" x14ac:dyDescent="0.25">
      <c r="A7539">
        <v>3001827</v>
      </c>
      <c r="B7539" t="s">
        <v>7944</v>
      </c>
      <c r="C7539" t="str">
        <f>"9780814408919"</f>
        <v>9780814408919</v>
      </c>
      <c r="D7539" t="str">
        <f>"9780814430095"</f>
        <v>9780814430095</v>
      </c>
      <c r="E7539" t="s">
        <v>5709</v>
      </c>
      <c r="F7539" t="s">
        <v>5710</v>
      </c>
      <c r="G7539" s="1">
        <v>39114</v>
      </c>
      <c r="H7539" s="1">
        <v>39426</v>
      </c>
      <c r="I7539" t="s">
        <v>12</v>
      </c>
      <c r="J7539" t="s">
        <v>18309</v>
      </c>
    </row>
    <row r="7540" spans="1:10" x14ac:dyDescent="0.25">
      <c r="A7540">
        <v>3001828</v>
      </c>
      <c r="B7540" t="s">
        <v>7945</v>
      </c>
      <c r="C7540" t="str">
        <f>"9780814473191"</f>
        <v>9780814473191</v>
      </c>
      <c r="D7540" t="str">
        <f>"9780814429853"</f>
        <v>9780814429853</v>
      </c>
      <c r="E7540" t="s">
        <v>5709</v>
      </c>
      <c r="F7540" t="s">
        <v>5710</v>
      </c>
      <c r="G7540" s="1">
        <v>38991</v>
      </c>
      <c r="H7540" s="1">
        <v>39426</v>
      </c>
      <c r="I7540" t="s">
        <v>12</v>
      </c>
      <c r="J7540" t="s">
        <v>18310</v>
      </c>
    </row>
    <row r="7541" spans="1:10" x14ac:dyDescent="0.25">
      <c r="A7541">
        <v>3001829</v>
      </c>
      <c r="B7541" t="s">
        <v>7946</v>
      </c>
      <c r="C7541" t="str">
        <f>"9780814473658"</f>
        <v>9780814473658</v>
      </c>
      <c r="D7541" t="str">
        <f>"9780814430019"</f>
        <v>9780814430019</v>
      </c>
      <c r="E7541" t="s">
        <v>5709</v>
      </c>
      <c r="F7541" t="s">
        <v>5710</v>
      </c>
      <c r="G7541" s="1">
        <v>38991</v>
      </c>
      <c r="H7541" s="1">
        <v>39725</v>
      </c>
      <c r="I7541" t="s">
        <v>12</v>
      </c>
      <c r="J7541" t="s">
        <v>18311</v>
      </c>
    </row>
    <row r="7542" spans="1:10" x14ac:dyDescent="0.25">
      <c r="A7542">
        <v>3001830</v>
      </c>
      <c r="B7542" t="s">
        <v>7947</v>
      </c>
      <c r="C7542" t="str">
        <f>"9780814473719"</f>
        <v>9780814473719</v>
      </c>
      <c r="D7542" t="str">
        <f>"9780814430132"</f>
        <v>9780814430132</v>
      </c>
      <c r="E7542" t="s">
        <v>1080</v>
      </c>
      <c r="F7542" t="s">
        <v>1080</v>
      </c>
      <c r="G7542" s="1">
        <v>38982</v>
      </c>
      <c r="H7542" s="1">
        <v>39426</v>
      </c>
      <c r="I7542" t="s">
        <v>12</v>
      </c>
      <c r="J7542" t="s">
        <v>18312</v>
      </c>
    </row>
    <row r="7543" spans="1:10" x14ac:dyDescent="0.25">
      <c r="A7543">
        <v>3001831</v>
      </c>
      <c r="B7543" t="s">
        <v>7948</v>
      </c>
      <c r="C7543" t="str">
        <f>"9780814473696"</f>
        <v>9780814473696</v>
      </c>
      <c r="D7543" t="str">
        <f>"9780814430033"</f>
        <v>9780814430033</v>
      </c>
      <c r="E7543" t="s">
        <v>5709</v>
      </c>
      <c r="F7543" t="s">
        <v>5710</v>
      </c>
      <c r="G7543" s="1">
        <v>39052</v>
      </c>
      <c r="H7543" s="1">
        <v>39426</v>
      </c>
      <c r="I7543" t="s">
        <v>12</v>
      </c>
      <c r="J7543" t="s">
        <v>18313</v>
      </c>
    </row>
    <row r="7544" spans="1:10" x14ac:dyDescent="0.25">
      <c r="A7544">
        <v>3001832</v>
      </c>
      <c r="B7544" t="s">
        <v>7949</v>
      </c>
      <c r="C7544" t="str">
        <f>"9780814474044"</f>
        <v>9780814474044</v>
      </c>
      <c r="D7544" t="str">
        <f>"9780814429792"</f>
        <v>9780814429792</v>
      </c>
      <c r="E7544" t="s">
        <v>5709</v>
      </c>
      <c r="F7544" t="s">
        <v>5710</v>
      </c>
      <c r="G7544" s="1">
        <v>39083</v>
      </c>
      <c r="H7544" s="1">
        <v>39426</v>
      </c>
      <c r="I7544" t="s">
        <v>12</v>
      </c>
      <c r="J7544" t="s">
        <v>18314</v>
      </c>
    </row>
    <row r="7545" spans="1:10" x14ac:dyDescent="0.25">
      <c r="A7545">
        <v>3001834</v>
      </c>
      <c r="B7545" t="s">
        <v>7950</v>
      </c>
      <c r="C7545" t="str">
        <f>"9780814473993"</f>
        <v>9780814473993</v>
      </c>
      <c r="D7545" t="str">
        <f>"9780814429778"</f>
        <v>9780814429778</v>
      </c>
      <c r="E7545" t="s">
        <v>5709</v>
      </c>
      <c r="F7545" t="s">
        <v>5710</v>
      </c>
      <c r="G7545" s="1">
        <v>39022</v>
      </c>
      <c r="H7545" s="1">
        <v>39426</v>
      </c>
      <c r="I7545" t="s">
        <v>12</v>
      </c>
      <c r="J7545" t="s">
        <v>18315</v>
      </c>
    </row>
    <row r="7546" spans="1:10" x14ac:dyDescent="0.25">
      <c r="A7546">
        <v>3001835</v>
      </c>
      <c r="B7546" t="s">
        <v>7951</v>
      </c>
      <c r="C7546" t="str">
        <f>"9780814473672"</f>
        <v>9780814473672</v>
      </c>
      <c r="D7546" t="str">
        <f>"9780814430125"</f>
        <v>9780814430125</v>
      </c>
      <c r="E7546" t="s">
        <v>5709</v>
      </c>
      <c r="F7546" t="s">
        <v>5710</v>
      </c>
      <c r="G7546" s="1">
        <v>38961</v>
      </c>
      <c r="H7546" s="1">
        <v>39426</v>
      </c>
      <c r="I7546" t="s">
        <v>12</v>
      </c>
      <c r="J7546" t="s">
        <v>18316</v>
      </c>
    </row>
    <row r="7547" spans="1:10" x14ac:dyDescent="0.25">
      <c r="A7547">
        <v>3001836</v>
      </c>
      <c r="B7547" t="s">
        <v>7952</v>
      </c>
      <c r="C7547" t="str">
        <f>"9780814474525"</f>
        <v>9780814474525</v>
      </c>
      <c r="D7547" t="str">
        <f>"9780814400746"</f>
        <v>9780814400746</v>
      </c>
      <c r="E7547" t="s">
        <v>5709</v>
      </c>
      <c r="F7547" t="s">
        <v>5710</v>
      </c>
      <c r="G7547" s="1">
        <v>39295</v>
      </c>
      <c r="H7547" s="1">
        <v>39426</v>
      </c>
      <c r="I7547" t="s">
        <v>12</v>
      </c>
      <c r="J7547" t="s">
        <v>18317</v>
      </c>
    </row>
    <row r="7548" spans="1:10" x14ac:dyDescent="0.25">
      <c r="A7548">
        <v>3001838</v>
      </c>
      <c r="B7548" t="s">
        <v>7953</v>
      </c>
      <c r="C7548" t="str">
        <f>"9780814474099"</f>
        <v>9780814474099</v>
      </c>
      <c r="D7548" t="str">
        <f>"9780814430118"</f>
        <v>9780814430118</v>
      </c>
      <c r="E7548" t="s">
        <v>5709</v>
      </c>
      <c r="F7548" t="s">
        <v>5710</v>
      </c>
      <c r="G7548" s="1">
        <v>39114</v>
      </c>
      <c r="H7548" s="1">
        <v>39426</v>
      </c>
      <c r="I7548" t="s">
        <v>12</v>
      </c>
      <c r="J7548" t="s">
        <v>18318</v>
      </c>
    </row>
    <row r="7549" spans="1:10" x14ac:dyDescent="0.25">
      <c r="A7549">
        <v>3001839</v>
      </c>
      <c r="B7549" t="s">
        <v>7954</v>
      </c>
      <c r="C7549" t="str">
        <f>"9780814473863"</f>
        <v>9780814473863</v>
      </c>
      <c r="D7549" t="str">
        <f>"9780814400654"</f>
        <v>9780814400654</v>
      </c>
      <c r="E7549" t="s">
        <v>5709</v>
      </c>
      <c r="F7549" t="s">
        <v>5710</v>
      </c>
      <c r="G7549" s="1">
        <v>39173</v>
      </c>
      <c r="H7549" s="1">
        <v>39426</v>
      </c>
      <c r="I7549" t="s">
        <v>12</v>
      </c>
      <c r="J7549" t="s">
        <v>18319</v>
      </c>
    </row>
    <row r="7550" spans="1:10" x14ac:dyDescent="0.25">
      <c r="A7550">
        <v>3001840</v>
      </c>
      <c r="B7550" t="s">
        <v>7955</v>
      </c>
      <c r="C7550" t="str">
        <f>"9780814409152"</f>
        <v>9780814409152</v>
      </c>
      <c r="D7550" t="str">
        <f>"9780814400722"</f>
        <v>9780814400722</v>
      </c>
      <c r="E7550" t="s">
        <v>5709</v>
      </c>
      <c r="F7550" t="s">
        <v>5710</v>
      </c>
      <c r="G7550" s="1">
        <v>39142</v>
      </c>
      <c r="H7550" s="1">
        <v>39426</v>
      </c>
      <c r="I7550" t="s">
        <v>12</v>
      </c>
      <c r="J7550" t="s">
        <v>18320</v>
      </c>
    </row>
    <row r="7551" spans="1:10" x14ac:dyDescent="0.25">
      <c r="A7551">
        <v>3001841</v>
      </c>
      <c r="B7551" t="s">
        <v>7956</v>
      </c>
      <c r="C7551" t="str">
        <f>"9780814473849"</f>
        <v>9780814473849</v>
      </c>
      <c r="D7551" t="str">
        <f>"9780814430163"</f>
        <v>9780814430163</v>
      </c>
      <c r="E7551" t="s">
        <v>5709</v>
      </c>
      <c r="F7551" t="s">
        <v>5710</v>
      </c>
      <c r="G7551" s="1">
        <v>39022</v>
      </c>
      <c r="H7551" s="1">
        <v>39426</v>
      </c>
      <c r="I7551" t="s">
        <v>12</v>
      </c>
      <c r="J7551" t="s">
        <v>18321</v>
      </c>
    </row>
    <row r="7552" spans="1:10" x14ac:dyDescent="0.25">
      <c r="A7552">
        <v>3001843</v>
      </c>
      <c r="B7552" t="s">
        <v>7957</v>
      </c>
      <c r="C7552" t="str">
        <f>"9780814474006"</f>
        <v>9780814474006</v>
      </c>
      <c r="D7552" t="str">
        <f>"9780814429976"</f>
        <v>9780814429976</v>
      </c>
      <c r="E7552" t="s">
        <v>5709</v>
      </c>
      <c r="F7552" t="s">
        <v>5710</v>
      </c>
      <c r="G7552" s="1">
        <v>39083</v>
      </c>
      <c r="H7552" s="1">
        <v>39426</v>
      </c>
      <c r="I7552" t="s">
        <v>12</v>
      </c>
      <c r="J7552" t="s">
        <v>18322</v>
      </c>
    </row>
    <row r="7553" spans="1:10" x14ac:dyDescent="0.25">
      <c r="A7553">
        <v>3001845</v>
      </c>
      <c r="B7553" t="s">
        <v>7958</v>
      </c>
      <c r="C7553" t="str">
        <f>"9780814474457"</f>
        <v>9780814474457</v>
      </c>
      <c r="D7553" t="str">
        <f>"9780814400838"</f>
        <v>9780814400838</v>
      </c>
      <c r="E7553" t="s">
        <v>5709</v>
      </c>
      <c r="F7553" t="s">
        <v>5710</v>
      </c>
      <c r="G7553" s="1">
        <v>39203</v>
      </c>
      <c r="H7553" s="1">
        <v>39426</v>
      </c>
      <c r="I7553" t="s">
        <v>12</v>
      </c>
      <c r="J7553" t="s">
        <v>18323</v>
      </c>
    </row>
    <row r="7554" spans="1:10" x14ac:dyDescent="0.25">
      <c r="A7554">
        <v>3001846</v>
      </c>
      <c r="B7554" t="s">
        <v>7959</v>
      </c>
      <c r="C7554" t="str">
        <f>"9780814473429"</f>
        <v>9780814473429</v>
      </c>
      <c r="D7554" t="str">
        <f>"9780814429914"</f>
        <v>9780814429914</v>
      </c>
      <c r="E7554" t="s">
        <v>5709</v>
      </c>
      <c r="F7554" t="s">
        <v>5710</v>
      </c>
      <c r="G7554" s="1">
        <v>38991</v>
      </c>
      <c r="H7554" s="1">
        <v>39426</v>
      </c>
      <c r="I7554" t="s">
        <v>12</v>
      </c>
      <c r="J7554" t="s">
        <v>18324</v>
      </c>
    </row>
    <row r="7555" spans="1:10" x14ac:dyDescent="0.25">
      <c r="A7555">
        <v>3001848</v>
      </c>
      <c r="B7555" t="s">
        <v>7960</v>
      </c>
      <c r="C7555" t="str">
        <f>"9780814474549"</f>
        <v>9780814474549</v>
      </c>
      <c r="D7555" t="str">
        <f>"9780814400609"</f>
        <v>9780814400609</v>
      </c>
      <c r="E7555" t="s">
        <v>5709</v>
      </c>
      <c r="F7555" t="s">
        <v>5710</v>
      </c>
      <c r="G7555" s="1">
        <v>39295</v>
      </c>
      <c r="H7555" s="1">
        <v>39426</v>
      </c>
      <c r="I7555" t="s">
        <v>12</v>
      </c>
      <c r="J7555" t="s">
        <v>18325</v>
      </c>
    </row>
    <row r="7556" spans="1:10" x14ac:dyDescent="0.25">
      <c r="A7556">
        <v>3001850</v>
      </c>
      <c r="B7556" t="s">
        <v>7961</v>
      </c>
      <c r="C7556" t="str">
        <f>"9780814473443"</f>
        <v>9780814473443</v>
      </c>
      <c r="D7556" t="str">
        <f>"9780814429730"</f>
        <v>9780814429730</v>
      </c>
      <c r="E7556" t="s">
        <v>5709</v>
      </c>
      <c r="F7556" t="s">
        <v>5710</v>
      </c>
      <c r="G7556" s="1">
        <v>39022</v>
      </c>
      <c r="H7556" s="1">
        <v>39426</v>
      </c>
      <c r="I7556" t="s">
        <v>12</v>
      </c>
      <c r="J7556" t="s">
        <v>18326</v>
      </c>
    </row>
    <row r="7557" spans="1:10" x14ac:dyDescent="0.25">
      <c r="A7557">
        <v>3001852</v>
      </c>
      <c r="B7557" t="s">
        <v>7962</v>
      </c>
      <c r="C7557" t="str">
        <f>"9780814408889"</f>
        <v>9780814408889</v>
      </c>
      <c r="D7557" t="str">
        <f>"9780814429860"</f>
        <v>9780814429860</v>
      </c>
      <c r="E7557" t="s">
        <v>5709</v>
      </c>
      <c r="F7557" t="s">
        <v>5710</v>
      </c>
      <c r="G7557" s="1">
        <v>38991</v>
      </c>
      <c r="H7557" s="1">
        <v>39426</v>
      </c>
      <c r="I7557" t="s">
        <v>12</v>
      </c>
      <c r="J7557" t="s">
        <v>18327</v>
      </c>
    </row>
    <row r="7558" spans="1:10" x14ac:dyDescent="0.25">
      <c r="A7558">
        <v>3001853</v>
      </c>
      <c r="B7558" t="s">
        <v>7963</v>
      </c>
      <c r="C7558" t="str">
        <f>"9780814473825"</f>
        <v>9780814473825</v>
      </c>
      <c r="D7558" t="str">
        <f>"9780814429785"</f>
        <v>9780814429785</v>
      </c>
      <c r="E7558" t="s">
        <v>5709</v>
      </c>
      <c r="F7558" t="s">
        <v>5710</v>
      </c>
      <c r="G7558" s="1">
        <v>39052</v>
      </c>
      <c r="H7558" s="1">
        <v>39426</v>
      </c>
      <c r="I7558" t="s">
        <v>12</v>
      </c>
      <c r="J7558" t="s">
        <v>18328</v>
      </c>
    </row>
    <row r="7559" spans="1:10" x14ac:dyDescent="0.25">
      <c r="A7559">
        <v>3001854</v>
      </c>
      <c r="B7559" t="s">
        <v>7964</v>
      </c>
      <c r="C7559" t="str">
        <f>"9780814473733"</f>
        <v>9780814473733</v>
      </c>
      <c r="D7559" t="str">
        <f>"9780814429839"</f>
        <v>9780814429839</v>
      </c>
      <c r="E7559" t="s">
        <v>1080</v>
      </c>
      <c r="F7559" t="s">
        <v>1080</v>
      </c>
      <c r="G7559" s="1">
        <v>39050</v>
      </c>
      <c r="H7559" s="1">
        <v>39426</v>
      </c>
      <c r="I7559" t="s">
        <v>12</v>
      </c>
      <c r="J7559" t="s">
        <v>18329</v>
      </c>
    </row>
    <row r="7560" spans="1:10" x14ac:dyDescent="0.25">
      <c r="A7560">
        <v>3001856</v>
      </c>
      <c r="B7560" t="s">
        <v>7965</v>
      </c>
      <c r="C7560" t="str">
        <f>"9780814473900"</f>
        <v>9780814473900</v>
      </c>
      <c r="D7560" t="str">
        <f>"9780814429808"</f>
        <v>9780814429808</v>
      </c>
      <c r="E7560" t="s">
        <v>5709</v>
      </c>
      <c r="F7560" t="s">
        <v>5710</v>
      </c>
      <c r="G7560" s="1">
        <v>38869</v>
      </c>
      <c r="H7560" s="1">
        <v>39426</v>
      </c>
      <c r="I7560" t="s">
        <v>12</v>
      </c>
      <c r="J7560" t="s">
        <v>18330</v>
      </c>
    </row>
    <row r="7561" spans="1:10" x14ac:dyDescent="0.25">
      <c r="A7561">
        <v>3001857</v>
      </c>
      <c r="B7561" t="s">
        <v>7966</v>
      </c>
      <c r="C7561" t="str">
        <f>"9780814474211"</f>
        <v>9780814474211</v>
      </c>
      <c r="D7561" t="str">
        <f>"9780814400630"</f>
        <v>9780814400630</v>
      </c>
      <c r="E7561" t="s">
        <v>5709</v>
      </c>
      <c r="F7561" t="s">
        <v>5710</v>
      </c>
      <c r="G7561" s="1">
        <v>39295</v>
      </c>
      <c r="H7561" s="1">
        <v>39426</v>
      </c>
      <c r="I7561" t="s">
        <v>12</v>
      </c>
      <c r="J7561" t="s">
        <v>18331</v>
      </c>
    </row>
    <row r="7562" spans="1:10" x14ac:dyDescent="0.25">
      <c r="A7562">
        <v>3001860</v>
      </c>
      <c r="B7562" t="s">
        <v>7967</v>
      </c>
      <c r="C7562" t="str">
        <f>"9780814474372"</f>
        <v>9780814474372</v>
      </c>
      <c r="D7562" t="str">
        <f>"9780814400920"</f>
        <v>9780814400920</v>
      </c>
      <c r="E7562" t="s">
        <v>5709</v>
      </c>
      <c r="F7562" t="s">
        <v>5710</v>
      </c>
      <c r="G7562" s="1">
        <v>39264</v>
      </c>
      <c r="H7562" s="1">
        <v>39426</v>
      </c>
      <c r="I7562" t="s">
        <v>12</v>
      </c>
      <c r="J7562" t="s">
        <v>18332</v>
      </c>
    </row>
    <row r="7563" spans="1:10" x14ac:dyDescent="0.25">
      <c r="A7563">
        <v>3001862</v>
      </c>
      <c r="B7563" t="s">
        <v>7968</v>
      </c>
      <c r="C7563" t="str">
        <f>"9780814473764"</f>
        <v>9780814473764</v>
      </c>
      <c r="D7563" t="str">
        <f>"9780814400890"</f>
        <v>9780814400890</v>
      </c>
      <c r="E7563" t="s">
        <v>5709</v>
      </c>
      <c r="F7563" t="s">
        <v>5710</v>
      </c>
      <c r="G7563" s="1">
        <v>39083</v>
      </c>
      <c r="H7563" s="1">
        <v>39426</v>
      </c>
      <c r="I7563" t="s">
        <v>12</v>
      </c>
      <c r="J7563" t="s">
        <v>18333</v>
      </c>
    </row>
    <row r="7564" spans="1:10" x14ac:dyDescent="0.25">
      <c r="A7564">
        <v>3001863</v>
      </c>
      <c r="B7564" t="s">
        <v>7969</v>
      </c>
      <c r="C7564" t="str">
        <f>"9780814473740"</f>
        <v>9780814473740</v>
      </c>
      <c r="D7564" t="str">
        <f>"9780814429884"</f>
        <v>9780814429884</v>
      </c>
      <c r="E7564" t="s">
        <v>5709</v>
      </c>
      <c r="F7564" t="s">
        <v>5710</v>
      </c>
      <c r="G7564" s="1">
        <v>38991</v>
      </c>
      <c r="H7564" s="1">
        <v>39426</v>
      </c>
      <c r="I7564" t="s">
        <v>12</v>
      </c>
      <c r="J7564" t="s">
        <v>18334</v>
      </c>
    </row>
    <row r="7565" spans="1:10" x14ac:dyDescent="0.25">
      <c r="A7565">
        <v>3001864</v>
      </c>
      <c r="B7565" t="s">
        <v>7970</v>
      </c>
      <c r="C7565" t="str">
        <f>"9780814408865"</f>
        <v>9780814408865</v>
      </c>
      <c r="D7565" t="str">
        <f>"9780814429709"</f>
        <v>9780814429709</v>
      </c>
      <c r="E7565" t="s">
        <v>5709</v>
      </c>
      <c r="F7565" t="s">
        <v>5710</v>
      </c>
      <c r="G7565" s="1">
        <v>38961</v>
      </c>
      <c r="H7565" s="1">
        <v>39426</v>
      </c>
      <c r="I7565" t="s">
        <v>12</v>
      </c>
      <c r="J7565" t="s">
        <v>18335</v>
      </c>
    </row>
    <row r="7566" spans="1:10" x14ac:dyDescent="0.25">
      <c r="A7566">
        <v>3001865</v>
      </c>
      <c r="B7566" t="s">
        <v>7971</v>
      </c>
      <c r="C7566" t="str">
        <f>"9780814474167"</f>
        <v>9780814474167</v>
      </c>
      <c r="D7566" t="str">
        <f>"9780814400760"</f>
        <v>9780814400760</v>
      </c>
      <c r="E7566" t="s">
        <v>5709</v>
      </c>
      <c r="F7566" t="s">
        <v>5710</v>
      </c>
      <c r="G7566" s="1">
        <v>39295</v>
      </c>
      <c r="H7566" s="1">
        <v>39426</v>
      </c>
      <c r="I7566" t="s">
        <v>12</v>
      </c>
      <c r="J7566" t="s">
        <v>18336</v>
      </c>
    </row>
    <row r="7567" spans="1:10" x14ac:dyDescent="0.25">
      <c r="A7567">
        <v>3001866</v>
      </c>
      <c r="B7567" t="s">
        <v>7972</v>
      </c>
      <c r="C7567" t="str">
        <f>"9780814409077"</f>
        <v>9780814409077</v>
      </c>
      <c r="D7567" t="str">
        <f>"9780814400715"</f>
        <v>9780814400715</v>
      </c>
      <c r="E7567" t="s">
        <v>5709</v>
      </c>
      <c r="F7567" t="s">
        <v>5710</v>
      </c>
      <c r="G7567" s="1">
        <v>39203</v>
      </c>
      <c r="H7567" s="1">
        <v>39426</v>
      </c>
      <c r="I7567" t="s">
        <v>12</v>
      </c>
      <c r="J7567" t="s">
        <v>18337</v>
      </c>
    </row>
    <row r="7568" spans="1:10" x14ac:dyDescent="0.25">
      <c r="A7568">
        <v>3001867</v>
      </c>
      <c r="B7568" t="s">
        <v>7973</v>
      </c>
      <c r="C7568" t="str">
        <f>"9780814409169"</f>
        <v>9780814409169</v>
      </c>
      <c r="D7568" t="str">
        <f>"9780814400807"</f>
        <v>9780814400807</v>
      </c>
      <c r="E7568" t="s">
        <v>5709</v>
      </c>
      <c r="F7568" t="s">
        <v>5710</v>
      </c>
      <c r="G7568" s="1">
        <v>39203</v>
      </c>
      <c r="H7568" s="1">
        <v>39426</v>
      </c>
      <c r="I7568" t="s">
        <v>12</v>
      </c>
      <c r="J7568" t="s">
        <v>18338</v>
      </c>
    </row>
    <row r="7569" spans="1:10" x14ac:dyDescent="0.25">
      <c r="A7569">
        <v>3001868</v>
      </c>
      <c r="B7569" t="s">
        <v>7974</v>
      </c>
      <c r="C7569" t="str">
        <f>"9780814474259"</f>
        <v>9780814474259</v>
      </c>
      <c r="D7569" t="str">
        <f>"9780814400593"</f>
        <v>9780814400593</v>
      </c>
      <c r="E7569" t="s">
        <v>5709</v>
      </c>
      <c r="F7569" t="s">
        <v>5710</v>
      </c>
      <c r="G7569" s="1">
        <v>39203</v>
      </c>
      <c r="H7569" s="1">
        <v>39426</v>
      </c>
      <c r="I7569" t="s">
        <v>12</v>
      </c>
      <c r="J7569" t="s">
        <v>18339</v>
      </c>
    </row>
    <row r="7570" spans="1:10" x14ac:dyDescent="0.25">
      <c r="A7570">
        <v>3001869</v>
      </c>
      <c r="B7570" t="s">
        <v>7975</v>
      </c>
      <c r="C7570" t="str">
        <f>"9780814474600"</f>
        <v>9780814474600</v>
      </c>
      <c r="D7570" t="str">
        <f>"9780814400869"</f>
        <v>9780814400869</v>
      </c>
      <c r="E7570" t="s">
        <v>5709</v>
      </c>
      <c r="F7570" t="s">
        <v>5710</v>
      </c>
      <c r="G7570" s="1">
        <v>39264</v>
      </c>
      <c r="H7570" s="1">
        <v>39426</v>
      </c>
      <c r="I7570" t="s">
        <v>12</v>
      </c>
      <c r="J7570" t="s">
        <v>18340</v>
      </c>
    </row>
    <row r="7571" spans="1:10" x14ac:dyDescent="0.25">
      <c r="A7571">
        <v>3001870</v>
      </c>
      <c r="B7571" t="s">
        <v>7976</v>
      </c>
      <c r="C7571" t="str">
        <f>"9780814474297"</f>
        <v>9780814474297</v>
      </c>
      <c r="D7571" t="str">
        <f>"9780814400876"</f>
        <v>9780814400876</v>
      </c>
      <c r="E7571" t="s">
        <v>5709</v>
      </c>
      <c r="F7571" t="s">
        <v>5710</v>
      </c>
      <c r="G7571" s="1">
        <v>39142</v>
      </c>
      <c r="H7571" s="1">
        <v>39426</v>
      </c>
      <c r="I7571" t="s">
        <v>12</v>
      </c>
      <c r="J7571" t="s">
        <v>18341</v>
      </c>
    </row>
    <row r="7572" spans="1:10" x14ac:dyDescent="0.25">
      <c r="A7572">
        <v>3001871</v>
      </c>
      <c r="B7572" t="s">
        <v>7977</v>
      </c>
      <c r="C7572" t="str">
        <f>"9780814473702"</f>
        <v>9780814473702</v>
      </c>
      <c r="D7572" t="str">
        <f>"9780814400814"</f>
        <v>9780814400814</v>
      </c>
      <c r="E7572" t="s">
        <v>5709</v>
      </c>
      <c r="F7572" t="s">
        <v>5710</v>
      </c>
      <c r="G7572" s="1">
        <v>39173</v>
      </c>
      <c r="H7572" s="1">
        <v>39426</v>
      </c>
      <c r="I7572" t="s">
        <v>12</v>
      </c>
      <c r="J7572" t="s">
        <v>18342</v>
      </c>
    </row>
    <row r="7573" spans="1:10" x14ac:dyDescent="0.25">
      <c r="A7573">
        <v>3001872</v>
      </c>
      <c r="B7573" t="s">
        <v>7978</v>
      </c>
      <c r="C7573" t="str">
        <f>"9780814474082"</f>
        <v>9780814474082</v>
      </c>
      <c r="D7573" t="str">
        <f>"9780814430071"</f>
        <v>9780814430071</v>
      </c>
      <c r="E7573" t="s">
        <v>5709</v>
      </c>
      <c r="F7573" t="s">
        <v>5710</v>
      </c>
      <c r="G7573" s="1">
        <v>39052</v>
      </c>
      <c r="H7573" s="1">
        <v>39426</v>
      </c>
      <c r="I7573" t="s">
        <v>12</v>
      </c>
      <c r="J7573" t="s">
        <v>18343</v>
      </c>
    </row>
    <row r="7574" spans="1:10" x14ac:dyDescent="0.25">
      <c r="A7574">
        <v>3001873</v>
      </c>
      <c r="B7574" t="s">
        <v>7979</v>
      </c>
      <c r="C7574" t="str">
        <f>"9780814408797"</f>
        <v>9780814408797</v>
      </c>
      <c r="D7574" t="str">
        <f>"9780814429921"</f>
        <v>9780814429921</v>
      </c>
      <c r="E7574" t="s">
        <v>5709</v>
      </c>
      <c r="F7574" t="s">
        <v>5710</v>
      </c>
      <c r="G7574" s="1">
        <v>39022</v>
      </c>
      <c r="H7574" s="1">
        <v>39426</v>
      </c>
      <c r="I7574" t="s">
        <v>12</v>
      </c>
      <c r="J7574" t="s">
        <v>18344</v>
      </c>
    </row>
    <row r="7575" spans="1:10" x14ac:dyDescent="0.25">
      <c r="A7575">
        <v>3001874</v>
      </c>
      <c r="B7575" t="s">
        <v>7980</v>
      </c>
      <c r="C7575" t="str">
        <f>"9780814474426"</f>
        <v>9780814474426</v>
      </c>
      <c r="D7575" t="str">
        <f>"9780814400623"</f>
        <v>9780814400623</v>
      </c>
      <c r="E7575" t="s">
        <v>5709</v>
      </c>
      <c r="F7575" t="s">
        <v>5710</v>
      </c>
      <c r="G7575" s="1">
        <v>39142</v>
      </c>
      <c r="H7575" s="1">
        <v>39426</v>
      </c>
      <c r="I7575" t="s">
        <v>12</v>
      </c>
      <c r="J7575" t="s">
        <v>18345</v>
      </c>
    </row>
    <row r="7576" spans="1:10" x14ac:dyDescent="0.25">
      <c r="A7576">
        <v>3001876</v>
      </c>
      <c r="B7576" t="s">
        <v>7981</v>
      </c>
      <c r="C7576" t="str">
        <f>"9780814474013"</f>
        <v>9780814474013</v>
      </c>
      <c r="D7576" t="str">
        <f>"9780814430040"</f>
        <v>9780814430040</v>
      </c>
      <c r="E7576" t="s">
        <v>5709</v>
      </c>
      <c r="F7576" t="s">
        <v>5710</v>
      </c>
      <c r="G7576" s="1">
        <v>39083</v>
      </c>
      <c r="H7576" s="1">
        <v>39426</v>
      </c>
      <c r="I7576" t="s">
        <v>12</v>
      </c>
      <c r="J7576" t="s">
        <v>18346</v>
      </c>
    </row>
    <row r="7577" spans="1:10" x14ac:dyDescent="0.25">
      <c r="A7577">
        <v>3001878</v>
      </c>
      <c r="B7577" t="s">
        <v>7982</v>
      </c>
      <c r="C7577" t="str">
        <f>"9780814408926"</f>
        <v>9780814408926</v>
      </c>
      <c r="D7577" t="str">
        <f>"9780814429815"</f>
        <v>9780814429815</v>
      </c>
      <c r="E7577" t="s">
        <v>5709</v>
      </c>
      <c r="F7577" t="s">
        <v>5710</v>
      </c>
      <c r="G7577" s="1">
        <v>39052</v>
      </c>
      <c r="H7577" s="1">
        <v>39426</v>
      </c>
      <c r="I7577" t="s">
        <v>12</v>
      </c>
      <c r="J7577" t="s">
        <v>18347</v>
      </c>
    </row>
    <row r="7578" spans="1:10" x14ac:dyDescent="0.25">
      <c r="A7578">
        <v>3001882</v>
      </c>
      <c r="B7578" t="s">
        <v>7983</v>
      </c>
      <c r="C7578" t="str">
        <f>"9780814473665"</f>
        <v>9780814473665</v>
      </c>
      <c r="D7578" t="str">
        <f>"9780814429990"</f>
        <v>9780814429990</v>
      </c>
      <c r="E7578" t="s">
        <v>5709</v>
      </c>
      <c r="F7578" t="s">
        <v>5710</v>
      </c>
      <c r="G7578" s="1">
        <v>39142</v>
      </c>
      <c r="H7578" s="1">
        <v>39426</v>
      </c>
      <c r="I7578" t="s">
        <v>12</v>
      </c>
      <c r="J7578" t="s">
        <v>18348</v>
      </c>
    </row>
    <row r="7579" spans="1:10" x14ac:dyDescent="0.25">
      <c r="A7579">
        <v>3001883</v>
      </c>
      <c r="B7579" t="s">
        <v>7984</v>
      </c>
      <c r="C7579" t="str">
        <f>"9780814474075"</f>
        <v>9780814474075</v>
      </c>
      <c r="D7579" t="str">
        <f>"9780814430026"</f>
        <v>9780814430026</v>
      </c>
      <c r="E7579" t="s">
        <v>5709</v>
      </c>
      <c r="F7579" t="s">
        <v>5710</v>
      </c>
      <c r="G7579" s="1">
        <v>38991</v>
      </c>
      <c r="H7579" s="1">
        <v>39426</v>
      </c>
      <c r="I7579" t="s">
        <v>12</v>
      </c>
      <c r="J7579" t="s">
        <v>18349</v>
      </c>
    </row>
    <row r="7580" spans="1:10" x14ac:dyDescent="0.25">
      <c r="A7580">
        <v>3001884</v>
      </c>
      <c r="B7580" t="s">
        <v>7985</v>
      </c>
      <c r="C7580" t="str">
        <f>"9780814473962"</f>
        <v>9780814473962</v>
      </c>
      <c r="D7580" t="str">
        <f>"9780814429822"</f>
        <v>9780814429822</v>
      </c>
      <c r="E7580" t="s">
        <v>5709</v>
      </c>
      <c r="F7580" t="s">
        <v>5710</v>
      </c>
      <c r="G7580" s="1">
        <v>39083</v>
      </c>
      <c r="H7580" s="1">
        <v>39426</v>
      </c>
      <c r="I7580" t="s">
        <v>12</v>
      </c>
      <c r="J7580" t="s">
        <v>18350</v>
      </c>
    </row>
    <row r="7581" spans="1:10" x14ac:dyDescent="0.25">
      <c r="A7581">
        <v>3001984</v>
      </c>
      <c r="B7581" t="s">
        <v>7986</v>
      </c>
      <c r="C7581" t="str">
        <f>"9781893997653"</f>
        <v>9781893997653</v>
      </c>
      <c r="D7581" t="str">
        <f>""</f>
        <v/>
      </c>
      <c r="E7581" t="s">
        <v>7987</v>
      </c>
      <c r="F7581" t="s">
        <v>7987</v>
      </c>
      <c r="G7581" s="1">
        <v>39965</v>
      </c>
      <c r="H7581" s="1">
        <v>40826</v>
      </c>
      <c r="I7581" t="s">
        <v>12</v>
      </c>
      <c r="J7581" t="s">
        <v>18351</v>
      </c>
    </row>
    <row r="7582" spans="1:10" x14ac:dyDescent="0.25">
      <c r="A7582">
        <v>3002085</v>
      </c>
      <c r="B7582" t="s">
        <v>7988</v>
      </c>
      <c r="C7582" t="str">
        <f>"9780871207944"</f>
        <v>9780871207944</v>
      </c>
      <c r="D7582" t="str">
        <f>"9780871209412"</f>
        <v>9780871209412</v>
      </c>
      <c r="E7582" t="s">
        <v>2492</v>
      </c>
      <c r="F7582" t="s">
        <v>2492</v>
      </c>
      <c r="G7582" s="1">
        <v>37926</v>
      </c>
      <c r="H7582" s="1">
        <v>38023</v>
      </c>
      <c r="I7582" t="s">
        <v>12</v>
      </c>
      <c r="J7582" t="s">
        <v>18352</v>
      </c>
    </row>
    <row r="7583" spans="1:10" x14ac:dyDescent="0.25">
      <c r="A7583">
        <v>3002096</v>
      </c>
      <c r="B7583" t="s">
        <v>7989</v>
      </c>
      <c r="C7583" t="str">
        <f>"9780871208293"</f>
        <v>9780871208293</v>
      </c>
      <c r="D7583" t="str">
        <f>"9780871209986"</f>
        <v>9780871209986</v>
      </c>
      <c r="E7583" t="s">
        <v>2492</v>
      </c>
      <c r="F7583" t="s">
        <v>2492</v>
      </c>
      <c r="G7583" s="1">
        <v>38108</v>
      </c>
      <c r="H7583" s="1">
        <v>38190</v>
      </c>
      <c r="I7583" t="s">
        <v>12</v>
      </c>
      <c r="J7583" t="s">
        <v>18353</v>
      </c>
    </row>
    <row r="7584" spans="1:10" x14ac:dyDescent="0.25">
      <c r="A7584">
        <v>3002107</v>
      </c>
      <c r="B7584" t="s">
        <v>7990</v>
      </c>
      <c r="C7584" t="str">
        <f>"9780871209719"</f>
        <v>9780871209719</v>
      </c>
      <c r="D7584" t="str">
        <f>"9781416600596"</f>
        <v>9781416600596</v>
      </c>
      <c r="E7584" t="s">
        <v>2492</v>
      </c>
      <c r="F7584" t="s">
        <v>2492</v>
      </c>
      <c r="G7584" s="1">
        <v>38231</v>
      </c>
      <c r="H7584" s="1">
        <v>38335</v>
      </c>
      <c r="I7584" t="s">
        <v>12</v>
      </c>
      <c r="J7584" t="s">
        <v>18354</v>
      </c>
    </row>
    <row r="7585" spans="1:10" x14ac:dyDescent="0.25">
      <c r="A7585">
        <v>3002120</v>
      </c>
      <c r="B7585" t="s">
        <v>7991</v>
      </c>
      <c r="C7585" t="str">
        <f>"9781416601548"</f>
        <v>9781416601548</v>
      </c>
      <c r="D7585" t="str">
        <f>"9781416602583"</f>
        <v>9781416602583</v>
      </c>
      <c r="E7585" t="s">
        <v>2492</v>
      </c>
      <c r="F7585" t="s">
        <v>2492</v>
      </c>
      <c r="G7585" s="1">
        <v>38504</v>
      </c>
      <c r="H7585" s="1">
        <v>38573</v>
      </c>
      <c r="I7585" t="s">
        <v>12</v>
      </c>
      <c r="J7585" t="s">
        <v>18355</v>
      </c>
    </row>
    <row r="7586" spans="1:10" x14ac:dyDescent="0.25">
      <c r="A7586">
        <v>3002130</v>
      </c>
      <c r="B7586" t="s">
        <v>7992</v>
      </c>
      <c r="C7586" t="str">
        <f>"9781416602842"</f>
        <v>9781416602842</v>
      </c>
      <c r="D7586" t="str">
        <f>"9781416603757"</f>
        <v>9781416603757</v>
      </c>
      <c r="E7586" t="s">
        <v>2492</v>
      </c>
      <c r="F7586" t="s">
        <v>2492</v>
      </c>
      <c r="G7586" s="1">
        <v>41376</v>
      </c>
      <c r="H7586" s="1">
        <v>38772</v>
      </c>
      <c r="I7586" t="s">
        <v>12</v>
      </c>
      <c r="J7586" t="s">
        <v>18356</v>
      </c>
    </row>
    <row r="7587" spans="1:10" x14ac:dyDescent="0.25">
      <c r="A7587">
        <v>3002132</v>
      </c>
      <c r="B7587" t="s">
        <v>7993</v>
      </c>
      <c r="C7587" t="str">
        <f>"9781416602293"</f>
        <v>9781416602293</v>
      </c>
      <c r="D7587" t="str">
        <f>"9781416603092"</f>
        <v>9781416603092</v>
      </c>
      <c r="E7587" t="s">
        <v>2492</v>
      </c>
      <c r="F7587" t="s">
        <v>2492</v>
      </c>
      <c r="G7587" s="1">
        <v>38687</v>
      </c>
      <c r="H7587" s="1">
        <v>38772</v>
      </c>
      <c r="I7587" t="s">
        <v>12</v>
      </c>
      <c r="J7587" t="s">
        <v>18357</v>
      </c>
    </row>
    <row r="7588" spans="1:10" x14ac:dyDescent="0.25">
      <c r="A7588">
        <v>3002146</v>
      </c>
      <c r="B7588" t="s">
        <v>7994</v>
      </c>
      <c r="C7588" t="str">
        <f>"9780871203182"</f>
        <v>9780871203182</v>
      </c>
      <c r="D7588" t="str">
        <f>"9781416604365"</f>
        <v>9781416604365</v>
      </c>
      <c r="E7588" t="s">
        <v>2492</v>
      </c>
      <c r="F7588" t="s">
        <v>7995</v>
      </c>
      <c r="G7588" s="1">
        <v>36008</v>
      </c>
      <c r="H7588" s="1">
        <v>38785</v>
      </c>
      <c r="I7588" t="s">
        <v>12</v>
      </c>
      <c r="J7588" t="s">
        <v>18358</v>
      </c>
    </row>
    <row r="7589" spans="1:10" x14ac:dyDescent="0.25">
      <c r="A7589">
        <v>3002149</v>
      </c>
      <c r="B7589" t="s">
        <v>7996</v>
      </c>
      <c r="C7589" t="str">
        <f>"9780871203663"</f>
        <v>9780871203663</v>
      </c>
      <c r="D7589" t="str">
        <f>"9781416604532"</f>
        <v>9781416604532</v>
      </c>
      <c r="E7589" t="s">
        <v>2492</v>
      </c>
      <c r="F7589" t="s">
        <v>2492</v>
      </c>
      <c r="G7589" s="1">
        <v>36557</v>
      </c>
      <c r="H7589" s="1">
        <v>38785</v>
      </c>
      <c r="I7589" t="s">
        <v>12</v>
      </c>
      <c r="J7589" t="s">
        <v>18359</v>
      </c>
    </row>
    <row r="7590" spans="1:10" x14ac:dyDescent="0.25">
      <c r="A7590">
        <v>3002158</v>
      </c>
      <c r="B7590" t="s">
        <v>7997</v>
      </c>
      <c r="C7590" t="str">
        <f>"9781416603467"</f>
        <v>9781416603467</v>
      </c>
      <c r="D7590" t="str">
        <f>"9781416605362"</f>
        <v>9781416605362</v>
      </c>
      <c r="E7590" t="s">
        <v>2492</v>
      </c>
      <c r="F7590" t="s">
        <v>2492</v>
      </c>
      <c r="G7590" s="1">
        <v>38869</v>
      </c>
      <c r="H7590" s="1">
        <v>38959</v>
      </c>
      <c r="I7590" t="s">
        <v>12</v>
      </c>
      <c r="J7590" t="s">
        <v>18360</v>
      </c>
    </row>
    <row r="7591" spans="1:10" x14ac:dyDescent="0.25">
      <c r="A7591">
        <v>3002160</v>
      </c>
      <c r="B7591" t="s">
        <v>7998</v>
      </c>
      <c r="C7591" t="str">
        <f>"9781416604044"</f>
        <v>9781416604044</v>
      </c>
      <c r="D7591" t="str">
        <f>"9781416605270"</f>
        <v>9781416605270</v>
      </c>
      <c r="E7591" t="s">
        <v>2492</v>
      </c>
      <c r="F7591" t="s">
        <v>2492</v>
      </c>
      <c r="G7591" s="1">
        <v>38991</v>
      </c>
      <c r="H7591" s="1">
        <v>39048</v>
      </c>
      <c r="I7591" t="s">
        <v>12</v>
      </c>
      <c r="J7591" t="s">
        <v>18361</v>
      </c>
    </row>
    <row r="7592" spans="1:10" x14ac:dyDescent="0.25">
      <c r="A7592">
        <v>3002164</v>
      </c>
      <c r="B7592" t="s">
        <v>7999</v>
      </c>
      <c r="C7592" t="str">
        <f>"9781416605805"</f>
        <v>9781416605805</v>
      </c>
      <c r="D7592" t="str">
        <f>"9781416606543"</f>
        <v>9781416606543</v>
      </c>
      <c r="E7592" t="s">
        <v>2492</v>
      </c>
      <c r="F7592" t="s">
        <v>2492</v>
      </c>
      <c r="G7592" s="1">
        <v>39083</v>
      </c>
      <c r="H7592" s="1">
        <v>39421</v>
      </c>
      <c r="I7592" t="s">
        <v>12</v>
      </c>
      <c r="J7592" t="s">
        <v>18362</v>
      </c>
    </row>
    <row r="7593" spans="1:10" x14ac:dyDescent="0.25">
      <c r="A7593">
        <v>3002167</v>
      </c>
      <c r="B7593" t="s">
        <v>8000</v>
      </c>
      <c r="C7593" t="str">
        <f>"9781416605799"</f>
        <v>9781416605799</v>
      </c>
      <c r="D7593" t="str">
        <f>"9781416606611"</f>
        <v>9781416606611</v>
      </c>
      <c r="E7593" t="s">
        <v>2492</v>
      </c>
      <c r="F7593" t="s">
        <v>2492</v>
      </c>
      <c r="G7593" s="1">
        <v>39317</v>
      </c>
      <c r="H7593" s="1">
        <v>39421</v>
      </c>
      <c r="I7593" t="s">
        <v>12</v>
      </c>
      <c r="J7593" t="s">
        <v>18363</v>
      </c>
    </row>
    <row r="7594" spans="1:10" x14ac:dyDescent="0.25">
      <c r="A7594">
        <v>3002171</v>
      </c>
      <c r="B7594" t="s">
        <v>8001</v>
      </c>
      <c r="C7594" t="str">
        <f>"9781416606086"</f>
        <v>9781416606086</v>
      </c>
      <c r="D7594" t="str">
        <f>"9781416606833"</f>
        <v>9781416606833</v>
      </c>
      <c r="E7594" t="s">
        <v>2492</v>
      </c>
      <c r="F7594" t="s">
        <v>2492</v>
      </c>
      <c r="G7594" s="1">
        <v>39387</v>
      </c>
      <c r="H7594" s="1">
        <v>39556</v>
      </c>
      <c r="I7594" t="s">
        <v>12</v>
      </c>
      <c r="J7594" t="s">
        <v>18364</v>
      </c>
    </row>
    <row r="7595" spans="1:10" x14ac:dyDescent="0.25">
      <c r="A7595">
        <v>3002175</v>
      </c>
      <c r="B7595" t="s">
        <v>8002</v>
      </c>
      <c r="C7595" t="str">
        <f>""</f>
        <v/>
      </c>
      <c r="D7595" t="str">
        <f>"9781416609810"</f>
        <v>9781416609810</v>
      </c>
      <c r="E7595" t="s">
        <v>2492</v>
      </c>
      <c r="F7595" t="s">
        <v>7995</v>
      </c>
      <c r="G7595" s="1">
        <v>40026</v>
      </c>
      <c r="H7595" s="1">
        <v>40068</v>
      </c>
      <c r="I7595" t="s">
        <v>12</v>
      </c>
      <c r="J7595" t="s">
        <v>18365</v>
      </c>
    </row>
    <row r="7596" spans="1:10" x14ac:dyDescent="0.25">
      <c r="A7596">
        <v>3002490</v>
      </c>
      <c r="B7596" t="s">
        <v>8003</v>
      </c>
      <c r="C7596" t="str">
        <f>"9781555815134"</f>
        <v>9781555815134</v>
      </c>
      <c r="D7596" t="str">
        <f>"9781555817138"</f>
        <v>9781555817138</v>
      </c>
      <c r="E7596" t="s">
        <v>6141</v>
      </c>
      <c r="F7596" t="s">
        <v>6141</v>
      </c>
      <c r="G7596" s="1">
        <v>40664</v>
      </c>
      <c r="H7596" s="1">
        <v>40850</v>
      </c>
      <c r="I7596" t="s">
        <v>12</v>
      </c>
      <c r="J7596" t="s">
        <v>18366</v>
      </c>
    </row>
    <row r="7597" spans="1:10" x14ac:dyDescent="0.25">
      <c r="A7597">
        <v>3002493</v>
      </c>
      <c r="B7597" t="s">
        <v>8004</v>
      </c>
      <c r="C7597" t="str">
        <f>"9781555815424"</f>
        <v>9781555815424</v>
      </c>
      <c r="D7597" t="str">
        <f>"9781555817121"</f>
        <v>9781555817121</v>
      </c>
      <c r="E7597" t="s">
        <v>6141</v>
      </c>
      <c r="F7597" t="s">
        <v>6141</v>
      </c>
      <c r="G7597" s="1">
        <v>40634</v>
      </c>
      <c r="H7597" s="1">
        <v>40850</v>
      </c>
      <c r="I7597" t="s">
        <v>12</v>
      </c>
      <c r="J7597" t="s">
        <v>18367</v>
      </c>
    </row>
    <row r="7598" spans="1:10" x14ac:dyDescent="0.25">
      <c r="A7598">
        <v>3002494</v>
      </c>
      <c r="B7598" t="s">
        <v>8005</v>
      </c>
      <c r="C7598" t="str">
        <f>"9781555815165"</f>
        <v>9781555815165</v>
      </c>
      <c r="D7598" t="str">
        <f>"9781555817152"</f>
        <v>9781555817152</v>
      </c>
      <c r="E7598" t="s">
        <v>6141</v>
      </c>
      <c r="F7598" t="s">
        <v>6141</v>
      </c>
      <c r="G7598" s="1">
        <v>40634</v>
      </c>
      <c r="H7598" s="1">
        <v>40850</v>
      </c>
      <c r="I7598" t="s">
        <v>12</v>
      </c>
      <c r="J7598" t="s">
        <v>18368</v>
      </c>
    </row>
    <row r="7599" spans="1:10" x14ac:dyDescent="0.25">
      <c r="A7599">
        <v>3002809</v>
      </c>
      <c r="B7599" t="s">
        <v>8006</v>
      </c>
      <c r="C7599" t="str">
        <f>"9781932792645"</f>
        <v>9781932792645</v>
      </c>
      <c r="D7599" t="str">
        <f>"9781602580282"</f>
        <v>9781602580282</v>
      </c>
      <c r="E7599" t="s">
        <v>2757</v>
      </c>
      <c r="F7599" t="s">
        <v>2757</v>
      </c>
      <c r="G7599" s="1">
        <v>39173</v>
      </c>
      <c r="H7599" s="1">
        <v>39377</v>
      </c>
      <c r="I7599" t="s">
        <v>12</v>
      </c>
      <c r="J7599" t="s">
        <v>18369</v>
      </c>
    </row>
    <row r="7600" spans="1:10" x14ac:dyDescent="0.25">
      <c r="A7600">
        <v>3002825</v>
      </c>
      <c r="B7600" t="s">
        <v>8007</v>
      </c>
      <c r="C7600" t="str">
        <f>""</f>
        <v/>
      </c>
      <c r="D7600" t="str">
        <f>"9781608050185"</f>
        <v>9781608050185</v>
      </c>
      <c r="E7600" t="s">
        <v>7346</v>
      </c>
      <c r="F7600" t="s">
        <v>7346</v>
      </c>
      <c r="G7600" s="1">
        <v>39783</v>
      </c>
      <c r="H7600" s="1">
        <v>40472</v>
      </c>
      <c r="I7600" t="s">
        <v>12</v>
      </c>
      <c r="J7600" t="s">
        <v>18370</v>
      </c>
    </row>
    <row r="7601" spans="1:10" x14ac:dyDescent="0.25">
      <c r="A7601">
        <v>3002826</v>
      </c>
      <c r="B7601" t="s">
        <v>8008</v>
      </c>
      <c r="C7601" t="str">
        <f>""</f>
        <v/>
      </c>
      <c r="D7601" t="str">
        <f>"9781608050086"</f>
        <v>9781608050086</v>
      </c>
      <c r="E7601" t="s">
        <v>7346</v>
      </c>
      <c r="F7601" t="s">
        <v>7346</v>
      </c>
      <c r="G7601" s="1">
        <v>40148</v>
      </c>
      <c r="H7601" s="1">
        <v>40472</v>
      </c>
      <c r="I7601" t="s">
        <v>12</v>
      </c>
      <c r="J7601" t="s">
        <v>18371</v>
      </c>
    </row>
    <row r="7602" spans="1:10" x14ac:dyDescent="0.25">
      <c r="A7602">
        <v>3002957</v>
      </c>
      <c r="B7602" t="s">
        <v>8009</v>
      </c>
      <c r="C7602" t="str">
        <f>"9780713682502"</f>
        <v>9780713682502</v>
      </c>
      <c r="D7602" t="str">
        <f>"9781408102510"</f>
        <v>9781408102510</v>
      </c>
      <c r="E7602" t="s">
        <v>8010</v>
      </c>
      <c r="F7602" t="s">
        <v>8010</v>
      </c>
      <c r="G7602" s="1">
        <v>39814</v>
      </c>
      <c r="H7602" s="1">
        <v>40347</v>
      </c>
      <c r="I7602" t="s">
        <v>12</v>
      </c>
      <c r="J7602" t="s">
        <v>18372</v>
      </c>
    </row>
    <row r="7603" spans="1:10" x14ac:dyDescent="0.25">
      <c r="A7603">
        <v>3003608</v>
      </c>
      <c r="B7603" t="s">
        <v>8011</v>
      </c>
      <c r="C7603" t="str">
        <f>"9781571132628"</f>
        <v>9781571132628</v>
      </c>
      <c r="D7603" t="str">
        <f>"9781571136466"</f>
        <v>9781571136466</v>
      </c>
      <c r="E7603" t="s">
        <v>6829</v>
      </c>
      <c r="F7603" t="s">
        <v>6830</v>
      </c>
      <c r="G7603" s="1">
        <v>38261</v>
      </c>
      <c r="H7603" s="1">
        <v>40193</v>
      </c>
      <c r="I7603" t="s">
        <v>12</v>
      </c>
      <c r="J7603" t="s">
        <v>18373</v>
      </c>
    </row>
    <row r="7604" spans="1:10" x14ac:dyDescent="0.25">
      <c r="A7604">
        <v>3003675</v>
      </c>
      <c r="B7604" t="s">
        <v>8012</v>
      </c>
      <c r="C7604" t="str">
        <f>"9781571133731"</f>
        <v>9781571133731</v>
      </c>
      <c r="D7604" t="str">
        <f>"9781571137135"</f>
        <v>9781571137135</v>
      </c>
      <c r="E7604" t="s">
        <v>6829</v>
      </c>
      <c r="F7604" t="s">
        <v>6830</v>
      </c>
      <c r="G7604" s="1">
        <v>40359</v>
      </c>
      <c r="H7604" s="1">
        <v>40340</v>
      </c>
      <c r="I7604" t="s">
        <v>12</v>
      </c>
      <c r="J7604" t="s">
        <v>18374</v>
      </c>
    </row>
    <row r="7605" spans="1:10" x14ac:dyDescent="0.25">
      <c r="A7605">
        <v>3003689</v>
      </c>
      <c r="B7605" t="s">
        <v>8013</v>
      </c>
      <c r="C7605" t="str">
        <f>"9781571133953"</f>
        <v>9781571133953</v>
      </c>
      <c r="D7605" t="str">
        <f>"9781571137289"</f>
        <v>9781571137289</v>
      </c>
      <c r="E7605" t="s">
        <v>6829</v>
      </c>
      <c r="F7605" t="s">
        <v>6830</v>
      </c>
      <c r="G7605" s="1">
        <v>39933</v>
      </c>
      <c r="H7605" s="1">
        <v>40463</v>
      </c>
      <c r="I7605" t="s">
        <v>12</v>
      </c>
      <c r="J7605" t="s">
        <v>18375</v>
      </c>
    </row>
    <row r="7606" spans="1:10" x14ac:dyDescent="0.25">
      <c r="A7606">
        <v>3003694</v>
      </c>
      <c r="B7606" t="s">
        <v>8014</v>
      </c>
      <c r="C7606" t="str">
        <f>"9781571133304"</f>
        <v>9781571133304</v>
      </c>
      <c r="D7606" t="str">
        <f>"9781571137296"</f>
        <v>9781571137296</v>
      </c>
      <c r="E7606" t="s">
        <v>6829</v>
      </c>
      <c r="F7606" t="s">
        <v>6830</v>
      </c>
      <c r="G7606" s="1">
        <v>40147</v>
      </c>
      <c r="H7606" s="1">
        <v>40463</v>
      </c>
      <c r="I7606" t="s">
        <v>12</v>
      </c>
      <c r="J7606" t="s">
        <v>18376</v>
      </c>
    </row>
    <row r="7607" spans="1:10" x14ac:dyDescent="0.25">
      <c r="A7607">
        <v>3003699</v>
      </c>
      <c r="B7607" t="s">
        <v>8015</v>
      </c>
      <c r="C7607" t="str">
        <f>"9781571133670"</f>
        <v>9781571133670</v>
      </c>
      <c r="D7607" t="str">
        <f>"9781571137272"</f>
        <v>9781571137272</v>
      </c>
      <c r="E7607" t="s">
        <v>6829</v>
      </c>
      <c r="F7607" t="s">
        <v>6830</v>
      </c>
      <c r="G7607" s="1">
        <v>40087</v>
      </c>
      <c r="H7607" s="1">
        <v>40463</v>
      </c>
      <c r="I7607" t="s">
        <v>12</v>
      </c>
      <c r="J7607" t="s">
        <v>18377</v>
      </c>
    </row>
    <row r="7608" spans="1:10" x14ac:dyDescent="0.25">
      <c r="A7608">
        <v>3003701</v>
      </c>
      <c r="B7608" t="s">
        <v>8016</v>
      </c>
      <c r="C7608" t="str">
        <f>"9781571134233"</f>
        <v>9781571134233</v>
      </c>
      <c r="D7608" t="str">
        <f>"9781571137463"</f>
        <v>9781571137463</v>
      </c>
      <c r="E7608" t="s">
        <v>6829</v>
      </c>
      <c r="F7608" t="s">
        <v>6830</v>
      </c>
      <c r="G7608" s="1">
        <v>40087</v>
      </c>
      <c r="H7608" s="1">
        <v>40463</v>
      </c>
      <c r="I7608" t="s">
        <v>12</v>
      </c>
      <c r="J7608" t="s">
        <v>18378</v>
      </c>
    </row>
    <row r="7609" spans="1:10" x14ac:dyDescent="0.25">
      <c r="A7609">
        <v>3003706</v>
      </c>
      <c r="B7609" t="s">
        <v>8017</v>
      </c>
      <c r="C7609" t="str">
        <f>"9781571133939"</f>
        <v>9781571133939</v>
      </c>
      <c r="D7609" t="str">
        <f>"9781571137364"</f>
        <v>9781571137364</v>
      </c>
      <c r="E7609" t="s">
        <v>6829</v>
      </c>
      <c r="F7609" t="s">
        <v>6830</v>
      </c>
      <c r="G7609" s="1">
        <v>39845</v>
      </c>
      <c r="H7609" s="1">
        <v>40463</v>
      </c>
      <c r="I7609" t="s">
        <v>12</v>
      </c>
      <c r="J7609" t="s">
        <v>18379</v>
      </c>
    </row>
    <row r="7610" spans="1:10" x14ac:dyDescent="0.25">
      <c r="A7610">
        <v>3003708</v>
      </c>
      <c r="B7610" t="s">
        <v>8018</v>
      </c>
      <c r="C7610" t="str">
        <f>"9781571134226"</f>
        <v>9781571134226</v>
      </c>
      <c r="D7610" t="str">
        <f>"9781571137425"</f>
        <v>9781571137425</v>
      </c>
      <c r="E7610" t="s">
        <v>6829</v>
      </c>
      <c r="F7610" t="s">
        <v>6830</v>
      </c>
      <c r="G7610" s="1">
        <v>40087</v>
      </c>
      <c r="H7610" s="1">
        <v>40463</v>
      </c>
      <c r="I7610" t="s">
        <v>12</v>
      </c>
      <c r="J7610" t="s">
        <v>18380</v>
      </c>
    </row>
    <row r="7611" spans="1:10" x14ac:dyDescent="0.25">
      <c r="A7611">
        <v>3003711</v>
      </c>
      <c r="B7611" t="s">
        <v>8019</v>
      </c>
      <c r="C7611" t="str">
        <f>"9781571133960"</f>
        <v>9781571133960</v>
      </c>
      <c r="D7611" t="str">
        <f>"9781571137418"</f>
        <v>9781571137418</v>
      </c>
      <c r="E7611" t="s">
        <v>6829</v>
      </c>
      <c r="F7611" t="s">
        <v>6830</v>
      </c>
      <c r="G7611" s="1">
        <v>39828</v>
      </c>
      <c r="H7611" s="1">
        <v>40463</v>
      </c>
      <c r="I7611" t="s">
        <v>12</v>
      </c>
      <c r="J7611" t="s">
        <v>18381</v>
      </c>
    </row>
    <row r="7612" spans="1:10" x14ac:dyDescent="0.25">
      <c r="A7612">
        <v>3003908</v>
      </c>
      <c r="B7612" t="s">
        <v>8020</v>
      </c>
      <c r="C7612" t="str">
        <f>"9789004143319"</f>
        <v>9789004143319</v>
      </c>
      <c r="D7612" t="str">
        <f>"9789047407300"</f>
        <v>9789047407300</v>
      </c>
      <c r="E7612" t="s">
        <v>8021</v>
      </c>
      <c r="F7612" t="s">
        <v>8021</v>
      </c>
      <c r="G7612" s="1">
        <v>38473</v>
      </c>
      <c r="H7612" s="1">
        <v>39232</v>
      </c>
      <c r="I7612" t="s">
        <v>12</v>
      </c>
      <c r="J7612" t="s">
        <v>18382</v>
      </c>
    </row>
    <row r="7613" spans="1:10" x14ac:dyDescent="0.25">
      <c r="A7613">
        <v>3003915</v>
      </c>
      <c r="B7613" t="s">
        <v>8022</v>
      </c>
      <c r="C7613" t="str">
        <f>"9789004137158"</f>
        <v>9789004137158</v>
      </c>
      <c r="D7613" t="str">
        <f>"9781280914898"</f>
        <v>9781280914898</v>
      </c>
      <c r="E7613" t="s">
        <v>8021</v>
      </c>
      <c r="F7613" t="s">
        <v>8021</v>
      </c>
      <c r="G7613" s="1">
        <v>37987</v>
      </c>
      <c r="H7613" s="1">
        <v>39273</v>
      </c>
      <c r="I7613" t="s">
        <v>12</v>
      </c>
      <c r="J7613" t="s">
        <v>18383</v>
      </c>
    </row>
    <row r="7614" spans="1:10" x14ac:dyDescent="0.25">
      <c r="A7614">
        <v>3003917</v>
      </c>
      <c r="B7614" t="s">
        <v>8023</v>
      </c>
      <c r="C7614" t="str">
        <f>"9789004139268"</f>
        <v>9789004139268</v>
      </c>
      <c r="D7614" t="str">
        <f>"9781280915369"</f>
        <v>9781280915369</v>
      </c>
      <c r="E7614" t="s">
        <v>1447</v>
      </c>
      <c r="F7614" t="s">
        <v>1447</v>
      </c>
      <c r="G7614" s="1">
        <v>38166</v>
      </c>
      <c r="H7614" s="1">
        <v>39273</v>
      </c>
      <c r="I7614" t="s">
        <v>12</v>
      </c>
      <c r="J7614" t="s">
        <v>18384</v>
      </c>
    </row>
    <row r="7615" spans="1:10" x14ac:dyDescent="0.25">
      <c r="A7615">
        <v>3003921</v>
      </c>
      <c r="B7615" t="s">
        <v>8024</v>
      </c>
      <c r="C7615" t="str">
        <f>"9789004138407"</f>
        <v>9789004138407</v>
      </c>
      <c r="D7615" t="str">
        <f>"9781280915130"</f>
        <v>9781280915130</v>
      </c>
      <c r="E7615" t="s">
        <v>8021</v>
      </c>
      <c r="F7615" t="s">
        <v>8021</v>
      </c>
      <c r="G7615" s="1">
        <v>37987</v>
      </c>
      <c r="H7615" s="1">
        <v>39273</v>
      </c>
      <c r="I7615" t="s">
        <v>12</v>
      </c>
      <c r="J7615" t="s">
        <v>18385</v>
      </c>
    </row>
    <row r="7616" spans="1:10" x14ac:dyDescent="0.25">
      <c r="A7616">
        <v>3003929</v>
      </c>
      <c r="B7616" t="s">
        <v>8025</v>
      </c>
      <c r="C7616" t="str">
        <f>"9789004140080"</f>
        <v>9789004140080</v>
      </c>
      <c r="D7616" t="str">
        <f>"9781280915499"</f>
        <v>9781280915499</v>
      </c>
      <c r="E7616" t="s">
        <v>8021</v>
      </c>
      <c r="F7616" t="s">
        <v>8021</v>
      </c>
      <c r="G7616" s="1">
        <v>38200</v>
      </c>
      <c r="H7616" s="1">
        <v>39273</v>
      </c>
      <c r="I7616" t="s">
        <v>12</v>
      </c>
      <c r="J7616" t="s">
        <v>18386</v>
      </c>
    </row>
    <row r="7617" spans="1:10" x14ac:dyDescent="0.25">
      <c r="A7617">
        <v>3003937</v>
      </c>
      <c r="B7617" t="s">
        <v>8026</v>
      </c>
      <c r="C7617" t="str">
        <f>"9789004141650"</f>
        <v>9789004141650</v>
      </c>
      <c r="D7617" t="str">
        <f>"9781280915574"</f>
        <v>9781280915574</v>
      </c>
      <c r="E7617" t="s">
        <v>8021</v>
      </c>
      <c r="F7617" t="s">
        <v>8021</v>
      </c>
      <c r="G7617" s="1">
        <v>38322</v>
      </c>
      <c r="H7617" s="1">
        <v>39273</v>
      </c>
      <c r="I7617" t="s">
        <v>12</v>
      </c>
      <c r="J7617" t="s">
        <v>18387</v>
      </c>
    </row>
    <row r="7618" spans="1:10" x14ac:dyDescent="0.25">
      <c r="A7618">
        <v>3003940</v>
      </c>
      <c r="B7618" t="s">
        <v>8027</v>
      </c>
      <c r="C7618" t="str">
        <f>"9789004138292"</f>
        <v>9789004138292</v>
      </c>
      <c r="D7618" t="str">
        <f>"9781280915086"</f>
        <v>9781280915086</v>
      </c>
      <c r="E7618" t="s">
        <v>8021</v>
      </c>
      <c r="F7618" t="s">
        <v>8021</v>
      </c>
      <c r="G7618" s="1">
        <v>38047</v>
      </c>
      <c r="H7618" s="1">
        <v>39273</v>
      </c>
      <c r="I7618" t="s">
        <v>12</v>
      </c>
      <c r="J7618" t="s">
        <v>18388</v>
      </c>
    </row>
    <row r="7619" spans="1:10" x14ac:dyDescent="0.25">
      <c r="A7619">
        <v>3003946</v>
      </c>
      <c r="B7619" t="s">
        <v>8028</v>
      </c>
      <c r="C7619" t="str">
        <f>"9789004138636"</f>
        <v>9789004138636</v>
      </c>
      <c r="D7619" t="str">
        <f>"9781280915178"</f>
        <v>9781280915178</v>
      </c>
      <c r="E7619" t="s">
        <v>8021</v>
      </c>
      <c r="F7619" t="s">
        <v>8021</v>
      </c>
      <c r="G7619" s="1">
        <v>38139</v>
      </c>
      <c r="H7619" s="1">
        <v>39273</v>
      </c>
      <c r="I7619" t="s">
        <v>12</v>
      </c>
      <c r="J7619" t="s">
        <v>18389</v>
      </c>
    </row>
    <row r="7620" spans="1:10" x14ac:dyDescent="0.25">
      <c r="A7620">
        <v>3003952</v>
      </c>
      <c r="B7620" t="s">
        <v>8029</v>
      </c>
      <c r="C7620" t="str">
        <f>"9789004125339"</f>
        <v>9789004125339</v>
      </c>
      <c r="D7620" t="str">
        <f>"9781280914669"</f>
        <v>9781280914669</v>
      </c>
      <c r="E7620" t="s">
        <v>8021</v>
      </c>
      <c r="F7620" t="s">
        <v>8021</v>
      </c>
      <c r="G7620" s="1">
        <v>37603</v>
      </c>
      <c r="H7620" s="1">
        <v>39273</v>
      </c>
      <c r="I7620" t="s">
        <v>12</v>
      </c>
      <c r="J7620" t="s">
        <v>18390</v>
      </c>
    </row>
    <row r="7621" spans="1:10" x14ac:dyDescent="0.25">
      <c r="A7621">
        <v>3003957</v>
      </c>
      <c r="B7621" t="s">
        <v>8030</v>
      </c>
      <c r="C7621" t="str">
        <f>"9789004137417"</f>
        <v>9789004137417</v>
      </c>
      <c r="D7621" t="str">
        <f>"9781280914928"</f>
        <v>9781280914928</v>
      </c>
      <c r="E7621" t="s">
        <v>8021</v>
      </c>
      <c r="F7621" t="s">
        <v>8021</v>
      </c>
      <c r="G7621" s="1">
        <v>37987</v>
      </c>
      <c r="H7621" s="1">
        <v>39273</v>
      </c>
      <c r="I7621" t="s">
        <v>12</v>
      </c>
      <c r="J7621" t="s">
        <v>18391</v>
      </c>
    </row>
    <row r="7622" spans="1:10" x14ac:dyDescent="0.25">
      <c r="A7622">
        <v>3003961</v>
      </c>
      <c r="B7622" t="s">
        <v>8031</v>
      </c>
      <c r="C7622" t="str">
        <f>"9789004137943"</f>
        <v>9789004137943</v>
      </c>
      <c r="D7622" t="str">
        <f>"9781280914973"</f>
        <v>9781280914973</v>
      </c>
      <c r="E7622" t="s">
        <v>8021</v>
      </c>
      <c r="F7622" t="s">
        <v>8021</v>
      </c>
      <c r="G7622" s="1">
        <v>37987</v>
      </c>
      <c r="H7622" s="1">
        <v>39273</v>
      </c>
      <c r="I7622" t="s">
        <v>12</v>
      </c>
      <c r="J7622" t="s">
        <v>18392</v>
      </c>
    </row>
    <row r="7623" spans="1:10" x14ac:dyDescent="0.25">
      <c r="A7623">
        <v>3003970</v>
      </c>
      <c r="B7623" t="s">
        <v>8032</v>
      </c>
      <c r="C7623" t="str">
        <f>"9789004139374"</f>
        <v>9789004139374</v>
      </c>
      <c r="D7623" t="str">
        <f>"9781280915376"</f>
        <v>9781280915376</v>
      </c>
      <c r="E7623" t="s">
        <v>8021</v>
      </c>
      <c r="F7623" t="s">
        <v>8021</v>
      </c>
      <c r="G7623" s="1">
        <v>37987</v>
      </c>
      <c r="H7623" s="1">
        <v>39273</v>
      </c>
      <c r="I7623" t="s">
        <v>12</v>
      </c>
      <c r="J7623" t="s">
        <v>18393</v>
      </c>
    </row>
    <row r="7624" spans="1:10" x14ac:dyDescent="0.25">
      <c r="A7624">
        <v>3003972</v>
      </c>
      <c r="B7624" t="s">
        <v>8033</v>
      </c>
      <c r="C7624" t="str">
        <f>"9789004141049"</f>
        <v>9789004141049</v>
      </c>
      <c r="D7624" t="str">
        <f>"9781280915543"</f>
        <v>9781280915543</v>
      </c>
      <c r="E7624" t="s">
        <v>8021</v>
      </c>
      <c r="F7624" t="s">
        <v>8021</v>
      </c>
      <c r="G7624" s="1">
        <v>38292</v>
      </c>
      <c r="H7624" s="1">
        <v>39273</v>
      </c>
      <c r="I7624" t="s">
        <v>12</v>
      </c>
      <c r="J7624" t="s">
        <v>18394</v>
      </c>
    </row>
    <row r="7625" spans="1:10" x14ac:dyDescent="0.25">
      <c r="A7625">
        <v>3003974</v>
      </c>
      <c r="B7625" t="s">
        <v>8034</v>
      </c>
      <c r="C7625" t="str">
        <f>"9789004139190"</f>
        <v>9789004139190</v>
      </c>
      <c r="D7625" t="str">
        <f>"9781280915321"</f>
        <v>9781280915321</v>
      </c>
      <c r="E7625" t="s">
        <v>8021</v>
      </c>
      <c r="F7625" t="s">
        <v>8021</v>
      </c>
      <c r="G7625" s="1">
        <v>37987</v>
      </c>
      <c r="H7625" s="1">
        <v>39273</v>
      </c>
      <c r="I7625" t="s">
        <v>12</v>
      </c>
      <c r="J7625" t="s">
        <v>18395</v>
      </c>
    </row>
    <row r="7626" spans="1:10" x14ac:dyDescent="0.25">
      <c r="A7626">
        <v>3003977</v>
      </c>
      <c r="B7626" t="s">
        <v>8035</v>
      </c>
      <c r="C7626" t="str">
        <f>"9789004143081"</f>
        <v>9789004143081</v>
      </c>
      <c r="D7626" t="str">
        <f>"9781280915604"</f>
        <v>9781280915604</v>
      </c>
      <c r="E7626" t="s">
        <v>8021</v>
      </c>
      <c r="F7626" t="s">
        <v>8021</v>
      </c>
      <c r="G7626" s="1">
        <v>38412</v>
      </c>
      <c r="H7626" s="1">
        <v>39273</v>
      </c>
      <c r="I7626" t="s">
        <v>12</v>
      </c>
      <c r="J7626" t="s">
        <v>18396</v>
      </c>
    </row>
    <row r="7627" spans="1:10" x14ac:dyDescent="0.25">
      <c r="A7627">
        <v>3003983</v>
      </c>
      <c r="B7627" t="s">
        <v>8036</v>
      </c>
      <c r="C7627" t="str">
        <f>"9789004141735"</f>
        <v>9789004141735</v>
      </c>
      <c r="D7627" t="str">
        <f>"9781280915581"</f>
        <v>9781280915581</v>
      </c>
      <c r="E7627" t="s">
        <v>8021</v>
      </c>
      <c r="F7627" t="s">
        <v>8021</v>
      </c>
      <c r="G7627" s="1">
        <v>38292</v>
      </c>
      <c r="H7627" s="1">
        <v>39273</v>
      </c>
      <c r="I7627" t="s">
        <v>12</v>
      </c>
      <c r="J7627" t="s">
        <v>18397</v>
      </c>
    </row>
    <row r="7628" spans="1:10" x14ac:dyDescent="0.25">
      <c r="A7628">
        <v>3003985</v>
      </c>
      <c r="B7628" t="s">
        <v>8037</v>
      </c>
      <c r="C7628" t="str">
        <f>"9789004136519"</f>
        <v>9789004136519</v>
      </c>
      <c r="D7628" t="str">
        <f>"9781280914812"</f>
        <v>9781280914812</v>
      </c>
      <c r="E7628" t="s">
        <v>8021</v>
      </c>
      <c r="F7628" t="s">
        <v>8021</v>
      </c>
      <c r="G7628" s="1">
        <v>38139</v>
      </c>
      <c r="H7628" s="1">
        <v>39273</v>
      </c>
      <c r="I7628" t="s">
        <v>12</v>
      </c>
      <c r="J7628" t="s">
        <v>18398</v>
      </c>
    </row>
    <row r="7629" spans="1:10" x14ac:dyDescent="0.25">
      <c r="A7629">
        <v>3003993</v>
      </c>
      <c r="B7629" t="s">
        <v>8038</v>
      </c>
      <c r="C7629" t="str">
        <f>"9789004136694"</f>
        <v>9789004136694</v>
      </c>
      <c r="D7629" t="str">
        <f>"9781280914836"</f>
        <v>9781280914836</v>
      </c>
      <c r="E7629" t="s">
        <v>8021</v>
      </c>
      <c r="F7629" t="s">
        <v>8021</v>
      </c>
      <c r="G7629" s="1">
        <v>38018</v>
      </c>
      <c r="H7629" s="1">
        <v>39273</v>
      </c>
      <c r="I7629" t="s">
        <v>12</v>
      </c>
      <c r="J7629" t="s">
        <v>18399</v>
      </c>
    </row>
    <row r="7630" spans="1:10" x14ac:dyDescent="0.25">
      <c r="A7630">
        <v>3003998</v>
      </c>
      <c r="B7630" t="s">
        <v>8039</v>
      </c>
      <c r="C7630" t="str">
        <f>"9789004131217"</f>
        <v>9789004131217</v>
      </c>
      <c r="D7630" t="str">
        <f>"9781280914737"</f>
        <v>9781280914737</v>
      </c>
      <c r="E7630" t="s">
        <v>8021</v>
      </c>
      <c r="F7630" t="s">
        <v>8021</v>
      </c>
      <c r="G7630" s="1">
        <v>37987</v>
      </c>
      <c r="H7630" s="1">
        <v>39273</v>
      </c>
      <c r="I7630" t="s">
        <v>12</v>
      </c>
      <c r="J7630" t="s">
        <v>18400</v>
      </c>
    </row>
    <row r="7631" spans="1:10" x14ac:dyDescent="0.25">
      <c r="A7631">
        <v>3004006</v>
      </c>
      <c r="B7631" t="s">
        <v>8040</v>
      </c>
      <c r="C7631" t="str">
        <f>"9789004136182"</f>
        <v>9789004136182</v>
      </c>
      <c r="D7631" t="str">
        <f>"9781280914799"</f>
        <v>9781280914799</v>
      </c>
      <c r="E7631" t="s">
        <v>8021</v>
      </c>
      <c r="F7631" t="s">
        <v>8021</v>
      </c>
      <c r="G7631" s="1">
        <v>38018</v>
      </c>
      <c r="H7631" s="1">
        <v>39273</v>
      </c>
      <c r="I7631" t="s">
        <v>12</v>
      </c>
      <c r="J7631" t="s">
        <v>18401</v>
      </c>
    </row>
    <row r="7632" spans="1:10" x14ac:dyDescent="0.25">
      <c r="A7632">
        <v>3004015</v>
      </c>
      <c r="B7632" t="s">
        <v>8041</v>
      </c>
      <c r="C7632" t="str">
        <f>"9789004138384"</f>
        <v>9789004138384</v>
      </c>
      <c r="D7632" t="str">
        <f>"9781280915116"</f>
        <v>9781280915116</v>
      </c>
      <c r="E7632" t="s">
        <v>8021</v>
      </c>
      <c r="F7632" t="s">
        <v>8021</v>
      </c>
      <c r="G7632" s="1">
        <v>38018</v>
      </c>
      <c r="H7632" s="1">
        <v>39273</v>
      </c>
      <c r="I7632" t="s">
        <v>12</v>
      </c>
      <c r="J7632" t="s">
        <v>18402</v>
      </c>
    </row>
    <row r="7633" spans="1:10" x14ac:dyDescent="0.25">
      <c r="A7633">
        <v>3004016</v>
      </c>
      <c r="B7633" t="s">
        <v>8042</v>
      </c>
      <c r="C7633" t="str">
        <f>"9789004139916"</f>
        <v>9789004139916</v>
      </c>
      <c r="D7633" t="str">
        <f>"9781280915468"</f>
        <v>9781280915468</v>
      </c>
      <c r="E7633" t="s">
        <v>8021</v>
      </c>
      <c r="F7633" t="s">
        <v>8021</v>
      </c>
      <c r="G7633" s="1">
        <v>38200</v>
      </c>
      <c r="H7633" s="1">
        <v>39273</v>
      </c>
      <c r="I7633" t="s">
        <v>12</v>
      </c>
      <c r="J7633" t="s">
        <v>18403</v>
      </c>
    </row>
    <row r="7634" spans="1:10" x14ac:dyDescent="0.25">
      <c r="A7634">
        <v>3004217</v>
      </c>
      <c r="B7634" t="s">
        <v>8043</v>
      </c>
      <c r="C7634" t="str">
        <f>"9789004151277"</f>
        <v>9789004151277</v>
      </c>
      <c r="D7634" t="str">
        <f>"9789047409571"</f>
        <v>9789047409571</v>
      </c>
      <c r="E7634" t="s">
        <v>8021</v>
      </c>
      <c r="F7634" t="s">
        <v>8021</v>
      </c>
      <c r="G7634" s="1">
        <v>38687</v>
      </c>
      <c r="H7634" s="1">
        <v>39679</v>
      </c>
      <c r="I7634" t="s">
        <v>12</v>
      </c>
      <c r="J7634" t="s">
        <v>18404</v>
      </c>
    </row>
    <row r="7635" spans="1:10" x14ac:dyDescent="0.25">
      <c r="A7635">
        <v>3004306</v>
      </c>
      <c r="B7635" t="s">
        <v>8044</v>
      </c>
      <c r="C7635" t="str">
        <f>"9780815702559"</f>
        <v>9780815702559</v>
      </c>
      <c r="D7635" t="str">
        <f>"9780815798668"</f>
        <v>9780815798668</v>
      </c>
      <c r="E7635" t="s">
        <v>2013</v>
      </c>
      <c r="F7635" t="s">
        <v>2013</v>
      </c>
      <c r="G7635" s="1">
        <v>37226</v>
      </c>
      <c r="H7635" s="1">
        <v>37747</v>
      </c>
      <c r="I7635" t="s">
        <v>12</v>
      </c>
      <c r="J7635" t="s">
        <v>18405</v>
      </c>
    </row>
    <row r="7636" spans="1:10" x14ac:dyDescent="0.25">
      <c r="A7636">
        <v>3004347</v>
      </c>
      <c r="B7636" t="s">
        <v>8045</v>
      </c>
      <c r="C7636" t="str">
        <f>"9780815701026"</f>
        <v>9780815701026</v>
      </c>
      <c r="D7636" t="str">
        <f>"9780815798521"</f>
        <v>9780815798521</v>
      </c>
      <c r="E7636" t="s">
        <v>2013</v>
      </c>
      <c r="F7636" t="s">
        <v>2013</v>
      </c>
      <c r="G7636" s="1">
        <v>37043</v>
      </c>
      <c r="H7636" s="1">
        <v>37747</v>
      </c>
      <c r="I7636" t="s">
        <v>12</v>
      </c>
      <c r="J7636" t="s">
        <v>18406</v>
      </c>
    </row>
    <row r="7637" spans="1:10" x14ac:dyDescent="0.25">
      <c r="A7637">
        <v>3004460</v>
      </c>
      <c r="B7637" t="s">
        <v>8046</v>
      </c>
      <c r="C7637" t="str">
        <f>"9780815729907"</f>
        <v>9780815729907</v>
      </c>
      <c r="D7637" t="str">
        <f>"9780815729891"</f>
        <v>9780815729891</v>
      </c>
      <c r="E7637" t="s">
        <v>2013</v>
      </c>
      <c r="F7637" t="s">
        <v>2013</v>
      </c>
      <c r="G7637" s="1">
        <v>39322</v>
      </c>
      <c r="H7637" s="1">
        <v>39421</v>
      </c>
      <c r="I7637" t="s">
        <v>12</v>
      </c>
      <c r="J7637" t="s">
        <v>18407</v>
      </c>
    </row>
    <row r="7638" spans="1:10" x14ac:dyDescent="0.25">
      <c r="A7638">
        <v>3004550</v>
      </c>
      <c r="B7638" t="s">
        <v>8047</v>
      </c>
      <c r="C7638" t="str">
        <f>"9780521823180"</f>
        <v>9780521823180</v>
      </c>
      <c r="D7638" t="str">
        <f>"9780511333415"</f>
        <v>9780511333415</v>
      </c>
      <c r="E7638" t="s">
        <v>18</v>
      </c>
      <c r="F7638" t="s">
        <v>18</v>
      </c>
      <c r="G7638" s="1">
        <v>37803</v>
      </c>
      <c r="H7638" s="1">
        <v>39421</v>
      </c>
      <c r="I7638" t="s">
        <v>12</v>
      </c>
      <c r="J7638" t="s">
        <v>18408</v>
      </c>
    </row>
    <row r="7639" spans="1:10" x14ac:dyDescent="0.25">
      <c r="A7639">
        <v>3004560</v>
      </c>
      <c r="B7639" t="s">
        <v>8048</v>
      </c>
      <c r="C7639" t="str">
        <f>"9780521814287"</f>
        <v>9780521814287</v>
      </c>
      <c r="D7639" t="str">
        <f>"9781139148153"</f>
        <v>9781139148153</v>
      </c>
      <c r="E7639" t="s">
        <v>18</v>
      </c>
      <c r="F7639" t="s">
        <v>18</v>
      </c>
      <c r="G7639" s="1">
        <v>37606</v>
      </c>
      <c r="H7639" s="1">
        <v>39931</v>
      </c>
      <c r="I7639" t="s">
        <v>12</v>
      </c>
      <c r="J7639" t="s">
        <v>18409</v>
      </c>
    </row>
    <row r="7640" spans="1:10" x14ac:dyDescent="0.25">
      <c r="A7640">
        <v>3004567</v>
      </c>
      <c r="B7640" t="s">
        <v>8049</v>
      </c>
      <c r="C7640" t="str">
        <f>"9780521860086"</f>
        <v>9780521860086</v>
      </c>
      <c r="D7640" t="str">
        <f>"9780511167881"</f>
        <v>9780511167881</v>
      </c>
      <c r="E7640" t="s">
        <v>18</v>
      </c>
      <c r="F7640" t="s">
        <v>18</v>
      </c>
      <c r="G7640" s="1">
        <v>38808</v>
      </c>
      <c r="H7640" s="1">
        <v>40494</v>
      </c>
      <c r="I7640" t="s">
        <v>12</v>
      </c>
      <c r="J7640" t="s">
        <v>18410</v>
      </c>
    </row>
    <row r="7641" spans="1:10" x14ac:dyDescent="0.25">
      <c r="A7641">
        <v>3007550</v>
      </c>
      <c r="B7641" t="s">
        <v>8050</v>
      </c>
      <c r="C7641" t="str">
        <f>"9781882197804"</f>
        <v>9781882197804</v>
      </c>
      <c r="D7641" t="str">
        <f>"9781932973228"</f>
        <v>9781932973228</v>
      </c>
      <c r="E7641" t="s">
        <v>6319</v>
      </c>
      <c r="F7641" t="s">
        <v>6319</v>
      </c>
      <c r="G7641" s="1">
        <v>39160</v>
      </c>
      <c r="H7641" s="1">
        <v>39343</v>
      </c>
      <c r="I7641" t="s">
        <v>12</v>
      </c>
      <c r="J7641" t="s">
        <v>18411</v>
      </c>
    </row>
    <row r="7642" spans="1:10" x14ac:dyDescent="0.25">
      <c r="A7642">
        <v>3007554</v>
      </c>
      <c r="B7642" t="s">
        <v>8051</v>
      </c>
      <c r="C7642" t="str">
        <f>"9781882197590"</f>
        <v>9781882197590</v>
      </c>
      <c r="D7642" t="str">
        <f>"9781932973068"</f>
        <v>9781932973068</v>
      </c>
      <c r="E7642" t="s">
        <v>6319</v>
      </c>
      <c r="F7642" t="s">
        <v>6319</v>
      </c>
      <c r="G7642" s="1">
        <v>39160</v>
      </c>
      <c r="H7642" s="1">
        <v>39343</v>
      </c>
      <c r="I7642" t="s">
        <v>12</v>
      </c>
      <c r="J7642" t="s">
        <v>18412</v>
      </c>
    </row>
    <row r="7643" spans="1:10" x14ac:dyDescent="0.25">
      <c r="A7643">
        <v>3007576</v>
      </c>
      <c r="B7643" t="s">
        <v>8052</v>
      </c>
      <c r="C7643" t="str">
        <f>"9781882197781"</f>
        <v>9781882197781</v>
      </c>
      <c r="D7643" t="str">
        <f>"9781932973211"</f>
        <v>9781932973211</v>
      </c>
      <c r="E7643" t="s">
        <v>6319</v>
      </c>
      <c r="F7643" t="s">
        <v>6319</v>
      </c>
      <c r="G7643" s="1">
        <v>39160</v>
      </c>
      <c r="H7643" s="1">
        <v>39343</v>
      </c>
      <c r="I7643" t="s">
        <v>12</v>
      </c>
      <c r="J7643" t="s">
        <v>18413</v>
      </c>
    </row>
    <row r="7644" spans="1:10" x14ac:dyDescent="0.25">
      <c r="A7644">
        <v>3007578</v>
      </c>
      <c r="B7644" t="s">
        <v>8053</v>
      </c>
      <c r="C7644" t="str">
        <f>"9781882197828"</f>
        <v>9781882197828</v>
      </c>
      <c r="D7644" t="str">
        <f>"9781932973242"</f>
        <v>9781932973242</v>
      </c>
      <c r="E7644" t="s">
        <v>6319</v>
      </c>
      <c r="F7644" t="s">
        <v>6319</v>
      </c>
      <c r="G7644" s="1">
        <v>39142</v>
      </c>
      <c r="H7644" s="1">
        <v>39343</v>
      </c>
      <c r="I7644" t="s">
        <v>12</v>
      </c>
      <c r="J7644" t="s">
        <v>18414</v>
      </c>
    </row>
    <row r="7645" spans="1:10" x14ac:dyDescent="0.25">
      <c r="A7645">
        <v>3007580</v>
      </c>
      <c r="B7645" t="s">
        <v>8054</v>
      </c>
      <c r="C7645" t="str">
        <f>"9781882197811"</f>
        <v>9781882197811</v>
      </c>
      <c r="D7645" t="str">
        <f>"9781932973235"</f>
        <v>9781932973235</v>
      </c>
      <c r="E7645" t="s">
        <v>6319</v>
      </c>
      <c r="F7645" t="s">
        <v>6319</v>
      </c>
      <c r="G7645" s="1">
        <v>39160</v>
      </c>
      <c r="H7645" s="1">
        <v>39343</v>
      </c>
      <c r="I7645" t="s">
        <v>12</v>
      </c>
      <c r="J7645" t="s">
        <v>18415</v>
      </c>
    </row>
    <row r="7646" spans="1:10" x14ac:dyDescent="0.25">
      <c r="A7646">
        <v>3007584</v>
      </c>
      <c r="B7646" t="s">
        <v>8055</v>
      </c>
      <c r="C7646" t="str">
        <f>"9781882197736"</f>
        <v>9781882197736</v>
      </c>
      <c r="D7646" t="str">
        <f>"9781932973181"</f>
        <v>9781932973181</v>
      </c>
      <c r="E7646" t="s">
        <v>6319</v>
      </c>
      <c r="F7646" t="s">
        <v>6319</v>
      </c>
      <c r="G7646" s="1">
        <v>39160</v>
      </c>
      <c r="H7646" s="1">
        <v>39343</v>
      </c>
      <c r="I7646" t="s">
        <v>12</v>
      </c>
      <c r="J7646" t="s">
        <v>18416</v>
      </c>
    </row>
    <row r="7647" spans="1:10" x14ac:dyDescent="0.25">
      <c r="A7647">
        <v>3007589</v>
      </c>
      <c r="B7647" t="s">
        <v>8056</v>
      </c>
      <c r="C7647" t="str">
        <f>"9781882197774"</f>
        <v>9781882197774</v>
      </c>
      <c r="D7647" t="str">
        <f>"9781932973204"</f>
        <v>9781932973204</v>
      </c>
      <c r="E7647" t="s">
        <v>6319</v>
      </c>
      <c r="F7647" t="s">
        <v>6319</v>
      </c>
      <c r="G7647" s="1">
        <v>39160</v>
      </c>
      <c r="H7647" s="1">
        <v>39343</v>
      </c>
      <c r="I7647" t="s">
        <v>12</v>
      </c>
      <c r="J7647" t="s">
        <v>18417</v>
      </c>
    </row>
    <row r="7648" spans="1:10" x14ac:dyDescent="0.25">
      <c r="A7648">
        <v>3007591</v>
      </c>
      <c r="B7648" t="s">
        <v>8057</v>
      </c>
      <c r="C7648" t="str">
        <f>"9781882197682"</f>
        <v>9781882197682</v>
      </c>
      <c r="D7648" t="str">
        <f>"9781932973143"</f>
        <v>9781932973143</v>
      </c>
      <c r="E7648" t="s">
        <v>6319</v>
      </c>
      <c r="F7648" t="s">
        <v>6319</v>
      </c>
      <c r="G7648" s="1">
        <v>39160</v>
      </c>
      <c r="H7648" s="1">
        <v>39343</v>
      </c>
      <c r="I7648" t="s">
        <v>12</v>
      </c>
      <c r="J7648" t="s">
        <v>18418</v>
      </c>
    </row>
    <row r="7649" spans="1:10" x14ac:dyDescent="0.25">
      <c r="A7649">
        <v>3007616</v>
      </c>
      <c r="B7649" t="s">
        <v>8058</v>
      </c>
      <c r="C7649" t="str">
        <f>"9781882197705"</f>
        <v>9781882197705</v>
      </c>
      <c r="D7649" t="str">
        <f>"9781932973167"</f>
        <v>9781932973167</v>
      </c>
      <c r="E7649" t="s">
        <v>6319</v>
      </c>
      <c r="F7649" t="s">
        <v>6319</v>
      </c>
      <c r="G7649" s="1">
        <v>39160</v>
      </c>
      <c r="H7649" s="1">
        <v>39343</v>
      </c>
      <c r="I7649" t="s">
        <v>12</v>
      </c>
      <c r="J7649" t="s">
        <v>18419</v>
      </c>
    </row>
    <row r="7650" spans="1:10" x14ac:dyDescent="0.25">
      <c r="A7650">
        <v>3007618</v>
      </c>
      <c r="B7650" t="s">
        <v>8059</v>
      </c>
      <c r="C7650" t="str">
        <f>"9781882197743"</f>
        <v>9781882197743</v>
      </c>
      <c r="D7650" t="str">
        <f>"9781932973198"</f>
        <v>9781932973198</v>
      </c>
      <c r="E7650" t="s">
        <v>6319</v>
      </c>
      <c r="F7650" t="s">
        <v>6319</v>
      </c>
      <c r="G7650" s="1">
        <v>37875</v>
      </c>
      <c r="H7650" s="1">
        <v>39343</v>
      </c>
      <c r="I7650" t="s">
        <v>12</v>
      </c>
      <c r="J7650" t="s">
        <v>18420</v>
      </c>
    </row>
    <row r="7651" spans="1:10" x14ac:dyDescent="0.25">
      <c r="A7651">
        <v>3007620</v>
      </c>
      <c r="B7651" t="s">
        <v>8060</v>
      </c>
      <c r="C7651" t="str">
        <f>"9781882197972"</f>
        <v>9781882197972</v>
      </c>
      <c r="D7651" t="str">
        <f>"9781932973860"</f>
        <v>9781932973860</v>
      </c>
      <c r="E7651" t="s">
        <v>6319</v>
      </c>
      <c r="F7651" t="s">
        <v>6319</v>
      </c>
      <c r="G7651" s="1">
        <v>39374</v>
      </c>
      <c r="H7651" s="1">
        <v>39421</v>
      </c>
      <c r="I7651" t="s">
        <v>12</v>
      </c>
      <c r="J7651" t="s">
        <v>18421</v>
      </c>
    </row>
    <row r="7652" spans="1:10" x14ac:dyDescent="0.25">
      <c r="A7652">
        <v>3007629</v>
      </c>
      <c r="B7652" t="s">
        <v>8061</v>
      </c>
      <c r="C7652" t="str">
        <f>"9781604910032"</f>
        <v>9781604910032</v>
      </c>
      <c r="D7652" t="str">
        <f>"9781604910049"</f>
        <v>9781604910049</v>
      </c>
      <c r="E7652" t="s">
        <v>6319</v>
      </c>
      <c r="F7652" t="s">
        <v>6319</v>
      </c>
      <c r="G7652" s="1">
        <v>39486</v>
      </c>
      <c r="H7652" s="1">
        <v>39485</v>
      </c>
      <c r="I7652" t="s">
        <v>12</v>
      </c>
      <c r="J7652" t="s">
        <v>18422</v>
      </c>
    </row>
    <row r="7653" spans="1:10" x14ac:dyDescent="0.25">
      <c r="A7653">
        <v>3007630</v>
      </c>
      <c r="B7653" t="s">
        <v>8062</v>
      </c>
      <c r="C7653" t="str">
        <f>"9781604910216"</f>
        <v>9781604910216</v>
      </c>
      <c r="D7653" t="str">
        <f>"9781604910223"</f>
        <v>9781604910223</v>
      </c>
      <c r="E7653" t="s">
        <v>6319</v>
      </c>
      <c r="F7653" t="s">
        <v>6319</v>
      </c>
      <c r="G7653" s="1">
        <v>39570</v>
      </c>
      <c r="H7653" s="1">
        <v>39602</v>
      </c>
      <c r="I7653" t="s">
        <v>12</v>
      </c>
      <c r="J7653" t="s">
        <v>18423</v>
      </c>
    </row>
    <row r="7654" spans="1:10" x14ac:dyDescent="0.25">
      <c r="A7654">
        <v>3007636</v>
      </c>
      <c r="B7654" t="s">
        <v>8063</v>
      </c>
      <c r="C7654" t="str">
        <f>"9781604910612"</f>
        <v>9781604910612</v>
      </c>
      <c r="D7654" t="str">
        <f>"9781604910629"</f>
        <v>9781604910629</v>
      </c>
      <c r="E7654" t="s">
        <v>6319</v>
      </c>
      <c r="F7654" t="s">
        <v>6319</v>
      </c>
      <c r="G7654" s="1">
        <v>39939</v>
      </c>
      <c r="H7654" s="1">
        <v>39865</v>
      </c>
      <c r="I7654" t="s">
        <v>12</v>
      </c>
      <c r="J7654" t="s">
        <v>18424</v>
      </c>
    </row>
    <row r="7655" spans="1:10" x14ac:dyDescent="0.25">
      <c r="A7655">
        <v>3007697</v>
      </c>
      <c r="B7655" t="s">
        <v>8064</v>
      </c>
      <c r="C7655" t="str">
        <f>"9781853595523"</f>
        <v>9781853595523</v>
      </c>
      <c r="D7655" t="str">
        <f>"9781853595530"</f>
        <v>9781853595530</v>
      </c>
      <c r="E7655" t="s">
        <v>886</v>
      </c>
      <c r="F7655" t="s">
        <v>887</v>
      </c>
      <c r="G7655" s="1">
        <v>37181</v>
      </c>
      <c r="H7655" s="1">
        <v>37622</v>
      </c>
      <c r="I7655" t="s">
        <v>12</v>
      </c>
      <c r="J7655" t="s">
        <v>18425</v>
      </c>
    </row>
    <row r="7656" spans="1:10" x14ac:dyDescent="0.25">
      <c r="A7656">
        <v>3007700</v>
      </c>
      <c r="B7656" t="s">
        <v>8065</v>
      </c>
      <c r="C7656" t="str">
        <f>"9781853595226"</f>
        <v>9781853595226</v>
      </c>
      <c r="D7656" t="str">
        <f>"9781853597046"</f>
        <v>9781853597046</v>
      </c>
      <c r="E7656" t="s">
        <v>886</v>
      </c>
      <c r="F7656" t="s">
        <v>887</v>
      </c>
      <c r="G7656" s="1">
        <v>36934</v>
      </c>
      <c r="H7656" s="1">
        <v>37622</v>
      </c>
      <c r="I7656" t="s">
        <v>12</v>
      </c>
      <c r="J7656" t="s">
        <v>18426</v>
      </c>
    </row>
    <row r="7657" spans="1:10" x14ac:dyDescent="0.25">
      <c r="A7657">
        <v>3007720</v>
      </c>
      <c r="B7657" t="s">
        <v>8066</v>
      </c>
      <c r="C7657" t="str">
        <f>"9781853596391"</f>
        <v>9781853596391</v>
      </c>
      <c r="D7657" t="str">
        <f>"9781853596407"</f>
        <v>9781853596407</v>
      </c>
      <c r="E7657" t="s">
        <v>886</v>
      </c>
      <c r="F7657" t="s">
        <v>887</v>
      </c>
      <c r="G7657" s="1">
        <v>37762</v>
      </c>
      <c r="H7657" s="1">
        <v>38072</v>
      </c>
      <c r="I7657" t="s">
        <v>12</v>
      </c>
      <c r="J7657" t="s">
        <v>18427</v>
      </c>
    </row>
    <row r="7658" spans="1:10" x14ac:dyDescent="0.25">
      <c r="A7658">
        <v>3007723</v>
      </c>
      <c r="B7658" t="s">
        <v>8067</v>
      </c>
      <c r="C7658" t="str">
        <f>"9781853596506"</f>
        <v>9781853596506</v>
      </c>
      <c r="D7658" t="str">
        <f>"9781853597527"</f>
        <v>9781853597527</v>
      </c>
      <c r="E7658" t="s">
        <v>886</v>
      </c>
      <c r="F7658" t="s">
        <v>887</v>
      </c>
      <c r="G7658" s="1">
        <v>37974</v>
      </c>
      <c r="H7658" s="1">
        <v>38072</v>
      </c>
      <c r="I7658" t="s">
        <v>12</v>
      </c>
      <c r="J7658" t="s">
        <v>18428</v>
      </c>
    </row>
    <row r="7659" spans="1:10" x14ac:dyDescent="0.25">
      <c r="A7659">
        <v>3007726</v>
      </c>
      <c r="B7659" t="s">
        <v>8068</v>
      </c>
      <c r="C7659" t="str">
        <f>"9781853597558"</f>
        <v>9781853597558</v>
      </c>
      <c r="D7659" t="str">
        <f>"9781853597565"</f>
        <v>9781853597565</v>
      </c>
      <c r="E7659" t="s">
        <v>886</v>
      </c>
      <c r="F7659" t="s">
        <v>887</v>
      </c>
      <c r="G7659" s="1">
        <v>38282</v>
      </c>
      <c r="H7659" s="1">
        <v>38702</v>
      </c>
      <c r="I7659" t="s">
        <v>12</v>
      </c>
      <c r="J7659" t="s">
        <v>18429</v>
      </c>
    </row>
    <row r="7660" spans="1:10" x14ac:dyDescent="0.25">
      <c r="A7660">
        <v>3007727</v>
      </c>
      <c r="B7660" t="s">
        <v>8069</v>
      </c>
      <c r="C7660" t="str">
        <f>"9781853594915"</f>
        <v>9781853594915</v>
      </c>
      <c r="D7660" t="str">
        <f>"9781853597107"</f>
        <v>9781853597107</v>
      </c>
      <c r="E7660" t="s">
        <v>886</v>
      </c>
      <c r="F7660" t="s">
        <v>887</v>
      </c>
      <c r="G7660" s="1">
        <v>36854</v>
      </c>
      <c r="H7660" s="1">
        <v>39224</v>
      </c>
      <c r="I7660" t="s">
        <v>12</v>
      </c>
      <c r="J7660" t="s">
        <v>18430</v>
      </c>
    </row>
    <row r="7661" spans="1:10" x14ac:dyDescent="0.25">
      <c r="A7661">
        <v>3008282</v>
      </c>
      <c r="B7661" t="s">
        <v>8070</v>
      </c>
      <c r="C7661" t="str">
        <f>"9789042033948"</f>
        <v>9789042033948</v>
      </c>
      <c r="D7661" t="str">
        <f>"9789401206815"</f>
        <v>9789401206815</v>
      </c>
      <c r="E7661" t="s">
        <v>1447</v>
      </c>
      <c r="F7661" t="s">
        <v>6409</v>
      </c>
      <c r="G7661" s="1">
        <v>40544</v>
      </c>
      <c r="H7661" s="1">
        <v>40815</v>
      </c>
      <c r="I7661" t="s">
        <v>12</v>
      </c>
      <c r="J7661" t="s">
        <v>18431</v>
      </c>
    </row>
    <row r="7662" spans="1:10" x14ac:dyDescent="0.25">
      <c r="A7662">
        <v>3008288</v>
      </c>
      <c r="B7662" t="s">
        <v>8071</v>
      </c>
      <c r="C7662" t="str">
        <f>"9789042033726"</f>
        <v>9789042033726</v>
      </c>
      <c r="D7662" t="str">
        <f>"9789401200714"</f>
        <v>9789401200714</v>
      </c>
      <c r="E7662" t="s">
        <v>1447</v>
      </c>
      <c r="F7662" t="s">
        <v>6409</v>
      </c>
      <c r="G7662" s="1">
        <v>40544</v>
      </c>
      <c r="H7662" s="1">
        <v>40815</v>
      </c>
      <c r="I7662" t="s">
        <v>12</v>
      </c>
      <c r="J7662" t="s">
        <v>18432</v>
      </c>
    </row>
    <row r="7663" spans="1:10" x14ac:dyDescent="0.25">
      <c r="A7663">
        <v>3008439</v>
      </c>
      <c r="B7663" t="s">
        <v>8072</v>
      </c>
      <c r="C7663" t="str">
        <f>""</f>
        <v/>
      </c>
      <c r="D7663" t="str">
        <f>"9781843270089"</f>
        <v>9781843270089</v>
      </c>
      <c r="E7663" t="s">
        <v>8073</v>
      </c>
      <c r="F7663" t="s">
        <v>8074</v>
      </c>
      <c r="G7663" s="1">
        <v>36861</v>
      </c>
      <c r="H7663" s="1">
        <v>37622</v>
      </c>
      <c r="I7663" t="s">
        <v>12</v>
      </c>
      <c r="J7663" t="s">
        <v>18433</v>
      </c>
    </row>
    <row r="7664" spans="1:10" x14ac:dyDescent="0.25">
      <c r="A7664">
        <v>3008500</v>
      </c>
      <c r="B7664" t="s">
        <v>8075</v>
      </c>
      <c r="C7664" t="str">
        <f>""</f>
        <v/>
      </c>
      <c r="D7664" t="str">
        <f>"9781843271123"</f>
        <v>9781843271123</v>
      </c>
      <c r="E7664" t="s">
        <v>8073</v>
      </c>
      <c r="F7664" t="s">
        <v>8074</v>
      </c>
      <c r="G7664" s="1">
        <v>36861</v>
      </c>
      <c r="H7664" s="1">
        <v>37622</v>
      </c>
      <c r="I7664" t="s">
        <v>12</v>
      </c>
      <c r="J7664" t="s">
        <v>18434</v>
      </c>
    </row>
    <row r="7665" spans="1:10" x14ac:dyDescent="0.25">
      <c r="A7665">
        <v>3009170</v>
      </c>
      <c r="B7665" t="s">
        <v>8076</v>
      </c>
      <c r="C7665" t="str">
        <f>"9780762314034"</f>
        <v>9780762314034</v>
      </c>
      <c r="D7665" t="str">
        <f>"9780080550008"</f>
        <v>9780080550008</v>
      </c>
      <c r="E7665" t="s">
        <v>1116</v>
      </c>
      <c r="F7665" t="s">
        <v>2163</v>
      </c>
      <c r="G7665" s="1">
        <v>39326</v>
      </c>
      <c r="H7665" s="1">
        <v>39357</v>
      </c>
      <c r="I7665" t="s">
        <v>12</v>
      </c>
      <c r="J7665" t="s">
        <v>18435</v>
      </c>
    </row>
    <row r="7666" spans="1:10" x14ac:dyDescent="0.25">
      <c r="A7666">
        <v>3009570</v>
      </c>
      <c r="B7666" t="s">
        <v>8077</v>
      </c>
      <c r="C7666" t="str">
        <f>"9780803614802"</f>
        <v>9780803614802</v>
      </c>
      <c r="D7666" t="str">
        <f>"9780803616288"</f>
        <v>9780803616288</v>
      </c>
      <c r="E7666" t="s">
        <v>1445</v>
      </c>
      <c r="F7666" t="s">
        <v>8078</v>
      </c>
      <c r="G7666" s="1">
        <v>38777</v>
      </c>
      <c r="H7666" s="1">
        <v>38929</v>
      </c>
      <c r="I7666" t="s">
        <v>12</v>
      </c>
      <c r="J7666" t="s">
        <v>18436</v>
      </c>
    </row>
    <row r="7667" spans="1:10" x14ac:dyDescent="0.25">
      <c r="A7667">
        <v>3009577</v>
      </c>
      <c r="B7667" t="s">
        <v>8079</v>
      </c>
      <c r="C7667" t="str">
        <f>"9780803615465"</f>
        <v>9780803615465</v>
      </c>
      <c r="D7667" t="str">
        <f>"9780803620094"</f>
        <v>9780803620094</v>
      </c>
      <c r="E7667" t="s">
        <v>1445</v>
      </c>
      <c r="F7667" t="s">
        <v>8078</v>
      </c>
      <c r="G7667" s="1">
        <v>38961</v>
      </c>
      <c r="H7667" s="1">
        <v>39121</v>
      </c>
      <c r="I7667" t="s">
        <v>12</v>
      </c>
      <c r="J7667" t="s">
        <v>18437</v>
      </c>
    </row>
    <row r="7668" spans="1:10" x14ac:dyDescent="0.25">
      <c r="A7668">
        <v>3009604</v>
      </c>
      <c r="B7668" t="s">
        <v>8080</v>
      </c>
      <c r="C7668" t="str">
        <f>"9780803611283"</f>
        <v>9780803611283</v>
      </c>
      <c r="D7668" t="str">
        <f>"9780803620285"</f>
        <v>9780803620285</v>
      </c>
      <c r="E7668" t="s">
        <v>1445</v>
      </c>
      <c r="F7668" t="s">
        <v>8078</v>
      </c>
      <c r="G7668" s="1">
        <v>38687</v>
      </c>
      <c r="H7668" s="1">
        <v>39142</v>
      </c>
      <c r="I7668" t="s">
        <v>12</v>
      </c>
      <c r="J7668" t="s">
        <v>18438</v>
      </c>
    </row>
    <row r="7669" spans="1:10" x14ac:dyDescent="0.25">
      <c r="A7669">
        <v>3009703</v>
      </c>
      <c r="B7669" t="s">
        <v>8081</v>
      </c>
      <c r="C7669" t="str">
        <f>"9780816057481"</f>
        <v>9780816057481</v>
      </c>
      <c r="D7669" t="str">
        <f>"9781604130607"</f>
        <v>9781604130607</v>
      </c>
      <c r="E7669" t="s">
        <v>3008</v>
      </c>
      <c r="F7669" t="s">
        <v>2999</v>
      </c>
      <c r="G7669" s="1">
        <v>39052</v>
      </c>
      <c r="H7669" s="1">
        <v>39319</v>
      </c>
      <c r="I7669" t="s">
        <v>12</v>
      </c>
      <c r="J7669" t="s">
        <v>18439</v>
      </c>
    </row>
    <row r="7670" spans="1:10" x14ac:dyDescent="0.25">
      <c r="A7670">
        <v>3009705</v>
      </c>
      <c r="B7670" t="s">
        <v>8082</v>
      </c>
      <c r="C7670" t="str">
        <f>"9780816057498"</f>
        <v>9780816057498</v>
      </c>
      <c r="D7670" t="str">
        <f>"9781604130591"</f>
        <v>9781604130591</v>
      </c>
      <c r="E7670" t="s">
        <v>3008</v>
      </c>
      <c r="F7670" t="s">
        <v>8083</v>
      </c>
      <c r="G7670" s="1">
        <v>39234</v>
      </c>
      <c r="H7670" s="1">
        <v>39319</v>
      </c>
      <c r="I7670" t="s">
        <v>12</v>
      </c>
      <c r="J7670" t="s">
        <v>18440</v>
      </c>
    </row>
    <row r="7671" spans="1:10" x14ac:dyDescent="0.25">
      <c r="A7671">
        <v>3009707</v>
      </c>
      <c r="B7671" t="s">
        <v>8084</v>
      </c>
      <c r="C7671" t="str">
        <f>"9780816057450"</f>
        <v>9780816057450</v>
      </c>
      <c r="D7671" t="str">
        <f>"9781604130652"</f>
        <v>9781604130652</v>
      </c>
      <c r="E7671" t="s">
        <v>3008</v>
      </c>
      <c r="F7671" t="s">
        <v>8083</v>
      </c>
      <c r="G7671" s="1">
        <v>38930</v>
      </c>
      <c r="H7671" s="1">
        <v>39319</v>
      </c>
      <c r="I7671" t="s">
        <v>12</v>
      </c>
      <c r="J7671" t="s">
        <v>18441</v>
      </c>
    </row>
    <row r="7672" spans="1:10" x14ac:dyDescent="0.25">
      <c r="A7672">
        <v>3009718</v>
      </c>
      <c r="B7672" t="s">
        <v>8085</v>
      </c>
      <c r="C7672" t="str">
        <f>"9780791095959"</f>
        <v>9780791095959</v>
      </c>
      <c r="D7672" t="str">
        <f>"9781438112565"</f>
        <v>9781438112565</v>
      </c>
      <c r="E7672" t="s">
        <v>8086</v>
      </c>
      <c r="F7672" t="s">
        <v>2999</v>
      </c>
      <c r="G7672" s="1">
        <v>39569</v>
      </c>
      <c r="H7672" s="1">
        <v>39900</v>
      </c>
      <c r="I7672" t="s">
        <v>12</v>
      </c>
      <c r="J7672" t="s">
        <v>18442</v>
      </c>
    </row>
    <row r="7673" spans="1:10" x14ac:dyDescent="0.25">
      <c r="A7673">
        <v>3009766</v>
      </c>
      <c r="B7673" t="s">
        <v>8087</v>
      </c>
      <c r="C7673" t="str">
        <f>"9780816073528"</f>
        <v>9780816073528</v>
      </c>
      <c r="D7673" t="str">
        <f>"9781438120645"</f>
        <v>9781438120645</v>
      </c>
      <c r="E7673" t="s">
        <v>8086</v>
      </c>
      <c r="F7673" t="s">
        <v>2999</v>
      </c>
      <c r="G7673" s="1">
        <v>39814</v>
      </c>
      <c r="H7673" s="1">
        <v>39900</v>
      </c>
      <c r="I7673" t="s">
        <v>12</v>
      </c>
      <c r="J7673" t="s">
        <v>18443</v>
      </c>
    </row>
    <row r="7674" spans="1:10" x14ac:dyDescent="0.25">
      <c r="A7674">
        <v>3009901</v>
      </c>
      <c r="B7674" t="s">
        <v>8088</v>
      </c>
      <c r="C7674" t="str">
        <f>"9780791092712"</f>
        <v>9780791092712</v>
      </c>
      <c r="D7674" t="str">
        <f>"9781438100326"</f>
        <v>9781438100326</v>
      </c>
      <c r="E7674" t="s">
        <v>8086</v>
      </c>
      <c r="F7674" t="s">
        <v>2999</v>
      </c>
      <c r="G7674" s="1">
        <v>39114</v>
      </c>
      <c r="H7674" s="1">
        <v>39900</v>
      </c>
      <c r="I7674" t="s">
        <v>12</v>
      </c>
      <c r="J7674" t="s">
        <v>18444</v>
      </c>
    </row>
    <row r="7675" spans="1:10" x14ac:dyDescent="0.25">
      <c r="A7675">
        <v>3009915</v>
      </c>
      <c r="B7675" t="s">
        <v>8089</v>
      </c>
      <c r="C7675" t="str">
        <f>"9780791097052"</f>
        <v>9780791097052</v>
      </c>
      <c r="D7675" t="str">
        <f>"9781438107097"</f>
        <v>9781438107097</v>
      </c>
      <c r="E7675" t="s">
        <v>8086</v>
      </c>
      <c r="F7675" t="s">
        <v>2999</v>
      </c>
      <c r="G7675" s="1">
        <v>39722</v>
      </c>
      <c r="H7675" s="1">
        <v>39900</v>
      </c>
      <c r="I7675" t="s">
        <v>12</v>
      </c>
      <c r="J7675" t="s">
        <v>18445</v>
      </c>
    </row>
    <row r="7676" spans="1:10" x14ac:dyDescent="0.25">
      <c r="A7676">
        <v>3009973</v>
      </c>
      <c r="B7676" t="s">
        <v>8090</v>
      </c>
      <c r="C7676" t="str">
        <f>"9780791096284"</f>
        <v>9780791096284</v>
      </c>
      <c r="D7676" t="str">
        <f>"9781438113906"</f>
        <v>9781438113906</v>
      </c>
      <c r="E7676" t="s">
        <v>3008</v>
      </c>
      <c r="F7676" t="s">
        <v>8091</v>
      </c>
      <c r="G7676" s="1">
        <v>36526</v>
      </c>
      <c r="H7676" s="1">
        <v>39900</v>
      </c>
      <c r="I7676" t="s">
        <v>12</v>
      </c>
      <c r="J7676" t="s">
        <v>18446</v>
      </c>
    </row>
    <row r="7677" spans="1:10" x14ac:dyDescent="0.25">
      <c r="A7677">
        <v>3009991</v>
      </c>
      <c r="B7677" t="s">
        <v>8092</v>
      </c>
      <c r="C7677" t="str">
        <f>"9781604130683"</f>
        <v>9781604130683</v>
      </c>
      <c r="D7677" t="str">
        <f>"9781438119397"</f>
        <v>9781438119397</v>
      </c>
      <c r="E7677" t="s">
        <v>8086</v>
      </c>
      <c r="F7677" t="s">
        <v>2999</v>
      </c>
      <c r="G7677" s="1">
        <v>39873</v>
      </c>
      <c r="H7677" s="1">
        <v>39900</v>
      </c>
      <c r="I7677" t="s">
        <v>12</v>
      </c>
      <c r="J7677" t="s">
        <v>18447</v>
      </c>
    </row>
    <row r="7678" spans="1:10" x14ac:dyDescent="0.25">
      <c r="A7678">
        <v>3010000</v>
      </c>
      <c r="B7678" t="s">
        <v>8093</v>
      </c>
      <c r="C7678" t="str">
        <f>"9780791097441"</f>
        <v>9780791097441</v>
      </c>
      <c r="D7678" t="str">
        <f>"9781438117928"</f>
        <v>9781438117928</v>
      </c>
      <c r="E7678" t="s">
        <v>8086</v>
      </c>
      <c r="F7678" t="s">
        <v>2999</v>
      </c>
      <c r="G7678" s="1">
        <v>39722</v>
      </c>
      <c r="H7678" s="1">
        <v>39900</v>
      </c>
      <c r="I7678" t="s">
        <v>12</v>
      </c>
      <c r="J7678" t="s">
        <v>18448</v>
      </c>
    </row>
    <row r="7679" spans="1:10" x14ac:dyDescent="0.25">
      <c r="A7679">
        <v>3010021</v>
      </c>
      <c r="B7679" t="s">
        <v>8094</v>
      </c>
      <c r="C7679" t="str">
        <f>"9780791090060"</f>
        <v>9780791090060</v>
      </c>
      <c r="D7679" t="str">
        <f>"9781438118413"</f>
        <v>9781438118413</v>
      </c>
      <c r="E7679" t="s">
        <v>8086</v>
      </c>
      <c r="F7679" t="s">
        <v>2999</v>
      </c>
      <c r="G7679" s="1">
        <v>39083</v>
      </c>
      <c r="H7679" s="1">
        <v>39900</v>
      </c>
      <c r="I7679" t="s">
        <v>12</v>
      </c>
      <c r="J7679" t="s">
        <v>18449</v>
      </c>
    </row>
    <row r="7680" spans="1:10" x14ac:dyDescent="0.25">
      <c r="A7680">
        <v>3010039</v>
      </c>
      <c r="B7680" t="s">
        <v>8095</v>
      </c>
      <c r="C7680" t="str">
        <f>"9780816063826"</f>
        <v>9780816063826</v>
      </c>
      <c r="D7680" t="str">
        <f>"9781438110035"</f>
        <v>9781438110035</v>
      </c>
      <c r="E7680" t="s">
        <v>8086</v>
      </c>
      <c r="F7680" t="s">
        <v>2999</v>
      </c>
      <c r="G7680" s="1">
        <v>39753</v>
      </c>
      <c r="H7680" s="1">
        <v>39900</v>
      </c>
      <c r="I7680" t="s">
        <v>12</v>
      </c>
      <c r="J7680" t="s">
        <v>18450</v>
      </c>
    </row>
    <row r="7681" spans="1:10" x14ac:dyDescent="0.25">
      <c r="A7681">
        <v>3010074</v>
      </c>
      <c r="B7681" t="s">
        <v>8096</v>
      </c>
      <c r="C7681" t="str">
        <f>"9780791098035"</f>
        <v>9780791098035</v>
      </c>
      <c r="D7681" t="str">
        <f>"9781438119199"</f>
        <v>9781438119199</v>
      </c>
      <c r="E7681" t="s">
        <v>8086</v>
      </c>
      <c r="F7681" t="s">
        <v>2999</v>
      </c>
      <c r="G7681" s="1">
        <v>39814</v>
      </c>
      <c r="H7681" s="1">
        <v>39900</v>
      </c>
      <c r="I7681" t="s">
        <v>12</v>
      </c>
      <c r="J7681" t="s">
        <v>18451</v>
      </c>
    </row>
    <row r="7682" spans="1:10" x14ac:dyDescent="0.25">
      <c r="A7682">
        <v>3010097</v>
      </c>
      <c r="B7682" t="s">
        <v>8097</v>
      </c>
      <c r="C7682" t="str">
        <f>"9780791097946"</f>
        <v>9780791097946</v>
      </c>
      <c r="D7682" t="str">
        <f>"9781438117898"</f>
        <v>9781438117898</v>
      </c>
      <c r="E7682" t="s">
        <v>8086</v>
      </c>
      <c r="F7682" t="s">
        <v>2999</v>
      </c>
      <c r="G7682" s="1">
        <v>39753</v>
      </c>
      <c r="H7682" s="1">
        <v>39900</v>
      </c>
      <c r="I7682" t="s">
        <v>12</v>
      </c>
      <c r="J7682" t="s">
        <v>18452</v>
      </c>
    </row>
    <row r="7683" spans="1:10" x14ac:dyDescent="0.25">
      <c r="A7683">
        <v>3010196</v>
      </c>
      <c r="B7683" t="s">
        <v>8098</v>
      </c>
      <c r="C7683" t="str">
        <f>"9780791095706"</f>
        <v>9780791095706</v>
      </c>
      <c r="D7683" t="str">
        <f>"9781438100425"</f>
        <v>9781438100425</v>
      </c>
      <c r="E7683" t="s">
        <v>3008</v>
      </c>
      <c r="F7683" t="s">
        <v>8091</v>
      </c>
      <c r="G7683" s="1">
        <v>39448</v>
      </c>
      <c r="H7683" s="1">
        <v>39935</v>
      </c>
      <c r="I7683" t="s">
        <v>12</v>
      </c>
      <c r="J7683" t="s">
        <v>18453</v>
      </c>
    </row>
    <row r="7684" spans="1:10" x14ac:dyDescent="0.25">
      <c r="A7684">
        <v>3010200</v>
      </c>
      <c r="B7684" t="s">
        <v>8099</v>
      </c>
      <c r="C7684" t="str">
        <f>"9780816064557"</f>
        <v>9780816064557</v>
      </c>
      <c r="D7684" t="str">
        <f>"9781438125558"</f>
        <v>9781438125558</v>
      </c>
      <c r="E7684" t="s">
        <v>8086</v>
      </c>
      <c r="F7684" t="s">
        <v>8091</v>
      </c>
      <c r="G7684" s="1">
        <v>36526</v>
      </c>
      <c r="H7684" s="1">
        <v>39935</v>
      </c>
      <c r="I7684" t="s">
        <v>12</v>
      </c>
      <c r="J7684" t="s">
        <v>18454</v>
      </c>
    </row>
    <row r="7685" spans="1:10" x14ac:dyDescent="0.25">
      <c r="A7685">
        <v>3010238</v>
      </c>
      <c r="B7685" t="s">
        <v>8100</v>
      </c>
      <c r="C7685" t="str">
        <f>"9780791095461"</f>
        <v>9780791095461</v>
      </c>
      <c r="D7685" t="str">
        <f>"9781438100531"</f>
        <v>9781438100531</v>
      </c>
      <c r="E7685" t="s">
        <v>3008</v>
      </c>
      <c r="F7685" t="s">
        <v>8091</v>
      </c>
      <c r="G7685" s="1">
        <v>39448</v>
      </c>
      <c r="H7685" s="1">
        <v>39935</v>
      </c>
      <c r="I7685" t="s">
        <v>12</v>
      </c>
      <c r="J7685" t="s">
        <v>18455</v>
      </c>
    </row>
    <row r="7686" spans="1:10" x14ac:dyDescent="0.25">
      <c r="A7686">
        <v>3010243</v>
      </c>
      <c r="B7686" t="s">
        <v>8101</v>
      </c>
      <c r="C7686" t="str">
        <f>"9781604133677"</f>
        <v>9781604133677</v>
      </c>
      <c r="D7686" t="str">
        <f>"9781438120287"</f>
        <v>9781438120287</v>
      </c>
      <c r="E7686" t="s">
        <v>3008</v>
      </c>
      <c r="F7686" t="s">
        <v>8091</v>
      </c>
      <c r="G7686" s="1">
        <v>39845</v>
      </c>
      <c r="H7686" s="1">
        <v>39935</v>
      </c>
      <c r="I7686" t="s">
        <v>12</v>
      </c>
      <c r="J7686" t="s">
        <v>18456</v>
      </c>
    </row>
    <row r="7687" spans="1:10" x14ac:dyDescent="0.25">
      <c r="A7687">
        <v>3010267</v>
      </c>
      <c r="B7687" t="s">
        <v>8102</v>
      </c>
      <c r="C7687" t="str">
        <f>"9780791095997"</f>
        <v>9780791095997</v>
      </c>
      <c r="D7687" t="str">
        <f>"9781438100524"</f>
        <v>9781438100524</v>
      </c>
      <c r="E7687" t="s">
        <v>3008</v>
      </c>
      <c r="F7687" t="s">
        <v>8091</v>
      </c>
      <c r="G7687" s="1">
        <v>39479</v>
      </c>
      <c r="H7687" s="1">
        <v>39935</v>
      </c>
      <c r="I7687" t="s">
        <v>12</v>
      </c>
      <c r="J7687" t="s">
        <v>18457</v>
      </c>
    </row>
    <row r="7688" spans="1:10" x14ac:dyDescent="0.25">
      <c r="A7688">
        <v>3010313</v>
      </c>
      <c r="B7688" t="s">
        <v>8103</v>
      </c>
      <c r="C7688" t="str">
        <f>"9780816066797"</f>
        <v>9780816066797</v>
      </c>
      <c r="D7688" t="str">
        <f>"9781438117409"</f>
        <v>9781438117409</v>
      </c>
      <c r="E7688" t="s">
        <v>8086</v>
      </c>
      <c r="F7688" t="s">
        <v>8091</v>
      </c>
      <c r="G7688" s="1">
        <v>39904</v>
      </c>
      <c r="H7688" s="1">
        <v>39977</v>
      </c>
      <c r="I7688" t="s">
        <v>12</v>
      </c>
      <c r="J7688" t="s">
        <v>18458</v>
      </c>
    </row>
    <row r="7689" spans="1:10" x14ac:dyDescent="0.25">
      <c r="A7689">
        <v>3010334</v>
      </c>
      <c r="B7689" t="s">
        <v>8104</v>
      </c>
      <c r="C7689" t="str">
        <f>"9780816063031"</f>
        <v>9780816063031</v>
      </c>
      <c r="D7689" t="str">
        <f>"9781438125589"</f>
        <v>9781438125589</v>
      </c>
      <c r="E7689" t="s">
        <v>8086</v>
      </c>
      <c r="F7689" t="s">
        <v>2999</v>
      </c>
      <c r="G7689" s="1">
        <v>38749</v>
      </c>
      <c r="H7689" s="1">
        <v>39977</v>
      </c>
      <c r="I7689" t="s">
        <v>12</v>
      </c>
      <c r="J7689" t="s">
        <v>18459</v>
      </c>
    </row>
    <row r="7690" spans="1:10" x14ac:dyDescent="0.25">
      <c r="A7690">
        <v>3010355</v>
      </c>
      <c r="B7690" t="s">
        <v>8105</v>
      </c>
      <c r="C7690" t="str">
        <f>"9780816063796"</f>
        <v>9780816063796</v>
      </c>
      <c r="D7690" t="str">
        <f>"9781438121154"</f>
        <v>9781438121154</v>
      </c>
      <c r="E7690" t="s">
        <v>8086</v>
      </c>
      <c r="F7690" t="s">
        <v>8091</v>
      </c>
      <c r="G7690" s="1">
        <v>36526</v>
      </c>
      <c r="H7690" s="1">
        <v>39977</v>
      </c>
      <c r="I7690" t="s">
        <v>12</v>
      </c>
      <c r="J7690" t="s">
        <v>18460</v>
      </c>
    </row>
    <row r="7691" spans="1:10" x14ac:dyDescent="0.25">
      <c r="A7691">
        <v>3010356</v>
      </c>
      <c r="B7691" t="s">
        <v>8106</v>
      </c>
      <c r="C7691" t="str">
        <f>"9780791085172"</f>
        <v>9780791085172</v>
      </c>
      <c r="D7691" t="str">
        <f>"9781438121567"</f>
        <v>9781438121567</v>
      </c>
      <c r="E7691" t="s">
        <v>3008</v>
      </c>
      <c r="F7691" t="s">
        <v>8091</v>
      </c>
      <c r="G7691" s="1">
        <v>36526</v>
      </c>
      <c r="H7691" s="1">
        <v>39977</v>
      </c>
      <c r="I7691" t="s">
        <v>12</v>
      </c>
      <c r="J7691" t="s">
        <v>18461</v>
      </c>
    </row>
    <row r="7692" spans="1:10" x14ac:dyDescent="0.25">
      <c r="A7692">
        <v>3010376</v>
      </c>
      <c r="B7692" t="s">
        <v>8107</v>
      </c>
      <c r="C7692" t="str">
        <f>"9780816076642"</f>
        <v>9780816076642</v>
      </c>
      <c r="D7692" t="str">
        <f>"9781438112312"</f>
        <v>9781438112312</v>
      </c>
      <c r="E7692" t="s">
        <v>8108</v>
      </c>
      <c r="F7692" t="s">
        <v>3013</v>
      </c>
      <c r="G7692" s="1">
        <v>39783</v>
      </c>
      <c r="H7692" s="1">
        <v>40026</v>
      </c>
      <c r="I7692" t="s">
        <v>12</v>
      </c>
      <c r="J7692" t="s">
        <v>18462</v>
      </c>
    </row>
    <row r="7693" spans="1:10" x14ac:dyDescent="0.25">
      <c r="A7693">
        <v>3010381</v>
      </c>
      <c r="B7693" t="s">
        <v>8109</v>
      </c>
      <c r="C7693" t="str">
        <f>"9780816071142"</f>
        <v>9780816071142</v>
      </c>
      <c r="D7693" t="str">
        <f>"9781438127019"</f>
        <v>9781438127019</v>
      </c>
      <c r="E7693" t="s">
        <v>8086</v>
      </c>
      <c r="F7693" t="s">
        <v>8091</v>
      </c>
      <c r="G7693" s="1">
        <v>39814</v>
      </c>
      <c r="H7693" s="1">
        <v>40026</v>
      </c>
      <c r="I7693" t="s">
        <v>12</v>
      </c>
      <c r="J7693" t="s">
        <v>18463</v>
      </c>
    </row>
    <row r="7694" spans="1:10" x14ac:dyDescent="0.25">
      <c r="A7694">
        <v>3010389</v>
      </c>
      <c r="B7694" t="s">
        <v>8110</v>
      </c>
      <c r="C7694" t="str">
        <f>"9780816066810"</f>
        <v>9780816066810</v>
      </c>
      <c r="D7694" t="str">
        <f>"9781438117416"</f>
        <v>9781438117416</v>
      </c>
      <c r="E7694" t="s">
        <v>8086</v>
      </c>
      <c r="F7694" t="s">
        <v>8091</v>
      </c>
      <c r="G7694" s="1">
        <v>39934</v>
      </c>
      <c r="H7694" s="1">
        <v>40026</v>
      </c>
      <c r="I7694" t="s">
        <v>12</v>
      </c>
      <c r="J7694" t="s">
        <v>18464</v>
      </c>
    </row>
    <row r="7695" spans="1:10" x14ac:dyDescent="0.25">
      <c r="A7695">
        <v>3010396</v>
      </c>
      <c r="B7695" t="s">
        <v>8111</v>
      </c>
      <c r="C7695" t="str">
        <f>"9780816067633"</f>
        <v>9780816067633</v>
      </c>
      <c r="D7695" t="str">
        <f>"9781438126777"</f>
        <v>9781438126777</v>
      </c>
      <c r="E7695" t="s">
        <v>8086</v>
      </c>
      <c r="F7695" t="s">
        <v>2999</v>
      </c>
      <c r="G7695" s="1">
        <v>39934</v>
      </c>
      <c r="H7695" s="1">
        <v>40026</v>
      </c>
      <c r="I7695" t="s">
        <v>12</v>
      </c>
      <c r="J7695" t="s">
        <v>18465</v>
      </c>
    </row>
    <row r="7696" spans="1:10" x14ac:dyDescent="0.25">
      <c r="A7696">
        <v>3010397</v>
      </c>
      <c r="B7696" t="s">
        <v>8112</v>
      </c>
      <c r="C7696" t="str">
        <f>"9780816075737"</f>
        <v>9780816075737</v>
      </c>
      <c r="D7696" t="str">
        <f>"9781438119076"</f>
        <v>9781438119076</v>
      </c>
      <c r="E7696" t="s">
        <v>8086</v>
      </c>
      <c r="F7696" t="s">
        <v>8091</v>
      </c>
      <c r="G7696" s="1">
        <v>36526</v>
      </c>
      <c r="H7696" s="1">
        <v>40026</v>
      </c>
      <c r="I7696" t="s">
        <v>12</v>
      </c>
      <c r="J7696" t="s">
        <v>18466</v>
      </c>
    </row>
    <row r="7697" spans="1:10" x14ac:dyDescent="0.25">
      <c r="A7697">
        <v>3010407</v>
      </c>
      <c r="B7697" t="s">
        <v>8113</v>
      </c>
      <c r="C7697" t="str">
        <f>"9780816077335"</f>
        <v>9780816077335</v>
      </c>
      <c r="D7697" t="str">
        <f>"9781438116976"</f>
        <v>9781438116976</v>
      </c>
      <c r="E7697" t="s">
        <v>8108</v>
      </c>
      <c r="F7697" t="s">
        <v>3013</v>
      </c>
      <c r="G7697" s="1">
        <v>39783</v>
      </c>
      <c r="H7697" s="1">
        <v>40026</v>
      </c>
      <c r="I7697" t="s">
        <v>12</v>
      </c>
      <c r="J7697" t="s">
        <v>18467</v>
      </c>
    </row>
    <row r="7698" spans="1:10" x14ac:dyDescent="0.25">
      <c r="A7698">
        <v>3010429</v>
      </c>
      <c r="B7698" t="s">
        <v>8114</v>
      </c>
      <c r="C7698" t="str">
        <f>"9780816065882"</f>
        <v>9780816065882</v>
      </c>
      <c r="D7698" t="str">
        <f>"9781438111322"</f>
        <v>9781438111322</v>
      </c>
      <c r="E7698" t="s">
        <v>8086</v>
      </c>
      <c r="F7698" t="s">
        <v>2999</v>
      </c>
      <c r="G7698" s="1">
        <v>38961</v>
      </c>
      <c r="H7698" s="1">
        <v>40026</v>
      </c>
      <c r="I7698" t="s">
        <v>12</v>
      </c>
      <c r="J7698" t="s">
        <v>18468</v>
      </c>
    </row>
    <row r="7699" spans="1:10" x14ac:dyDescent="0.25">
      <c r="A7699">
        <v>3010430</v>
      </c>
      <c r="B7699" t="s">
        <v>8115</v>
      </c>
      <c r="C7699" t="str">
        <f>"9780816071050"</f>
        <v>9780816071050</v>
      </c>
      <c r="D7699" t="str">
        <f>"9781438127071"</f>
        <v>9781438127071</v>
      </c>
      <c r="E7699" t="s">
        <v>8086</v>
      </c>
      <c r="F7699" t="s">
        <v>8091</v>
      </c>
      <c r="G7699" s="1">
        <v>39753</v>
      </c>
      <c r="H7699" s="1">
        <v>40026</v>
      </c>
      <c r="I7699" t="s">
        <v>12</v>
      </c>
      <c r="J7699" t="s">
        <v>18469</v>
      </c>
    </row>
    <row r="7700" spans="1:10" x14ac:dyDescent="0.25">
      <c r="A7700">
        <v>3010446</v>
      </c>
      <c r="B7700" t="s">
        <v>8116</v>
      </c>
      <c r="C7700" t="str">
        <f>"9780816055081"</f>
        <v>9780816055081</v>
      </c>
      <c r="D7700" t="str">
        <f>"9781438118871"</f>
        <v>9781438118871</v>
      </c>
      <c r="E7700" t="s">
        <v>8086</v>
      </c>
      <c r="F7700" t="s">
        <v>8091</v>
      </c>
      <c r="G7700" s="1">
        <v>36526</v>
      </c>
      <c r="H7700" s="1">
        <v>40026</v>
      </c>
      <c r="I7700" t="s">
        <v>12</v>
      </c>
      <c r="J7700" t="s">
        <v>18470</v>
      </c>
    </row>
    <row r="7701" spans="1:10" x14ac:dyDescent="0.25">
      <c r="A7701">
        <v>3010462</v>
      </c>
      <c r="B7701" t="s">
        <v>8117</v>
      </c>
      <c r="C7701" t="str">
        <f>"9780816076178"</f>
        <v>9780816076178</v>
      </c>
      <c r="D7701" t="str">
        <f>"9781438120843"</f>
        <v>9781438120843</v>
      </c>
      <c r="E7701" t="s">
        <v>8086</v>
      </c>
      <c r="F7701" t="s">
        <v>2999</v>
      </c>
      <c r="G7701" s="1">
        <v>39934</v>
      </c>
      <c r="H7701" s="1">
        <v>40026</v>
      </c>
      <c r="I7701" t="s">
        <v>12</v>
      </c>
      <c r="J7701" t="s">
        <v>18471</v>
      </c>
    </row>
    <row r="7702" spans="1:10" x14ac:dyDescent="0.25">
      <c r="A7702">
        <v>3010481</v>
      </c>
      <c r="B7702" t="s">
        <v>8118</v>
      </c>
      <c r="C7702" t="str">
        <f>"9781604133707"</f>
        <v>9781604133707</v>
      </c>
      <c r="D7702" t="str">
        <f>"9781438125800"</f>
        <v>9781438125800</v>
      </c>
      <c r="E7702" t="s">
        <v>8086</v>
      </c>
      <c r="F7702" t="s">
        <v>2999</v>
      </c>
      <c r="G7702" s="1">
        <v>39965</v>
      </c>
      <c r="H7702" s="1">
        <v>40040</v>
      </c>
      <c r="I7702" t="s">
        <v>12</v>
      </c>
      <c r="J7702" t="s">
        <v>18472</v>
      </c>
    </row>
    <row r="7703" spans="1:10" x14ac:dyDescent="0.25">
      <c r="A7703">
        <v>3010482</v>
      </c>
      <c r="B7703" t="s">
        <v>8119</v>
      </c>
      <c r="C7703" t="str">
        <f>"9780816071258"</f>
        <v>9780816071258</v>
      </c>
      <c r="D7703" t="str">
        <f>"9781438126791"</f>
        <v>9781438126791</v>
      </c>
      <c r="E7703" t="s">
        <v>8086</v>
      </c>
      <c r="F7703" t="s">
        <v>2999</v>
      </c>
      <c r="G7703" s="1">
        <v>39448</v>
      </c>
      <c r="H7703" s="1">
        <v>40040</v>
      </c>
      <c r="I7703" t="s">
        <v>12</v>
      </c>
      <c r="J7703" t="s">
        <v>18473</v>
      </c>
    </row>
    <row r="7704" spans="1:10" x14ac:dyDescent="0.25">
      <c r="A7704">
        <v>3010522</v>
      </c>
      <c r="B7704" t="s">
        <v>8120</v>
      </c>
      <c r="C7704" t="str">
        <f>"9780816040186"</f>
        <v>9780816040186</v>
      </c>
      <c r="D7704" t="str">
        <f>"9781438129938"</f>
        <v>9781438129938</v>
      </c>
      <c r="E7704" t="s">
        <v>8086</v>
      </c>
      <c r="F7704" t="s">
        <v>8121</v>
      </c>
      <c r="G7704" s="1">
        <v>38047</v>
      </c>
      <c r="H7704" s="1">
        <v>40117</v>
      </c>
      <c r="I7704" t="s">
        <v>12</v>
      </c>
      <c r="J7704" t="s">
        <v>18474</v>
      </c>
    </row>
    <row r="7705" spans="1:10" x14ac:dyDescent="0.25">
      <c r="A7705">
        <v>3010530</v>
      </c>
      <c r="B7705" t="s">
        <v>8122</v>
      </c>
      <c r="C7705" t="str">
        <f>"9780816046041"</f>
        <v>9780816046041</v>
      </c>
      <c r="D7705" t="str">
        <f>"9781438130118"</f>
        <v>9781438130118</v>
      </c>
      <c r="E7705" t="s">
        <v>8086</v>
      </c>
      <c r="F7705" t="s">
        <v>8121</v>
      </c>
      <c r="G7705" s="1">
        <v>36526</v>
      </c>
      <c r="H7705" s="1">
        <v>40117</v>
      </c>
      <c r="I7705" t="s">
        <v>12</v>
      </c>
      <c r="J7705" t="s">
        <v>18475</v>
      </c>
    </row>
    <row r="7706" spans="1:10" x14ac:dyDescent="0.25">
      <c r="A7706">
        <v>3010537</v>
      </c>
      <c r="B7706" t="s">
        <v>8123</v>
      </c>
      <c r="C7706" t="str">
        <f>"9781604131284"</f>
        <v>9781604131284</v>
      </c>
      <c r="D7706" t="str">
        <f>"9781438128535"</f>
        <v>9781438128535</v>
      </c>
      <c r="E7706" t="s">
        <v>3008</v>
      </c>
      <c r="F7706" t="s">
        <v>8121</v>
      </c>
      <c r="G7706" s="1">
        <v>39995</v>
      </c>
      <c r="H7706" s="1">
        <v>40117</v>
      </c>
      <c r="I7706" t="s">
        <v>12</v>
      </c>
      <c r="J7706" t="s">
        <v>18476</v>
      </c>
    </row>
    <row r="7707" spans="1:10" x14ac:dyDescent="0.25">
      <c r="A7707">
        <v>3010546</v>
      </c>
      <c r="B7707" t="s">
        <v>8124</v>
      </c>
      <c r="C7707" t="str">
        <f>"9781604131307"</f>
        <v>9781604131307</v>
      </c>
      <c r="D7707" t="str">
        <f>"9781438128504"</f>
        <v>9781438128504</v>
      </c>
      <c r="E7707" t="s">
        <v>3008</v>
      </c>
      <c r="F7707" t="s">
        <v>8121</v>
      </c>
      <c r="G7707" s="1">
        <v>40026</v>
      </c>
      <c r="H7707" s="1">
        <v>40117</v>
      </c>
      <c r="I7707" t="s">
        <v>12</v>
      </c>
      <c r="J7707" t="s">
        <v>18477</v>
      </c>
    </row>
    <row r="7708" spans="1:10" x14ac:dyDescent="0.25">
      <c r="A7708">
        <v>3010551</v>
      </c>
      <c r="B7708" t="s">
        <v>8125</v>
      </c>
      <c r="C7708" t="str">
        <f>"9780816041565"</f>
        <v>9780816041565</v>
      </c>
      <c r="D7708" t="str">
        <f>"9781438129921"</f>
        <v>9781438129921</v>
      </c>
      <c r="E7708" t="s">
        <v>8086</v>
      </c>
      <c r="F7708" t="s">
        <v>8121</v>
      </c>
      <c r="G7708" s="1">
        <v>36800</v>
      </c>
      <c r="H7708" s="1">
        <v>40117</v>
      </c>
      <c r="I7708" t="s">
        <v>12</v>
      </c>
      <c r="J7708" t="s">
        <v>18478</v>
      </c>
    </row>
    <row r="7709" spans="1:10" x14ac:dyDescent="0.25">
      <c r="A7709">
        <v>3010570</v>
      </c>
      <c r="B7709" t="s">
        <v>8126</v>
      </c>
      <c r="C7709" t="str">
        <f>"9780816072613"</f>
        <v>9780816072613</v>
      </c>
      <c r="D7709" t="str">
        <f>"9781438126081"</f>
        <v>9781438126081</v>
      </c>
      <c r="E7709" t="s">
        <v>8086</v>
      </c>
      <c r="F7709" t="s">
        <v>8121</v>
      </c>
      <c r="G7709" s="1">
        <v>40026</v>
      </c>
      <c r="H7709" s="1">
        <v>40117</v>
      </c>
      <c r="I7709" t="s">
        <v>12</v>
      </c>
      <c r="J7709" t="s">
        <v>18479</v>
      </c>
    </row>
    <row r="7710" spans="1:10" x14ac:dyDescent="0.25">
      <c r="A7710">
        <v>3010664</v>
      </c>
      <c r="B7710" t="s">
        <v>8127</v>
      </c>
      <c r="C7710" t="str">
        <f>"9780816077779"</f>
        <v>9780816077779</v>
      </c>
      <c r="D7710" t="str">
        <f>"9781438128405"</f>
        <v>9781438128405</v>
      </c>
      <c r="E7710" t="s">
        <v>3008</v>
      </c>
      <c r="F7710" t="s">
        <v>8121</v>
      </c>
      <c r="G7710" s="1">
        <v>36526</v>
      </c>
      <c r="H7710" s="1">
        <v>40206</v>
      </c>
      <c r="I7710" t="s">
        <v>12</v>
      </c>
      <c r="J7710" t="s">
        <v>18480</v>
      </c>
    </row>
    <row r="7711" spans="1:10" x14ac:dyDescent="0.25">
      <c r="A7711">
        <v>3010685</v>
      </c>
      <c r="B7711" t="s">
        <v>8128</v>
      </c>
      <c r="C7711" t="str">
        <f>"9780791097168"</f>
        <v>9780791097168</v>
      </c>
      <c r="D7711" t="str">
        <f>"9781438100715"</f>
        <v>9781438100715</v>
      </c>
      <c r="E7711" t="s">
        <v>3008</v>
      </c>
      <c r="F7711" t="s">
        <v>8121</v>
      </c>
      <c r="G7711" s="1">
        <v>39508</v>
      </c>
      <c r="H7711" s="1">
        <v>40221</v>
      </c>
      <c r="I7711" t="s">
        <v>12</v>
      </c>
      <c r="J7711" t="s">
        <v>18481</v>
      </c>
    </row>
    <row r="7712" spans="1:10" x14ac:dyDescent="0.25">
      <c r="A7712">
        <v>3010950</v>
      </c>
      <c r="B7712" t="s">
        <v>8129</v>
      </c>
      <c r="C7712" t="str">
        <f>""</f>
        <v/>
      </c>
      <c r="D7712" t="str">
        <f>"9789380075228"</f>
        <v>9789380075228</v>
      </c>
      <c r="E7712" t="s">
        <v>8130</v>
      </c>
      <c r="F7712" t="s">
        <v>8130</v>
      </c>
      <c r="G7712" s="1">
        <v>39783</v>
      </c>
      <c r="H7712" s="1">
        <v>39914</v>
      </c>
      <c r="I7712" t="s">
        <v>12</v>
      </c>
      <c r="J7712" t="s">
        <v>18482</v>
      </c>
    </row>
    <row r="7713" spans="1:10" x14ac:dyDescent="0.25">
      <c r="A7713">
        <v>3010952</v>
      </c>
      <c r="B7713" t="s">
        <v>8131</v>
      </c>
      <c r="C7713" t="str">
        <f>""</f>
        <v/>
      </c>
      <c r="D7713" t="str">
        <f>"9789380075259"</f>
        <v>9789380075259</v>
      </c>
      <c r="E7713" t="s">
        <v>8130</v>
      </c>
      <c r="F7713" t="s">
        <v>8130</v>
      </c>
      <c r="G7713" s="1">
        <v>39783</v>
      </c>
      <c r="H7713" s="1">
        <v>39914</v>
      </c>
      <c r="I7713" t="s">
        <v>12</v>
      </c>
      <c r="J7713" t="s">
        <v>18483</v>
      </c>
    </row>
    <row r="7714" spans="1:10" x14ac:dyDescent="0.25">
      <c r="A7714">
        <v>3010954</v>
      </c>
      <c r="B7714" t="s">
        <v>8132</v>
      </c>
      <c r="C7714" t="str">
        <f>""</f>
        <v/>
      </c>
      <c r="D7714" t="str">
        <f>"9789380075242"</f>
        <v>9789380075242</v>
      </c>
      <c r="E7714" t="s">
        <v>8130</v>
      </c>
      <c r="F7714" t="s">
        <v>8130</v>
      </c>
      <c r="G7714" s="1">
        <v>39783</v>
      </c>
      <c r="H7714" s="1">
        <v>39914</v>
      </c>
      <c r="I7714" t="s">
        <v>12</v>
      </c>
      <c r="J7714" t="s">
        <v>18484</v>
      </c>
    </row>
    <row r="7715" spans="1:10" x14ac:dyDescent="0.25">
      <c r="A7715">
        <v>3010957</v>
      </c>
      <c r="B7715" t="s">
        <v>8133</v>
      </c>
      <c r="C7715" t="str">
        <f>""</f>
        <v/>
      </c>
      <c r="D7715" t="str">
        <f>"9789380075433"</f>
        <v>9789380075433</v>
      </c>
      <c r="E7715" t="s">
        <v>8130</v>
      </c>
      <c r="F7715" t="s">
        <v>8130</v>
      </c>
      <c r="G7715" s="1">
        <v>39783</v>
      </c>
      <c r="H7715" s="1">
        <v>39914</v>
      </c>
      <c r="I7715" t="s">
        <v>12</v>
      </c>
      <c r="J7715" t="s">
        <v>18485</v>
      </c>
    </row>
    <row r="7716" spans="1:10" x14ac:dyDescent="0.25">
      <c r="A7716">
        <v>3010959</v>
      </c>
      <c r="B7716" t="s">
        <v>8134</v>
      </c>
      <c r="C7716" t="str">
        <f>""</f>
        <v/>
      </c>
      <c r="D7716" t="str">
        <f>"9789380075075"</f>
        <v>9789380075075</v>
      </c>
      <c r="E7716" t="s">
        <v>8130</v>
      </c>
      <c r="F7716" t="s">
        <v>8130</v>
      </c>
      <c r="G7716" s="1">
        <v>39783</v>
      </c>
      <c r="H7716" s="1">
        <v>39914</v>
      </c>
      <c r="I7716" t="s">
        <v>12</v>
      </c>
      <c r="J7716" t="s">
        <v>18486</v>
      </c>
    </row>
    <row r="7717" spans="1:10" x14ac:dyDescent="0.25">
      <c r="A7717">
        <v>3010960</v>
      </c>
      <c r="B7717" t="s">
        <v>8135</v>
      </c>
      <c r="C7717" t="str">
        <f>""</f>
        <v/>
      </c>
      <c r="D7717" t="str">
        <f>"9789380075303"</f>
        <v>9789380075303</v>
      </c>
      <c r="E7717" t="s">
        <v>8130</v>
      </c>
      <c r="F7717" t="s">
        <v>8130</v>
      </c>
      <c r="G7717" s="1">
        <v>39783</v>
      </c>
      <c r="H7717" s="1">
        <v>39914</v>
      </c>
      <c r="I7717" t="s">
        <v>12</v>
      </c>
      <c r="J7717" t="s">
        <v>18487</v>
      </c>
    </row>
    <row r="7718" spans="1:10" x14ac:dyDescent="0.25">
      <c r="A7718">
        <v>3010962</v>
      </c>
      <c r="B7718" t="s">
        <v>8136</v>
      </c>
      <c r="C7718" t="str">
        <f>""</f>
        <v/>
      </c>
      <c r="D7718" t="str">
        <f>"9789380075631"</f>
        <v>9789380075631</v>
      </c>
      <c r="E7718" t="s">
        <v>8130</v>
      </c>
      <c r="F7718" t="s">
        <v>8130</v>
      </c>
      <c r="G7718" s="1">
        <v>39783</v>
      </c>
      <c r="H7718" s="1">
        <v>39914</v>
      </c>
      <c r="I7718" t="s">
        <v>12</v>
      </c>
      <c r="J7718" t="s">
        <v>18488</v>
      </c>
    </row>
    <row r="7719" spans="1:10" x14ac:dyDescent="0.25">
      <c r="A7719">
        <v>3010963</v>
      </c>
      <c r="B7719" t="s">
        <v>8137</v>
      </c>
      <c r="C7719" t="str">
        <f>""</f>
        <v/>
      </c>
      <c r="D7719" t="str">
        <f>"9789380075495"</f>
        <v>9789380075495</v>
      </c>
      <c r="E7719" t="s">
        <v>8130</v>
      </c>
      <c r="F7719" t="s">
        <v>8130</v>
      </c>
      <c r="G7719" s="1">
        <v>39783</v>
      </c>
      <c r="H7719" s="1">
        <v>39914</v>
      </c>
      <c r="I7719" t="s">
        <v>12</v>
      </c>
      <c r="J7719" t="s">
        <v>18489</v>
      </c>
    </row>
    <row r="7720" spans="1:10" x14ac:dyDescent="0.25">
      <c r="A7720">
        <v>3010965</v>
      </c>
      <c r="B7720" t="s">
        <v>8138</v>
      </c>
      <c r="C7720" t="str">
        <f>""</f>
        <v/>
      </c>
      <c r="D7720" t="str">
        <f>"9789380075334"</f>
        <v>9789380075334</v>
      </c>
      <c r="E7720" t="s">
        <v>8130</v>
      </c>
      <c r="F7720" t="s">
        <v>8130</v>
      </c>
      <c r="G7720" s="1">
        <v>39783</v>
      </c>
      <c r="H7720" s="1">
        <v>39914</v>
      </c>
      <c r="I7720" t="s">
        <v>12</v>
      </c>
      <c r="J7720" t="s">
        <v>18490</v>
      </c>
    </row>
    <row r="7721" spans="1:10" x14ac:dyDescent="0.25">
      <c r="A7721">
        <v>3010966</v>
      </c>
      <c r="B7721" t="s">
        <v>8139</v>
      </c>
      <c r="C7721" t="str">
        <f>""</f>
        <v/>
      </c>
      <c r="D7721" t="str">
        <f>"9789380075013"</f>
        <v>9789380075013</v>
      </c>
      <c r="E7721" t="s">
        <v>8130</v>
      </c>
      <c r="F7721" t="s">
        <v>8130</v>
      </c>
      <c r="G7721" s="1">
        <v>39783</v>
      </c>
      <c r="H7721" s="1">
        <v>39914</v>
      </c>
      <c r="I7721" t="s">
        <v>12</v>
      </c>
      <c r="J7721" t="s">
        <v>18491</v>
      </c>
    </row>
    <row r="7722" spans="1:10" x14ac:dyDescent="0.25">
      <c r="A7722">
        <v>3010968</v>
      </c>
      <c r="B7722" t="s">
        <v>8140</v>
      </c>
      <c r="C7722" t="str">
        <f>""</f>
        <v/>
      </c>
      <c r="D7722" t="str">
        <f>"9789380075297"</f>
        <v>9789380075297</v>
      </c>
      <c r="E7722" t="s">
        <v>8130</v>
      </c>
      <c r="F7722" t="s">
        <v>8130</v>
      </c>
      <c r="G7722" s="1">
        <v>39783</v>
      </c>
      <c r="H7722" s="1">
        <v>39914</v>
      </c>
      <c r="I7722" t="s">
        <v>12</v>
      </c>
      <c r="J7722" t="s">
        <v>18492</v>
      </c>
    </row>
    <row r="7723" spans="1:10" x14ac:dyDescent="0.25">
      <c r="A7723">
        <v>3010969</v>
      </c>
      <c r="B7723" t="s">
        <v>8141</v>
      </c>
      <c r="C7723" t="str">
        <f>""</f>
        <v/>
      </c>
      <c r="D7723" t="str">
        <f>"9789380075471"</f>
        <v>9789380075471</v>
      </c>
      <c r="E7723" t="s">
        <v>8130</v>
      </c>
      <c r="F7723" t="s">
        <v>8130</v>
      </c>
      <c r="G7723" s="1">
        <v>39783</v>
      </c>
      <c r="H7723" s="1">
        <v>39914</v>
      </c>
      <c r="I7723" t="s">
        <v>12</v>
      </c>
      <c r="J7723" t="s">
        <v>18493</v>
      </c>
    </row>
    <row r="7724" spans="1:10" x14ac:dyDescent="0.25">
      <c r="A7724">
        <v>3010970</v>
      </c>
      <c r="B7724" t="s">
        <v>8142</v>
      </c>
      <c r="C7724" t="str">
        <f>""</f>
        <v/>
      </c>
      <c r="D7724" t="str">
        <f>"9789380075464"</f>
        <v>9789380075464</v>
      </c>
      <c r="E7724" t="s">
        <v>8130</v>
      </c>
      <c r="F7724" t="s">
        <v>8130</v>
      </c>
      <c r="G7724" s="1">
        <v>39783</v>
      </c>
      <c r="H7724" s="1">
        <v>39914</v>
      </c>
      <c r="I7724" t="s">
        <v>12</v>
      </c>
      <c r="J7724" t="s">
        <v>18494</v>
      </c>
    </row>
    <row r="7725" spans="1:10" x14ac:dyDescent="0.25">
      <c r="A7725">
        <v>3010971</v>
      </c>
      <c r="B7725" t="s">
        <v>8143</v>
      </c>
      <c r="C7725" t="str">
        <f>""</f>
        <v/>
      </c>
      <c r="D7725" t="str">
        <f>"9789380075280"</f>
        <v>9789380075280</v>
      </c>
      <c r="E7725" t="s">
        <v>8130</v>
      </c>
      <c r="F7725" t="s">
        <v>8130</v>
      </c>
      <c r="G7725" s="1">
        <v>39783</v>
      </c>
      <c r="H7725" s="1">
        <v>39914</v>
      </c>
      <c r="I7725" t="s">
        <v>12</v>
      </c>
      <c r="J7725" t="s">
        <v>18495</v>
      </c>
    </row>
    <row r="7726" spans="1:10" x14ac:dyDescent="0.25">
      <c r="A7726">
        <v>3010972</v>
      </c>
      <c r="B7726" t="s">
        <v>8144</v>
      </c>
      <c r="C7726" t="str">
        <f>""</f>
        <v/>
      </c>
      <c r="D7726" t="str">
        <f>"9789380075440"</f>
        <v>9789380075440</v>
      </c>
      <c r="E7726" t="s">
        <v>8130</v>
      </c>
      <c r="F7726" t="s">
        <v>8130</v>
      </c>
      <c r="G7726" s="1">
        <v>39783</v>
      </c>
      <c r="H7726" s="1">
        <v>39914</v>
      </c>
      <c r="I7726" t="s">
        <v>12</v>
      </c>
      <c r="J7726" t="s">
        <v>18496</v>
      </c>
    </row>
    <row r="7727" spans="1:10" x14ac:dyDescent="0.25">
      <c r="A7727">
        <v>3010973</v>
      </c>
      <c r="B7727" t="s">
        <v>8145</v>
      </c>
      <c r="C7727" t="str">
        <f>""</f>
        <v/>
      </c>
      <c r="D7727" t="str">
        <f>"9789380075327"</f>
        <v>9789380075327</v>
      </c>
      <c r="E7727" t="s">
        <v>8130</v>
      </c>
      <c r="F7727" t="s">
        <v>8130</v>
      </c>
      <c r="G7727" s="1">
        <v>39783</v>
      </c>
      <c r="H7727" s="1">
        <v>39914</v>
      </c>
      <c r="I7727" t="s">
        <v>12</v>
      </c>
      <c r="J7727" t="s">
        <v>18497</v>
      </c>
    </row>
    <row r="7728" spans="1:10" x14ac:dyDescent="0.25">
      <c r="A7728">
        <v>3010974</v>
      </c>
      <c r="B7728" t="s">
        <v>8146</v>
      </c>
      <c r="C7728" t="str">
        <f>""</f>
        <v/>
      </c>
      <c r="D7728" t="str">
        <f>"9789380075020"</f>
        <v>9789380075020</v>
      </c>
      <c r="E7728" t="s">
        <v>8130</v>
      </c>
      <c r="F7728" t="s">
        <v>8130</v>
      </c>
      <c r="G7728" s="1">
        <v>39783</v>
      </c>
      <c r="H7728" s="1">
        <v>39914</v>
      </c>
      <c r="I7728" t="s">
        <v>12</v>
      </c>
      <c r="J7728" t="s">
        <v>18498</v>
      </c>
    </row>
    <row r="7729" spans="1:10" x14ac:dyDescent="0.25">
      <c r="A7729">
        <v>3010976</v>
      </c>
      <c r="B7729" t="s">
        <v>8147</v>
      </c>
      <c r="C7729" t="str">
        <f>""</f>
        <v/>
      </c>
      <c r="D7729" t="str">
        <f>"9789380075273"</f>
        <v>9789380075273</v>
      </c>
      <c r="E7729" t="s">
        <v>8130</v>
      </c>
      <c r="F7729" t="s">
        <v>8130</v>
      </c>
      <c r="G7729" s="1">
        <v>39783</v>
      </c>
      <c r="H7729" s="1">
        <v>39914</v>
      </c>
      <c r="I7729" t="s">
        <v>12</v>
      </c>
      <c r="J7729" t="s">
        <v>18499</v>
      </c>
    </row>
    <row r="7730" spans="1:10" x14ac:dyDescent="0.25">
      <c r="A7730">
        <v>3010977</v>
      </c>
      <c r="B7730" t="s">
        <v>8148</v>
      </c>
      <c r="C7730" t="str">
        <f>""</f>
        <v/>
      </c>
      <c r="D7730" t="str">
        <f>"9789380075723"</f>
        <v>9789380075723</v>
      </c>
      <c r="E7730" t="s">
        <v>8130</v>
      </c>
      <c r="F7730" t="s">
        <v>8130</v>
      </c>
      <c r="G7730" s="1">
        <v>39783</v>
      </c>
      <c r="H7730" s="1">
        <v>39914</v>
      </c>
      <c r="I7730" t="s">
        <v>12</v>
      </c>
      <c r="J7730" t="s">
        <v>18500</v>
      </c>
    </row>
    <row r="7731" spans="1:10" x14ac:dyDescent="0.25">
      <c r="A7731">
        <v>3010978</v>
      </c>
      <c r="B7731" t="s">
        <v>8149</v>
      </c>
      <c r="C7731" t="str">
        <f>""</f>
        <v/>
      </c>
      <c r="D7731" t="str">
        <f>"9789380075266"</f>
        <v>9789380075266</v>
      </c>
      <c r="E7731" t="s">
        <v>8130</v>
      </c>
      <c r="F7731" t="s">
        <v>8130</v>
      </c>
      <c r="G7731" s="1">
        <v>39783</v>
      </c>
      <c r="H7731" s="1">
        <v>39914</v>
      </c>
      <c r="I7731" t="s">
        <v>12</v>
      </c>
      <c r="J7731" t="s">
        <v>18501</v>
      </c>
    </row>
    <row r="7732" spans="1:10" x14ac:dyDescent="0.25">
      <c r="A7732">
        <v>3010979</v>
      </c>
      <c r="B7732" t="s">
        <v>8150</v>
      </c>
      <c r="C7732" t="str">
        <f>""</f>
        <v/>
      </c>
      <c r="D7732" t="str">
        <f>"9789380075457"</f>
        <v>9789380075457</v>
      </c>
      <c r="E7732" t="s">
        <v>8130</v>
      </c>
      <c r="F7732" t="s">
        <v>8130</v>
      </c>
      <c r="G7732" s="1">
        <v>39783</v>
      </c>
      <c r="H7732" s="1">
        <v>39914</v>
      </c>
      <c r="I7732" t="s">
        <v>12</v>
      </c>
      <c r="J7732" t="s">
        <v>18502</v>
      </c>
    </row>
    <row r="7733" spans="1:10" x14ac:dyDescent="0.25">
      <c r="A7733">
        <v>3010980</v>
      </c>
      <c r="B7733" t="s">
        <v>8151</v>
      </c>
      <c r="C7733" t="str">
        <f>""</f>
        <v/>
      </c>
      <c r="D7733" t="str">
        <f>"9789380075556"</f>
        <v>9789380075556</v>
      </c>
      <c r="E7733" t="s">
        <v>8130</v>
      </c>
      <c r="F7733" t="s">
        <v>8130</v>
      </c>
      <c r="G7733" s="1">
        <v>39783</v>
      </c>
      <c r="H7733" s="1">
        <v>39914</v>
      </c>
      <c r="I7733" t="s">
        <v>12</v>
      </c>
      <c r="J7733" t="s">
        <v>18503</v>
      </c>
    </row>
    <row r="7734" spans="1:10" x14ac:dyDescent="0.25">
      <c r="A7734">
        <v>3010981</v>
      </c>
      <c r="B7734" t="s">
        <v>8152</v>
      </c>
      <c r="C7734" t="str">
        <f>""</f>
        <v/>
      </c>
      <c r="D7734" t="str">
        <f>"9789380075235"</f>
        <v>9789380075235</v>
      </c>
      <c r="E7734" t="s">
        <v>8130</v>
      </c>
      <c r="F7734" t="s">
        <v>8130</v>
      </c>
      <c r="G7734" s="1">
        <v>39783</v>
      </c>
      <c r="H7734" s="1">
        <v>39914</v>
      </c>
      <c r="I7734" t="s">
        <v>12</v>
      </c>
      <c r="J7734" t="s">
        <v>18504</v>
      </c>
    </row>
    <row r="7735" spans="1:10" x14ac:dyDescent="0.25">
      <c r="A7735">
        <v>3010982</v>
      </c>
      <c r="B7735" t="s">
        <v>8153</v>
      </c>
      <c r="C7735" t="str">
        <f>""</f>
        <v/>
      </c>
      <c r="D7735" t="str">
        <f>"9789380075686"</f>
        <v>9789380075686</v>
      </c>
      <c r="E7735" t="s">
        <v>8130</v>
      </c>
      <c r="F7735" t="s">
        <v>8130</v>
      </c>
      <c r="G7735" s="1">
        <v>39783</v>
      </c>
      <c r="H7735" s="1">
        <v>39914</v>
      </c>
      <c r="I7735" t="s">
        <v>12</v>
      </c>
      <c r="J7735" t="s">
        <v>18505</v>
      </c>
    </row>
    <row r="7736" spans="1:10" x14ac:dyDescent="0.25">
      <c r="A7736">
        <v>3010984</v>
      </c>
      <c r="B7736" t="s">
        <v>8154</v>
      </c>
      <c r="C7736" t="str">
        <f>""</f>
        <v/>
      </c>
      <c r="D7736" t="str">
        <f>"9789380075716"</f>
        <v>9789380075716</v>
      </c>
      <c r="E7736" t="s">
        <v>8130</v>
      </c>
      <c r="F7736" t="s">
        <v>8130</v>
      </c>
      <c r="G7736" s="1">
        <v>39783</v>
      </c>
      <c r="H7736" s="1">
        <v>39914</v>
      </c>
      <c r="I7736" t="s">
        <v>12</v>
      </c>
      <c r="J7736" t="s">
        <v>18506</v>
      </c>
    </row>
    <row r="7737" spans="1:10" x14ac:dyDescent="0.25">
      <c r="A7737">
        <v>3010985</v>
      </c>
      <c r="B7737" t="s">
        <v>8155</v>
      </c>
      <c r="C7737" t="str">
        <f>""</f>
        <v/>
      </c>
      <c r="D7737" t="str">
        <f>"9789380075488"</f>
        <v>9789380075488</v>
      </c>
      <c r="E7737" t="s">
        <v>8130</v>
      </c>
      <c r="F7737" t="s">
        <v>8130</v>
      </c>
      <c r="G7737" s="1">
        <v>39783</v>
      </c>
      <c r="H7737" s="1">
        <v>39914</v>
      </c>
      <c r="I7737" t="s">
        <v>12</v>
      </c>
      <c r="J7737" t="s">
        <v>18507</v>
      </c>
    </row>
    <row r="7738" spans="1:10" x14ac:dyDescent="0.25">
      <c r="A7738">
        <v>3010987</v>
      </c>
      <c r="B7738" t="s">
        <v>8156</v>
      </c>
      <c r="C7738" t="str">
        <f>""</f>
        <v/>
      </c>
      <c r="D7738" t="str">
        <f>"9789380075549"</f>
        <v>9789380075549</v>
      </c>
      <c r="E7738" t="s">
        <v>8130</v>
      </c>
      <c r="F7738" t="s">
        <v>8130</v>
      </c>
      <c r="G7738" s="1">
        <v>39783</v>
      </c>
      <c r="H7738" s="1">
        <v>39914</v>
      </c>
      <c r="I7738" t="s">
        <v>12</v>
      </c>
      <c r="J7738" t="s">
        <v>18508</v>
      </c>
    </row>
    <row r="7739" spans="1:10" x14ac:dyDescent="0.25">
      <c r="A7739">
        <v>3010988</v>
      </c>
      <c r="B7739" t="s">
        <v>8157</v>
      </c>
      <c r="C7739" t="str">
        <f>""</f>
        <v/>
      </c>
      <c r="D7739" t="str">
        <f>"9789380075037"</f>
        <v>9789380075037</v>
      </c>
      <c r="E7739" t="s">
        <v>8130</v>
      </c>
      <c r="F7739" t="s">
        <v>8130</v>
      </c>
      <c r="G7739" s="1">
        <v>39783</v>
      </c>
      <c r="H7739" s="1">
        <v>39914</v>
      </c>
      <c r="I7739" t="s">
        <v>12</v>
      </c>
      <c r="J7739" t="s">
        <v>18509</v>
      </c>
    </row>
    <row r="7740" spans="1:10" x14ac:dyDescent="0.25">
      <c r="A7740">
        <v>3010989</v>
      </c>
      <c r="B7740" t="s">
        <v>8158</v>
      </c>
      <c r="C7740" t="str">
        <f>""</f>
        <v/>
      </c>
      <c r="D7740" t="str">
        <f>"9789380075730"</f>
        <v>9789380075730</v>
      </c>
      <c r="E7740" t="s">
        <v>8130</v>
      </c>
      <c r="F7740" t="s">
        <v>8130</v>
      </c>
      <c r="G7740" s="1">
        <v>39783</v>
      </c>
      <c r="H7740" s="1">
        <v>39914</v>
      </c>
      <c r="I7740" t="s">
        <v>12</v>
      </c>
      <c r="J7740" t="s">
        <v>18510</v>
      </c>
    </row>
    <row r="7741" spans="1:10" x14ac:dyDescent="0.25">
      <c r="A7741">
        <v>3010993</v>
      </c>
      <c r="B7741" t="s">
        <v>8159</v>
      </c>
      <c r="C7741" t="str">
        <f>""</f>
        <v/>
      </c>
      <c r="D7741" t="str">
        <f>"9789380075082"</f>
        <v>9789380075082</v>
      </c>
      <c r="E7741" t="s">
        <v>8130</v>
      </c>
      <c r="F7741" t="s">
        <v>8130</v>
      </c>
      <c r="G7741" s="1">
        <v>39783</v>
      </c>
      <c r="H7741" s="1">
        <v>39914</v>
      </c>
      <c r="I7741" t="s">
        <v>12</v>
      </c>
      <c r="J7741" t="s">
        <v>18511</v>
      </c>
    </row>
    <row r="7742" spans="1:10" x14ac:dyDescent="0.25">
      <c r="A7742">
        <v>3010996</v>
      </c>
      <c r="B7742" t="s">
        <v>8160</v>
      </c>
      <c r="C7742" t="str">
        <f>""</f>
        <v/>
      </c>
      <c r="D7742" t="str">
        <f>"9789380075563"</f>
        <v>9789380075563</v>
      </c>
      <c r="E7742" t="s">
        <v>8130</v>
      </c>
      <c r="F7742" t="s">
        <v>8130</v>
      </c>
      <c r="G7742" s="1">
        <v>39783</v>
      </c>
      <c r="H7742" s="1">
        <v>39914</v>
      </c>
      <c r="I7742" t="s">
        <v>12</v>
      </c>
      <c r="J7742" t="s">
        <v>18512</v>
      </c>
    </row>
    <row r="7743" spans="1:10" x14ac:dyDescent="0.25">
      <c r="A7743">
        <v>3011003</v>
      </c>
      <c r="B7743" t="s">
        <v>8161</v>
      </c>
      <c r="C7743" t="str">
        <f>""</f>
        <v/>
      </c>
      <c r="D7743" t="str">
        <f>"9789380075655"</f>
        <v>9789380075655</v>
      </c>
      <c r="E7743" t="s">
        <v>8130</v>
      </c>
      <c r="F7743" t="s">
        <v>8130</v>
      </c>
      <c r="G7743" s="1">
        <v>39783</v>
      </c>
      <c r="H7743" s="1">
        <v>39914</v>
      </c>
      <c r="I7743" t="s">
        <v>12</v>
      </c>
      <c r="J7743" t="s">
        <v>18513</v>
      </c>
    </row>
    <row r="7744" spans="1:10" x14ac:dyDescent="0.25">
      <c r="A7744">
        <v>3011007</v>
      </c>
      <c r="B7744" t="s">
        <v>8162</v>
      </c>
      <c r="C7744" t="str">
        <f>""</f>
        <v/>
      </c>
      <c r="D7744" t="str">
        <f>"9789380075662"</f>
        <v>9789380075662</v>
      </c>
      <c r="E7744" t="s">
        <v>8130</v>
      </c>
      <c r="F7744" t="s">
        <v>8130</v>
      </c>
      <c r="G7744" s="1">
        <v>39783</v>
      </c>
      <c r="H7744" s="1">
        <v>39914</v>
      </c>
      <c r="I7744" t="s">
        <v>12</v>
      </c>
      <c r="J7744" t="s">
        <v>18514</v>
      </c>
    </row>
    <row r="7745" spans="1:10" x14ac:dyDescent="0.25">
      <c r="A7745">
        <v>3011012</v>
      </c>
      <c r="B7745" t="s">
        <v>8163</v>
      </c>
      <c r="C7745" t="str">
        <f>""</f>
        <v/>
      </c>
      <c r="D7745" t="str">
        <f>"9789380075679"</f>
        <v>9789380075679</v>
      </c>
      <c r="E7745" t="s">
        <v>8130</v>
      </c>
      <c r="F7745" t="s">
        <v>8130</v>
      </c>
      <c r="G7745" s="1">
        <v>39783</v>
      </c>
      <c r="H7745" s="1">
        <v>39914</v>
      </c>
      <c r="I7745" t="s">
        <v>12</v>
      </c>
      <c r="J7745" t="s">
        <v>18515</v>
      </c>
    </row>
    <row r="7746" spans="1:10" x14ac:dyDescent="0.25">
      <c r="A7746">
        <v>3011015</v>
      </c>
      <c r="B7746" t="s">
        <v>8164</v>
      </c>
      <c r="C7746" t="str">
        <f>""</f>
        <v/>
      </c>
      <c r="D7746" t="str">
        <f>"9788189940409"</f>
        <v>9788189940409</v>
      </c>
      <c r="E7746" t="s">
        <v>8130</v>
      </c>
      <c r="F7746" t="s">
        <v>8130</v>
      </c>
      <c r="G7746" s="1">
        <v>39052</v>
      </c>
      <c r="H7746" s="1">
        <v>39963</v>
      </c>
      <c r="I7746" t="s">
        <v>12</v>
      </c>
      <c r="J7746" t="s">
        <v>18516</v>
      </c>
    </row>
    <row r="7747" spans="1:10" x14ac:dyDescent="0.25">
      <c r="A7747">
        <v>3011020</v>
      </c>
      <c r="B7747" t="s">
        <v>8165</v>
      </c>
      <c r="C7747" t="str">
        <f>""</f>
        <v/>
      </c>
      <c r="D7747" t="str">
        <f>"9788189940362"</f>
        <v>9788189940362</v>
      </c>
      <c r="E7747" t="s">
        <v>8130</v>
      </c>
      <c r="F7747" t="s">
        <v>8130</v>
      </c>
      <c r="G7747" s="1">
        <v>39052</v>
      </c>
      <c r="H7747" s="1">
        <v>39963</v>
      </c>
      <c r="I7747" t="s">
        <v>12</v>
      </c>
      <c r="J7747" t="s">
        <v>18517</v>
      </c>
    </row>
    <row r="7748" spans="1:10" x14ac:dyDescent="0.25">
      <c r="A7748">
        <v>3011021</v>
      </c>
      <c r="B7748" t="s">
        <v>8166</v>
      </c>
      <c r="C7748" t="str">
        <f>""</f>
        <v/>
      </c>
      <c r="D7748" t="str">
        <f>"9789380075044"</f>
        <v>9789380075044</v>
      </c>
      <c r="E7748" t="s">
        <v>8130</v>
      </c>
      <c r="F7748" t="s">
        <v>8130</v>
      </c>
      <c r="G7748" s="1">
        <v>39783</v>
      </c>
      <c r="H7748" s="1">
        <v>39963</v>
      </c>
      <c r="I7748" t="s">
        <v>12</v>
      </c>
      <c r="J7748" t="s">
        <v>18518</v>
      </c>
    </row>
    <row r="7749" spans="1:10" x14ac:dyDescent="0.25">
      <c r="A7749">
        <v>3011024</v>
      </c>
      <c r="B7749" t="s">
        <v>8167</v>
      </c>
      <c r="C7749" t="str">
        <f>""</f>
        <v/>
      </c>
      <c r="D7749" t="str">
        <f>"9788189940003"</f>
        <v>9788189940003</v>
      </c>
      <c r="E7749" t="s">
        <v>8130</v>
      </c>
      <c r="F7749" t="s">
        <v>8130</v>
      </c>
      <c r="G7749" s="1">
        <v>39052</v>
      </c>
      <c r="H7749" s="1">
        <v>39963</v>
      </c>
      <c r="I7749" t="s">
        <v>12</v>
      </c>
      <c r="J7749" t="s">
        <v>18519</v>
      </c>
    </row>
    <row r="7750" spans="1:10" x14ac:dyDescent="0.25">
      <c r="A7750">
        <v>3011030</v>
      </c>
      <c r="B7750" t="s">
        <v>8168</v>
      </c>
      <c r="C7750" t="str">
        <f>""</f>
        <v/>
      </c>
      <c r="D7750" t="str">
        <f>"9788189940300"</f>
        <v>9788189940300</v>
      </c>
      <c r="E7750" t="s">
        <v>8130</v>
      </c>
      <c r="F7750" t="s">
        <v>8130</v>
      </c>
      <c r="G7750" s="1">
        <v>39052</v>
      </c>
      <c r="H7750" s="1">
        <v>39963</v>
      </c>
      <c r="I7750" t="s">
        <v>12</v>
      </c>
      <c r="J7750" t="s">
        <v>18520</v>
      </c>
    </row>
    <row r="7751" spans="1:10" x14ac:dyDescent="0.25">
      <c r="A7751">
        <v>3011034</v>
      </c>
      <c r="B7751" t="s">
        <v>8169</v>
      </c>
      <c r="C7751" t="str">
        <f>""</f>
        <v/>
      </c>
      <c r="D7751" t="str">
        <f>"9788189940553"</f>
        <v>9788189940553</v>
      </c>
      <c r="E7751" t="s">
        <v>8130</v>
      </c>
      <c r="F7751" t="s">
        <v>8130</v>
      </c>
      <c r="G7751" s="1">
        <v>39052</v>
      </c>
      <c r="H7751" s="1">
        <v>39963</v>
      </c>
      <c r="I7751" t="s">
        <v>12</v>
      </c>
      <c r="J7751" t="s">
        <v>18521</v>
      </c>
    </row>
    <row r="7752" spans="1:10" x14ac:dyDescent="0.25">
      <c r="A7752">
        <v>3011040</v>
      </c>
      <c r="B7752" t="s">
        <v>8170</v>
      </c>
      <c r="C7752" t="str">
        <f>""</f>
        <v/>
      </c>
      <c r="D7752" t="str">
        <f>"9788189940485"</f>
        <v>9788189940485</v>
      </c>
      <c r="E7752" t="s">
        <v>8130</v>
      </c>
      <c r="F7752" t="s">
        <v>8130</v>
      </c>
      <c r="G7752" s="1">
        <v>39052</v>
      </c>
      <c r="H7752" s="1">
        <v>39963</v>
      </c>
      <c r="I7752" t="s">
        <v>12</v>
      </c>
      <c r="J7752" t="s">
        <v>18522</v>
      </c>
    </row>
    <row r="7753" spans="1:10" x14ac:dyDescent="0.25">
      <c r="A7753">
        <v>3011043</v>
      </c>
      <c r="B7753" t="s">
        <v>8171</v>
      </c>
      <c r="C7753" t="str">
        <f>""</f>
        <v/>
      </c>
      <c r="D7753" t="str">
        <f>"9788190457576"</f>
        <v>9788190457576</v>
      </c>
      <c r="E7753" t="s">
        <v>8130</v>
      </c>
      <c r="F7753" t="s">
        <v>8130</v>
      </c>
      <c r="G7753" s="1">
        <v>39052</v>
      </c>
      <c r="H7753" s="1">
        <v>39963</v>
      </c>
      <c r="I7753" t="s">
        <v>12</v>
      </c>
      <c r="J7753" t="s">
        <v>18523</v>
      </c>
    </row>
    <row r="7754" spans="1:10" x14ac:dyDescent="0.25">
      <c r="A7754">
        <v>3011048</v>
      </c>
      <c r="B7754" t="s">
        <v>8172</v>
      </c>
      <c r="C7754" t="str">
        <f>""</f>
        <v/>
      </c>
      <c r="D7754" t="str">
        <f>"9788189940287"</f>
        <v>9788189940287</v>
      </c>
      <c r="E7754" t="s">
        <v>8130</v>
      </c>
      <c r="F7754" t="s">
        <v>8130</v>
      </c>
      <c r="G7754" s="1">
        <v>39052</v>
      </c>
      <c r="H7754" s="1">
        <v>39963</v>
      </c>
      <c r="I7754" t="s">
        <v>12</v>
      </c>
      <c r="J7754" t="s">
        <v>18524</v>
      </c>
    </row>
    <row r="7755" spans="1:10" x14ac:dyDescent="0.25">
      <c r="A7755">
        <v>3011049</v>
      </c>
      <c r="B7755" t="s">
        <v>8173</v>
      </c>
      <c r="C7755" t="str">
        <f>""</f>
        <v/>
      </c>
      <c r="D7755" t="str">
        <f>"9788189940904"</f>
        <v>9788189940904</v>
      </c>
      <c r="E7755" t="s">
        <v>8130</v>
      </c>
      <c r="F7755" t="s">
        <v>8130</v>
      </c>
      <c r="G7755" s="1">
        <v>39052</v>
      </c>
      <c r="H7755" s="1">
        <v>39963</v>
      </c>
      <c r="I7755" t="s">
        <v>12</v>
      </c>
      <c r="J7755" t="s">
        <v>18525</v>
      </c>
    </row>
    <row r="7756" spans="1:10" x14ac:dyDescent="0.25">
      <c r="A7756">
        <v>3011050</v>
      </c>
      <c r="B7756" t="s">
        <v>8174</v>
      </c>
      <c r="C7756" t="str">
        <f>""</f>
        <v/>
      </c>
      <c r="D7756" t="str">
        <f>"9788189940058"</f>
        <v>9788189940058</v>
      </c>
      <c r="E7756" t="s">
        <v>8130</v>
      </c>
      <c r="F7756" t="s">
        <v>8130</v>
      </c>
      <c r="G7756" s="1">
        <v>39052</v>
      </c>
      <c r="H7756" s="1">
        <v>39963</v>
      </c>
      <c r="I7756" t="s">
        <v>12</v>
      </c>
      <c r="J7756" t="s">
        <v>18526</v>
      </c>
    </row>
    <row r="7757" spans="1:10" x14ac:dyDescent="0.25">
      <c r="A7757">
        <v>3011054</v>
      </c>
      <c r="B7757" t="s">
        <v>8175</v>
      </c>
      <c r="C7757" t="str">
        <f>""</f>
        <v/>
      </c>
      <c r="D7757" t="str">
        <f>"9788189940096"</f>
        <v>9788189940096</v>
      </c>
      <c r="E7757" t="s">
        <v>8130</v>
      </c>
      <c r="F7757" t="s">
        <v>8130</v>
      </c>
      <c r="G7757" s="1">
        <v>39052</v>
      </c>
      <c r="H7757" s="1">
        <v>39963</v>
      </c>
      <c r="I7757" t="s">
        <v>12</v>
      </c>
      <c r="J7757" t="s">
        <v>18527</v>
      </c>
    </row>
    <row r="7758" spans="1:10" x14ac:dyDescent="0.25">
      <c r="A7758">
        <v>3011064</v>
      </c>
      <c r="B7758" t="s">
        <v>8176</v>
      </c>
      <c r="C7758" t="str">
        <f>""</f>
        <v/>
      </c>
      <c r="D7758" t="str">
        <f>"9788189940652"</f>
        <v>9788189940652</v>
      </c>
      <c r="E7758" t="s">
        <v>8130</v>
      </c>
      <c r="F7758" t="s">
        <v>8130</v>
      </c>
      <c r="G7758" s="1">
        <v>39052</v>
      </c>
      <c r="H7758" s="1">
        <v>39967</v>
      </c>
      <c r="I7758" t="s">
        <v>12</v>
      </c>
      <c r="J7758" t="s">
        <v>18528</v>
      </c>
    </row>
    <row r="7759" spans="1:10" x14ac:dyDescent="0.25">
      <c r="A7759">
        <v>3011075</v>
      </c>
      <c r="B7759" t="s">
        <v>8177</v>
      </c>
      <c r="C7759" t="str">
        <f>""</f>
        <v/>
      </c>
      <c r="D7759" t="str">
        <f>"9788189940393"</f>
        <v>9788189940393</v>
      </c>
      <c r="E7759" t="s">
        <v>8130</v>
      </c>
      <c r="F7759" t="s">
        <v>8130</v>
      </c>
      <c r="G7759" s="1">
        <v>39052</v>
      </c>
      <c r="H7759" s="1">
        <v>39963</v>
      </c>
      <c r="I7759" t="s">
        <v>12</v>
      </c>
      <c r="J7759" t="s">
        <v>18529</v>
      </c>
    </row>
    <row r="7760" spans="1:10" x14ac:dyDescent="0.25">
      <c r="A7760">
        <v>3011078</v>
      </c>
      <c r="B7760" t="s">
        <v>8178</v>
      </c>
      <c r="C7760" t="str">
        <f>""</f>
        <v/>
      </c>
      <c r="D7760" t="str">
        <f>"9788189940874"</f>
        <v>9788189940874</v>
      </c>
      <c r="E7760" t="s">
        <v>8130</v>
      </c>
      <c r="F7760" t="s">
        <v>8130</v>
      </c>
      <c r="G7760" s="1">
        <v>39052</v>
      </c>
      <c r="H7760" s="1">
        <v>39963</v>
      </c>
      <c r="I7760" t="s">
        <v>12</v>
      </c>
      <c r="J7760" t="s">
        <v>18530</v>
      </c>
    </row>
    <row r="7761" spans="1:10" x14ac:dyDescent="0.25">
      <c r="A7761">
        <v>3011089</v>
      </c>
      <c r="B7761" t="s">
        <v>8179</v>
      </c>
      <c r="C7761" t="str">
        <f>"9788184885606"</f>
        <v>9788184885606</v>
      </c>
      <c r="D7761" t="str">
        <f>"9789350432570"</f>
        <v>9789350432570</v>
      </c>
      <c r="E7761" t="s">
        <v>8130</v>
      </c>
      <c r="F7761" t="s">
        <v>6479</v>
      </c>
      <c r="G7761" s="1">
        <v>39783</v>
      </c>
      <c r="H7761" s="1">
        <v>40442</v>
      </c>
      <c r="I7761" t="s">
        <v>12</v>
      </c>
      <c r="J7761" t="s">
        <v>18531</v>
      </c>
    </row>
    <row r="7762" spans="1:10" x14ac:dyDescent="0.25">
      <c r="A7762">
        <v>3011093</v>
      </c>
      <c r="B7762" t="s">
        <v>8180</v>
      </c>
      <c r="C7762" t="str">
        <f>"9789350243794"</f>
        <v>9789350243794</v>
      </c>
      <c r="D7762" t="str">
        <f>"9789350431504"</f>
        <v>9789350431504</v>
      </c>
      <c r="E7762" t="s">
        <v>8130</v>
      </c>
      <c r="F7762" t="s">
        <v>6479</v>
      </c>
      <c r="G7762" s="1">
        <v>40148</v>
      </c>
      <c r="H7762" s="1">
        <v>40442</v>
      </c>
      <c r="I7762" t="s">
        <v>12</v>
      </c>
      <c r="J7762" t="s">
        <v>18532</v>
      </c>
    </row>
    <row r="7763" spans="1:10" x14ac:dyDescent="0.25">
      <c r="A7763">
        <v>3011098</v>
      </c>
      <c r="B7763" t="s">
        <v>8181</v>
      </c>
      <c r="C7763" t="str">
        <f>"9788183189767"</f>
        <v>9788183189767</v>
      </c>
      <c r="D7763" t="str">
        <f>"9789350432532"</f>
        <v>9789350432532</v>
      </c>
      <c r="E7763" t="s">
        <v>8130</v>
      </c>
      <c r="F7763" t="s">
        <v>6479</v>
      </c>
      <c r="G7763" s="1">
        <v>39783</v>
      </c>
      <c r="H7763" s="1">
        <v>40442</v>
      </c>
      <c r="I7763" t="s">
        <v>12</v>
      </c>
      <c r="J7763" t="s">
        <v>18533</v>
      </c>
    </row>
    <row r="7764" spans="1:10" x14ac:dyDescent="0.25">
      <c r="A7764">
        <v>3011099</v>
      </c>
      <c r="B7764" t="s">
        <v>8182</v>
      </c>
      <c r="C7764" t="str">
        <f>"9788183760003"</f>
        <v>9788183760003</v>
      </c>
      <c r="D7764" t="str">
        <f>"9781282802179"</f>
        <v>9781282802179</v>
      </c>
      <c r="E7764" t="s">
        <v>8130</v>
      </c>
      <c r="F7764" t="s">
        <v>6493</v>
      </c>
      <c r="G7764" s="1">
        <v>40148</v>
      </c>
      <c r="H7764" s="1">
        <v>40442</v>
      </c>
      <c r="I7764" t="s">
        <v>12</v>
      </c>
      <c r="J7764" t="s">
        <v>18534</v>
      </c>
    </row>
    <row r="7765" spans="1:10" x14ac:dyDescent="0.25">
      <c r="A7765">
        <v>3011114</v>
      </c>
      <c r="B7765" t="s">
        <v>8183</v>
      </c>
      <c r="C7765" t="str">
        <f>"9789350243329"</f>
        <v>9789350243329</v>
      </c>
      <c r="D7765" t="str">
        <f>"9789350431641"</f>
        <v>9789350431641</v>
      </c>
      <c r="E7765" t="s">
        <v>8130</v>
      </c>
      <c r="F7765" t="s">
        <v>6479</v>
      </c>
      <c r="G7765" s="1">
        <v>40148</v>
      </c>
      <c r="H7765" s="1">
        <v>40442</v>
      </c>
      <c r="I7765" t="s">
        <v>12</v>
      </c>
      <c r="J7765" t="s">
        <v>18535</v>
      </c>
    </row>
    <row r="7766" spans="1:10" x14ac:dyDescent="0.25">
      <c r="A7766">
        <v>3011119</v>
      </c>
      <c r="B7766" t="s">
        <v>8184</v>
      </c>
      <c r="C7766" t="str">
        <f>"9789350243336"</f>
        <v>9789350243336</v>
      </c>
      <c r="D7766" t="str">
        <f>"9789350432983"</f>
        <v>9789350432983</v>
      </c>
      <c r="E7766" t="s">
        <v>8130</v>
      </c>
      <c r="F7766" t="s">
        <v>6479</v>
      </c>
      <c r="G7766" s="1">
        <v>40148</v>
      </c>
      <c r="H7766" s="1">
        <v>40442</v>
      </c>
      <c r="I7766" t="s">
        <v>12</v>
      </c>
      <c r="J7766" t="s">
        <v>18536</v>
      </c>
    </row>
    <row r="7767" spans="1:10" x14ac:dyDescent="0.25">
      <c r="A7767">
        <v>3011156</v>
      </c>
      <c r="B7767" t="s">
        <v>8185</v>
      </c>
      <c r="C7767" t="str">
        <f>"9788184881639"</f>
        <v>9788184881639</v>
      </c>
      <c r="D7767" t="str">
        <f>"9781642875584"</f>
        <v>9781642875584</v>
      </c>
      <c r="E7767" t="s">
        <v>8130</v>
      </c>
      <c r="F7767" t="s">
        <v>6479</v>
      </c>
      <c r="G7767" s="1">
        <v>39417</v>
      </c>
      <c r="H7767" s="1">
        <v>40443</v>
      </c>
      <c r="I7767" t="s">
        <v>12</v>
      </c>
      <c r="J7767" t="s">
        <v>18537</v>
      </c>
    </row>
    <row r="7768" spans="1:10" x14ac:dyDescent="0.25">
      <c r="A7768">
        <v>3011183</v>
      </c>
      <c r="B7768" t="s">
        <v>8186</v>
      </c>
      <c r="C7768" t="str">
        <f>"9789350245019"</f>
        <v>9789350245019</v>
      </c>
      <c r="D7768" t="str">
        <f>"9789350432822"</f>
        <v>9789350432822</v>
      </c>
      <c r="E7768" t="s">
        <v>8130</v>
      </c>
      <c r="F7768" t="s">
        <v>6479</v>
      </c>
      <c r="G7768" s="1">
        <v>40148</v>
      </c>
      <c r="H7768" s="1">
        <v>40443</v>
      </c>
      <c r="I7768" t="s">
        <v>12</v>
      </c>
      <c r="J7768" t="s">
        <v>18538</v>
      </c>
    </row>
    <row r="7769" spans="1:10" x14ac:dyDescent="0.25">
      <c r="A7769">
        <v>3011184</v>
      </c>
      <c r="B7769" t="s">
        <v>8187</v>
      </c>
      <c r="C7769" t="str">
        <f>"9789350243480"</f>
        <v>9789350243480</v>
      </c>
      <c r="D7769" t="str">
        <f>""</f>
        <v/>
      </c>
      <c r="E7769" t="s">
        <v>8130</v>
      </c>
      <c r="F7769" t="s">
        <v>6479</v>
      </c>
      <c r="G7769" s="1">
        <v>40148</v>
      </c>
      <c r="H7769" s="1">
        <v>40443</v>
      </c>
      <c r="I7769" t="s">
        <v>12</v>
      </c>
      <c r="J7769" t="s">
        <v>18539</v>
      </c>
    </row>
    <row r="7770" spans="1:10" x14ac:dyDescent="0.25">
      <c r="A7770">
        <v>3011187</v>
      </c>
      <c r="B7770" t="s">
        <v>8188</v>
      </c>
      <c r="C7770" t="str">
        <f>"9789350245026"</f>
        <v>9789350245026</v>
      </c>
      <c r="D7770" t="str">
        <f>"9789350432648"</f>
        <v>9789350432648</v>
      </c>
      <c r="E7770" t="s">
        <v>8130</v>
      </c>
      <c r="F7770" t="s">
        <v>6479</v>
      </c>
      <c r="G7770" s="1">
        <v>40148</v>
      </c>
      <c r="H7770" s="1">
        <v>40443</v>
      </c>
      <c r="I7770" t="s">
        <v>12</v>
      </c>
      <c r="J7770" t="s">
        <v>18540</v>
      </c>
    </row>
    <row r="7771" spans="1:10" x14ac:dyDescent="0.25">
      <c r="A7771">
        <v>3011193</v>
      </c>
      <c r="B7771" t="s">
        <v>8189</v>
      </c>
      <c r="C7771" t="str">
        <f>"9789350245033"</f>
        <v>9789350245033</v>
      </c>
      <c r="D7771" t="str">
        <f>"9789350432662"</f>
        <v>9789350432662</v>
      </c>
      <c r="E7771" t="s">
        <v>8130</v>
      </c>
      <c r="F7771" t="s">
        <v>6479</v>
      </c>
      <c r="G7771" s="1">
        <v>40148</v>
      </c>
      <c r="H7771" s="1">
        <v>40443</v>
      </c>
      <c r="I7771" t="s">
        <v>12</v>
      </c>
      <c r="J7771" t="s">
        <v>18541</v>
      </c>
    </row>
    <row r="7772" spans="1:10" x14ac:dyDescent="0.25">
      <c r="A7772">
        <v>3011200</v>
      </c>
      <c r="B7772" t="s">
        <v>8190</v>
      </c>
      <c r="C7772" t="str">
        <f>"9789350245514"</f>
        <v>9789350245514</v>
      </c>
      <c r="D7772" t="str">
        <f>""</f>
        <v/>
      </c>
      <c r="E7772" t="s">
        <v>8130</v>
      </c>
      <c r="F7772" t="s">
        <v>6479</v>
      </c>
      <c r="G7772" s="1">
        <v>40148</v>
      </c>
      <c r="H7772" s="1">
        <v>40443</v>
      </c>
      <c r="I7772" t="s">
        <v>12</v>
      </c>
      <c r="J7772" t="s">
        <v>18542</v>
      </c>
    </row>
    <row r="7773" spans="1:10" x14ac:dyDescent="0.25">
      <c r="A7773">
        <v>3011203</v>
      </c>
      <c r="B7773" t="s">
        <v>8191</v>
      </c>
      <c r="C7773" t="str">
        <f>"9789350245040"</f>
        <v>9789350245040</v>
      </c>
      <c r="D7773" t="str">
        <f>""</f>
        <v/>
      </c>
      <c r="E7773" t="s">
        <v>8130</v>
      </c>
      <c r="F7773" t="s">
        <v>6479</v>
      </c>
      <c r="G7773" s="1">
        <v>40148</v>
      </c>
      <c r="H7773" s="1">
        <v>40443</v>
      </c>
      <c r="I7773" t="s">
        <v>12</v>
      </c>
      <c r="J7773" t="s">
        <v>18543</v>
      </c>
    </row>
    <row r="7774" spans="1:10" x14ac:dyDescent="0.25">
      <c r="A7774">
        <v>3011205</v>
      </c>
      <c r="B7774" t="s">
        <v>8192</v>
      </c>
      <c r="C7774" t="str">
        <f>"9789350243633"</f>
        <v>9789350243633</v>
      </c>
      <c r="D7774" t="str">
        <f>"9789350431559"</f>
        <v>9789350431559</v>
      </c>
      <c r="E7774" t="s">
        <v>8130</v>
      </c>
      <c r="F7774" t="s">
        <v>6479</v>
      </c>
      <c r="G7774" s="1">
        <v>40148</v>
      </c>
      <c r="H7774" s="1">
        <v>40443</v>
      </c>
      <c r="I7774" t="s">
        <v>12</v>
      </c>
      <c r="J7774" t="s">
        <v>18544</v>
      </c>
    </row>
    <row r="7775" spans="1:10" x14ac:dyDescent="0.25">
      <c r="A7775">
        <v>3011215</v>
      </c>
      <c r="B7775" t="s">
        <v>8193</v>
      </c>
      <c r="C7775" t="str">
        <f>"9788184882124"</f>
        <v>9788184882124</v>
      </c>
      <c r="D7775" t="str">
        <f>""</f>
        <v/>
      </c>
      <c r="E7775" t="s">
        <v>8130</v>
      </c>
      <c r="F7775" t="s">
        <v>6479</v>
      </c>
      <c r="G7775" s="1">
        <v>39783</v>
      </c>
      <c r="H7775" s="1">
        <v>40443</v>
      </c>
      <c r="I7775" t="s">
        <v>12</v>
      </c>
      <c r="J7775" t="s">
        <v>18545</v>
      </c>
    </row>
    <row r="7776" spans="1:10" x14ac:dyDescent="0.25">
      <c r="A7776">
        <v>3011224</v>
      </c>
      <c r="B7776" t="s">
        <v>8194</v>
      </c>
      <c r="C7776" t="str">
        <f>"9789350243510"</f>
        <v>9789350243510</v>
      </c>
      <c r="D7776" t="str">
        <f>"9789350432785"</f>
        <v>9789350432785</v>
      </c>
      <c r="E7776" t="s">
        <v>8130</v>
      </c>
      <c r="F7776" t="s">
        <v>6479</v>
      </c>
      <c r="G7776" s="1">
        <v>40148</v>
      </c>
      <c r="H7776" s="1">
        <v>40443</v>
      </c>
      <c r="I7776" t="s">
        <v>12</v>
      </c>
      <c r="J7776" t="s">
        <v>18546</v>
      </c>
    </row>
    <row r="7777" spans="1:10" x14ac:dyDescent="0.25">
      <c r="A7777">
        <v>3011225</v>
      </c>
      <c r="B7777" t="s">
        <v>8195</v>
      </c>
      <c r="C7777" t="str">
        <f>"9788178668512"</f>
        <v>9788178668512</v>
      </c>
      <c r="D7777" t="str">
        <f>"9781642875751"</f>
        <v>9781642875751</v>
      </c>
      <c r="E7777" t="s">
        <v>8130</v>
      </c>
      <c r="F7777" t="s">
        <v>6479</v>
      </c>
      <c r="G7777" s="1">
        <v>39783</v>
      </c>
      <c r="H7777" s="1">
        <v>40443</v>
      </c>
      <c r="I7777" t="s">
        <v>12</v>
      </c>
      <c r="J7777" t="s">
        <v>18547</v>
      </c>
    </row>
    <row r="7778" spans="1:10" x14ac:dyDescent="0.25">
      <c r="A7778">
        <v>3011229</v>
      </c>
      <c r="B7778" t="s">
        <v>8196</v>
      </c>
      <c r="C7778" t="str">
        <f>"9788184880724"</f>
        <v>9788184880724</v>
      </c>
      <c r="D7778" t="str">
        <f>"9789350432761"</f>
        <v>9789350432761</v>
      </c>
      <c r="E7778" t="s">
        <v>8130</v>
      </c>
      <c r="F7778" t="s">
        <v>6479</v>
      </c>
      <c r="G7778" s="1">
        <v>39417</v>
      </c>
      <c r="H7778" s="1">
        <v>40443</v>
      </c>
      <c r="I7778" t="s">
        <v>12</v>
      </c>
      <c r="J7778" t="s">
        <v>18548</v>
      </c>
    </row>
    <row r="7779" spans="1:10" x14ac:dyDescent="0.25">
      <c r="A7779">
        <v>3011230</v>
      </c>
      <c r="B7779" t="s">
        <v>8197</v>
      </c>
      <c r="C7779" t="str">
        <f>"9789350245293"</f>
        <v>9789350245293</v>
      </c>
      <c r="D7779" t="str">
        <f>""</f>
        <v/>
      </c>
      <c r="E7779" t="s">
        <v>8130</v>
      </c>
      <c r="F7779" t="s">
        <v>6479</v>
      </c>
      <c r="G7779" s="1">
        <v>40148</v>
      </c>
      <c r="H7779" s="1">
        <v>40443</v>
      </c>
      <c r="I7779" t="s">
        <v>12</v>
      </c>
      <c r="J7779" t="s">
        <v>18549</v>
      </c>
    </row>
    <row r="7780" spans="1:10" x14ac:dyDescent="0.25">
      <c r="A7780">
        <v>3011231</v>
      </c>
      <c r="B7780" t="s">
        <v>8198</v>
      </c>
      <c r="C7780" t="str">
        <f>"9788184882612"</f>
        <v>9788184882612</v>
      </c>
      <c r="D7780" t="str">
        <f>""</f>
        <v/>
      </c>
      <c r="E7780" t="s">
        <v>8130</v>
      </c>
      <c r="F7780" t="s">
        <v>6479</v>
      </c>
      <c r="G7780" s="1">
        <v>39783</v>
      </c>
      <c r="H7780" s="1">
        <v>40443</v>
      </c>
      <c r="I7780" t="s">
        <v>12</v>
      </c>
      <c r="J7780" t="s">
        <v>18550</v>
      </c>
    </row>
    <row r="7781" spans="1:10" x14ac:dyDescent="0.25">
      <c r="A7781">
        <v>3011232</v>
      </c>
      <c r="B7781" t="s">
        <v>8199</v>
      </c>
      <c r="C7781" t="str">
        <f>"9788178667829"</f>
        <v>9788178667829</v>
      </c>
      <c r="D7781" t="str">
        <f>"9781642875706"</f>
        <v>9781642875706</v>
      </c>
      <c r="E7781" t="s">
        <v>8130</v>
      </c>
      <c r="F7781" t="s">
        <v>6479</v>
      </c>
      <c r="G7781" s="1">
        <v>39783</v>
      </c>
      <c r="H7781" s="1">
        <v>40443</v>
      </c>
      <c r="I7781" t="s">
        <v>12</v>
      </c>
      <c r="J7781" t="s">
        <v>18551</v>
      </c>
    </row>
    <row r="7782" spans="1:10" x14ac:dyDescent="0.25">
      <c r="A7782">
        <v>3011244</v>
      </c>
      <c r="B7782" t="s">
        <v>8200</v>
      </c>
      <c r="C7782" t="str">
        <f>"9788183186575"</f>
        <v>9788183186575</v>
      </c>
      <c r="D7782" t="str">
        <f>"9781642876291"</f>
        <v>9781642876291</v>
      </c>
      <c r="E7782" t="s">
        <v>8130</v>
      </c>
      <c r="F7782" t="s">
        <v>6479</v>
      </c>
      <c r="G7782" s="1">
        <v>39783</v>
      </c>
      <c r="H7782" s="1">
        <v>40443</v>
      </c>
      <c r="I7782" t="s">
        <v>12</v>
      </c>
      <c r="J7782" t="s">
        <v>18552</v>
      </c>
    </row>
    <row r="7783" spans="1:10" x14ac:dyDescent="0.25">
      <c r="A7783">
        <v>3011246</v>
      </c>
      <c r="B7783" t="s">
        <v>8201</v>
      </c>
      <c r="C7783" t="str">
        <f>"9789350243749"</f>
        <v>9789350243749</v>
      </c>
      <c r="D7783" t="str">
        <f>"9789350431863"</f>
        <v>9789350431863</v>
      </c>
      <c r="E7783" t="s">
        <v>8130</v>
      </c>
      <c r="F7783" t="s">
        <v>6479</v>
      </c>
      <c r="G7783" s="1">
        <v>40148</v>
      </c>
      <c r="H7783" s="1">
        <v>40443</v>
      </c>
      <c r="I7783" t="s">
        <v>12</v>
      </c>
      <c r="J7783" t="s">
        <v>18553</v>
      </c>
    </row>
    <row r="7784" spans="1:10" x14ac:dyDescent="0.25">
      <c r="A7784">
        <v>3011251</v>
      </c>
      <c r="B7784" t="s">
        <v>8202</v>
      </c>
      <c r="C7784" t="str">
        <f>"9789350245163"</f>
        <v>9789350245163</v>
      </c>
      <c r="D7784" t="str">
        <f>"9789350431986"</f>
        <v>9789350431986</v>
      </c>
      <c r="E7784" t="s">
        <v>8130</v>
      </c>
      <c r="F7784" t="s">
        <v>6479</v>
      </c>
      <c r="G7784" s="1">
        <v>40148</v>
      </c>
      <c r="H7784" s="1">
        <v>40443</v>
      </c>
      <c r="I7784" t="s">
        <v>12</v>
      </c>
      <c r="J7784" t="s">
        <v>18554</v>
      </c>
    </row>
    <row r="7785" spans="1:10" x14ac:dyDescent="0.25">
      <c r="A7785">
        <v>3011258</v>
      </c>
      <c r="B7785" t="s">
        <v>8203</v>
      </c>
      <c r="C7785" t="str">
        <f>"9789350243275"</f>
        <v>9789350243275</v>
      </c>
      <c r="D7785" t="str">
        <f>"9789350431931"</f>
        <v>9789350431931</v>
      </c>
      <c r="E7785" t="s">
        <v>8130</v>
      </c>
      <c r="F7785" t="s">
        <v>6479</v>
      </c>
      <c r="G7785" s="1">
        <v>40148</v>
      </c>
      <c r="H7785" s="1">
        <v>40443</v>
      </c>
      <c r="I7785" t="s">
        <v>12</v>
      </c>
      <c r="J7785" t="s">
        <v>18555</v>
      </c>
    </row>
    <row r="7786" spans="1:10" x14ac:dyDescent="0.25">
      <c r="A7786">
        <v>3011270</v>
      </c>
      <c r="B7786" t="s">
        <v>8204</v>
      </c>
      <c r="C7786" t="str">
        <f>"9789350243770"</f>
        <v>9789350243770</v>
      </c>
      <c r="D7786" t="str">
        <f>"9789350431627"</f>
        <v>9789350431627</v>
      </c>
      <c r="E7786" t="s">
        <v>8130</v>
      </c>
      <c r="F7786" t="s">
        <v>6479</v>
      </c>
      <c r="G7786" s="1">
        <v>40148</v>
      </c>
      <c r="H7786" s="1">
        <v>40445</v>
      </c>
      <c r="I7786" t="s">
        <v>12</v>
      </c>
      <c r="J7786" t="s">
        <v>18556</v>
      </c>
    </row>
    <row r="7787" spans="1:10" x14ac:dyDescent="0.25">
      <c r="A7787">
        <v>3011274</v>
      </c>
      <c r="B7787" t="s">
        <v>8205</v>
      </c>
      <c r="C7787" t="str">
        <f>"9789350243428"</f>
        <v>9789350243428</v>
      </c>
      <c r="D7787" t="str">
        <f>"9789350432136"</f>
        <v>9789350432136</v>
      </c>
      <c r="E7787" t="s">
        <v>8130</v>
      </c>
      <c r="F7787" t="s">
        <v>6479</v>
      </c>
      <c r="G7787" s="1">
        <v>40148</v>
      </c>
      <c r="H7787" s="1">
        <v>40445</v>
      </c>
      <c r="I7787" t="s">
        <v>12</v>
      </c>
      <c r="J7787" t="s">
        <v>18557</v>
      </c>
    </row>
    <row r="7788" spans="1:10" x14ac:dyDescent="0.25">
      <c r="A7788">
        <v>3011287</v>
      </c>
      <c r="B7788" t="s">
        <v>8206</v>
      </c>
      <c r="C7788" t="str">
        <f>"9788183181761"</f>
        <v>9788183181761</v>
      </c>
      <c r="D7788" t="str">
        <f>"9781642876307"</f>
        <v>9781642876307</v>
      </c>
      <c r="E7788" t="s">
        <v>8130</v>
      </c>
      <c r="F7788" t="s">
        <v>6479</v>
      </c>
      <c r="G7788" s="1">
        <v>39417</v>
      </c>
      <c r="H7788" s="1">
        <v>40443</v>
      </c>
      <c r="I7788" t="s">
        <v>12</v>
      </c>
      <c r="J7788" t="s">
        <v>18558</v>
      </c>
    </row>
    <row r="7789" spans="1:10" x14ac:dyDescent="0.25">
      <c r="A7789">
        <v>3011288</v>
      </c>
      <c r="B7789" t="s">
        <v>8207</v>
      </c>
      <c r="C7789" t="str">
        <f>"9788178666556"</f>
        <v>9788178666556</v>
      </c>
      <c r="D7789" t="str">
        <f>"9781642875607"</f>
        <v>9781642875607</v>
      </c>
      <c r="E7789" t="s">
        <v>8130</v>
      </c>
      <c r="F7789" t="s">
        <v>6479</v>
      </c>
      <c r="G7789" s="1">
        <v>40148</v>
      </c>
      <c r="H7789" s="1">
        <v>40443</v>
      </c>
      <c r="I7789" t="s">
        <v>12</v>
      </c>
      <c r="J7789" t="s">
        <v>18559</v>
      </c>
    </row>
    <row r="7790" spans="1:10" x14ac:dyDescent="0.25">
      <c r="A7790">
        <v>3011294</v>
      </c>
      <c r="B7790" t="s">
        <v>8208</v>
      </c>
      <c r="C7790" t="str">
        <f>"9788184885835"</f>
        <v>9788184885835</v>
      </c>
      <c r="D7790" t="str">
        <f>""</f>
        <v/>
      </c>
      <c r="E7790" t="s">
        <v>8130</v>
      </c>
      <c r="F7790" t="s">
        <v>6479</v>
      </c>
      <c r="G7790" s="1">
        <v>39783</v>
      </c>
      <c r="H7790" s="1">
        <v>40443</v>
      </c>
      <c r="I7790" t="s">
        <v>12</v>
      </c>
      <c r="J7790" t="s">
        <v>18560</v>
      </c>
    </row>
    <row r="7791" spans="1:10" x14ac:dyDescent="0.25">
      <c r="A7791">
        <v>3011298</v>
      </c>
      <c r="B7791" t="s">
        <v>8209</v>
      </c>
      <c r="C7791" t="str">
        <f>"9789350245200"</f>
        <v>9789350245200</v>
      </c>
      <c r="D7791" t="str">
        <f>"9789350432280"</f>
        <v>9789350432280</v>
      </c>
      <c r="E7791" t="s">
        <v>8130</v>
      </c>
      <c r="F7791" t="s">
        <v>6479</v>
      </c>
      <c r="G7791" s="1">
        <v>40148</v>
      </c>
      <c r="H7791" s="1">
        <v>40443</v>
      </c>
      <c r="I7791" t="s">
        <v>12</v>
      </c>
      <c r="J7791" t="s">
        <v>18561</v>
      </c>
    </row>
    <row r="7792" spans="1:10" x14ac:dyDescent="0.25">
      <c r="A7792">
        <v>3011304</v>
      </c>
      <c r="B7792" t="s">
        <v>8210</v>
      </c>
      <c r="C7792" t="str">
        <f>"9788183189910"</f>
        <v>9788183189910</v>
      </c>
      <c r="D7792" t="str">
        <f>""</f>
        <v/>
      </c>
      <c r="E7792" t="s">
        <v>8130</v>
      </c>
      <c r="F7792" t="s">
        <v>6479</v>
      </c>
      <c r="G7792" s="1">
        <v>39783</v>
      </c>
      <c r="H7792" s="1">
        <v>40443</v>
      </c>
      <c r="I7792" t="s">
        <v>12</v>
      </c>
      <c r="J7792" t="s">
        <v>18562</v>
      </c>
    </row>
    <row r="7793" spans="1:10" x14ac:dyDescent="0.25">
      <c r="A7793">
        <v>3011307</v>
      </c>
      <c r="B7793" t="s">
        <v>8211</v>
      </c>
      <c r="C7793" t="str">
        <f>"9788184881585"</f>
        <v>9788184881585</v>
      </c>
      <c r="D7793" t="str">
        <f>""</f>
        <v/>
      </c>
      <c r="E7793" t="s">
        <v>8130</v>
      </c>
      <c r="F7793" t="s">
        <v>6479</v>
      </c>
      <c r="G7793" s="1">
        <v>39783</v>
      </c>
      <c r="H7793" s="1">
        <v>40445</v>
      </c>
      <c r="I7793" t="s">
        <v>12</v>
      </c>
      <c r="J7793" t="s">
        <v>18563</v>
      </c>
    </row>
    <row r="7794" spans="1:10" x14ac:dyDescent="0.25">
      <c r="A7794">
        <v>3011310</v>
      </c>
      <c r="B7794" t="s">
        <v>8204</v>
      </c>
      <c r="C7794" t="str">
        <f>"9789350243688"</f>
        <v>9789350243688</v>
      </c>
      <c r="D7794" t="str">
        <f>"9789350431795"</f>
        <v>9789350431795</v>
      </c>
      <c r="E7794" t="s">
        <v>8130</v>
      </c>
      <c r="F7794" t="s">
        <v>6479</v>
      </c>
      <c r="G7794" s="1">
        <v>40148</v>
      </c>
      <c r="H7794" s="1">
        <v>40443</v>
      </c>
      <c r="I7794" t="s">
        <v>12</v>
      </c>
      <c r="J7794" t="s">
        <v>18564</v>
      </c>
    </row>
    <row r="7795" spans="1:10" x14ac:dyDescent="0.25">
      <c r="A7795">
        <v>3011311</v>
      </c>
      <c r="B7795" t="s">
        <v>8212</v>
      </c>
      <c r="C7795" t="str">
        <f>"9789350243800"</f>
        <v>9789350243800</v>
      </c>
      <c r="D7795" t="str">
        <f>"9789350431887"</f>
        <v>9789350431887</v>
      </c>
      <c r="E7795" t="s">
        <v>8130</v>
      </c>
      <c r="F7795" t="s">
        <v>6479</v>
      </c>
      <c r="G7795" s="1">
        <v>40148</v>
      </c>
      <c r="H7795" s="1">
        <v>40443</v>
      </c>
      <c r="I7795" t="s">
        <v>12</v>
      </c>
      <c r="J7795" t="s">
        <v>18565</v>
      </c>
    </row>
    <row r="7796" spans="1:10" x14ac:dyDescent="0.25">
      <c r="A7796">
        <v>3011313</v>
      </c>
      <c r="B7796" t="s">
        <v>8213</v>
      </c>
      <c r="C7796" t="str">
        <f>"9788183180948"</f>
        <v>9788183180948</v>
      </c>
      <c r="D7796" t="str">
        <f>"9789350434819"</f>
        <v>9789350434819</v>
      </c>
      <c r="E7796" t="s">
        <v>8130</v>
      </c>
      <c r="F7796" t="s">
        <v>6479</v>
      </c>
      <c r="G7796" s="1">
        <v>39417</v>
      </c>
      <c r="H7796" s="1">
        <v>40443</v>
      </c>
      <c r="I7796" t="s">
        <v>12</v>
      </c>
      <c r="J7796" t="s">
        <v>18566</v>
      </c>
    </row>
    <row r="7797" spans="1:10" x14ac:dyDescent="0.25">
      <c r="A7797">
        <v>3011323</v>
      </c>
      <c r="B7797" t="s">
        <v>8214</v>
      </c>
      <c r="C7797" t="str">
        <f>"9789350245439"</f>
        <v>9789350245439</v>
      </c>
      <c r="D7797" t="str">
        <f>"9781642875683"</f>
        <v>9781642875683</v>
      </c>
      <c r="E7797" t="s">
        <v>8130</v>
      </c>
      <c r="F7797" t="s">
        <v>6479</v>
      </c>
      <c r="G7797" s="1">
        <v>40148</v>
      </c>
      <c r="H7797" s="1">
        <v>40443</v>
      </c>
      <c r="I7797" t="s">
        <v>12</v>
      </c>
      <c r="J7797" t="s">
        <v>18567</v>
      </c>
    </row>
    <row r="7798" spans="1:10" x14ac:dyDescent="0.25">
      <c r="A7798">
        <v>3011331</v>
      </c>
      <c r="B7798" t="s">
        <v>8204</v>
      </c>
      <c r="C7798" t="str">
        <f>"9788184883008"</f>
        <v>9788184883008</v>
      </c>
      <c r="D7798" t="str">
        <f>"9781642876048"</f>
        <v>9781642876048</v>
      </c>
      <c r="E7798" t="s">
        <v>8130</v>
      </c>
      <c r="F7798" t="s">
        <v>6479</v>
      </c>
      <c r="G7798" s="1">
        <v>39783</v>
      </c>
      <c r="H7798" s="1">
        <v>40443</v>
      </c>
      <c r="I7798" t="s">
        <v>12</v>
      </c>
      <c r="J7798" t="s">
        <v>18568</v>
      </c>
    </row>
    <row r="7799" spans="1:10" x14ac:dyDescent="0.25">
      <c r="A7799">
        <v>3011333</v>
      </c>
      <c r="B7799" t="s">
        <v>8215</v>
      </c>
      <c r="C7799" t="str">
        <f>"9789350243565"</f>
        <v>9789350243565</v>
      </c>
      <c r="D7799" t="str">
        <f>"9781642876093"</f>
        <v>9781642876093</v>
      </c>
      <c r="E7799" t="s">
        <v>8130</v>
      </c>
      <c r="F7799" t="s">
        <v>6479</v>
      </c>
      <c r="G7799" s="1">
        <v>40148</v>
      </c>
      <c r="H7799" s="1">
        <v>40443</v>
      </c>
      <c r="I7799" t="s">
        <v>12</v>
      </c>
      <c r="J7799" t="s">
        <v>18569</v>
      </c>
    </row>
    <row r="7800" spans="1:10" x14ac:dyDescent="0.25">
      <c r="A7800">
        <v>3011344</v>
      </c>
      <c r="B7800" t="s">
        <v>8216</v>
      </c>
      <c r="C7800" t="str">
        <f>"9789350242513"</f>
        <v>9789350242513</v>
      </c>
      <c r="D7800" t="str">
        <f>"9789350432860"</f>
        <v>9789350432860</v>
      </c>
      <c r="E7800" t="s">
        <v>8130</v>
      </c>
      <c r="F7800" t="s">
        <v>6479</v>
      </c>
      <c r="G7800" s="1">
        <v>40148</v>
      </c>
      <c r="H7800" s="1">
        <v>40443</v>
      </c>
      <c r="I7800" t="s">
        <v>12</v>
      </c>
      <c r="J7800" t="s">
        <v>18570</v>
      </c>
    </row>
    <row r="7801" spans="1:10" x14ac:dyDescent="0.25">
      <c r="A7801">
        <v>3011347</v>
      </c>
      <c r="B7801" t="s">
        <v>8217</v>
      </c>
      <c r="C7801" t="str">
        <f>"9789350243435"</f>
        <v>9789350243435</v>
      </c>
      <c r="D7801" t="str">
        <f>"9789350432181"</f>
        <v>9789350432181</v>
      </c>
      <c r="E7801" t="s">
        <v>8130</v>
      </c>
      <c r="F7801" t="s">
        <v>6479</v>
      </c>
      <c r="G7801" s="1">
        <v>40148</v>
      </c>
      <c r="H7801" s="1">
        <v>40443</v>
      </c>
      <c r="I7801" t="s">
        <v>12</v>
      </c>
      <c r="J7801" t="s">
        <v>18571</v>
      </c>
    </row>
    <row r="7802" spans="1:10" x14ac:dyDescent="0.25">
      <c r="A7802">
        <v>3011348</v>
      </c>
      <c r="B7802" t="s">
        <v>8218</v>
      </c>
      <c r="C7802" t="str">
        <f>"9789350245323"</f>
        <v>9789350245323</v>
      </c>
      <c r="D7802" t="str">
        <f>"9781642875997"</f>
        <v>9781642875997</v>
      </c>
      <c r="E7802" t="s">
        <v>8130</v>
      </c>
      <c r="F7802" t="s">
        <v>6479</v>
      </c>
      <c r="G7802" s="1">
        <v>40148</v>
      </c>
      <c r="H7802" s="1">
        <v>40443</v>
      </c>
      <c r="I7802" t="s">
        <v>12</v>
      </c>
      <c r="J7802" t="s">
        <v>18572</v>
      </c>
    </row>
    <row r="7803" spans="1:10" x14ac:dyDescent="0.25">
      <c r="A7803">
        <v>3011360</v>
      </c>
      <c r="B7803" t="s">
        <v>8219</v>
      </c>
      <c r="C7803" t="str">
        <f>"9789350243237"</f>
        <v>9789350243237</v>
      </c>
      <c r="D7803" t="str">
        <f>""</f>
        <v/>
      </c>
      <c r="E7803" t="s">
        <v>8130</v>
      </c>
      <c r="F7803" t="s">
        <v>6479</v>
      </c>
      <c r="G7803" s="1">
        <v>40148</v>
      </c>
      <c r="H7803" s="1">
        <v>40443</v>
      </c>
      <c r="I7803" t="s">
        <v>12</v>
      </c>
      <c r="J7803" t="s">
        <v>18573</v>
      </c>
    </row>
    <row r="7804" spans="1:10" x14ac:dyDescent="0.25">
      <c r="A7804">
        <v>3011370</v>
      </c>
      <c r="B7804" t="s">
        <v>8220</v>
      </c>
      <c r="C7804" t="str">
        <f>"9789350243930"</f>
        <v>9789350243930</v>
      </c>
      <c r="D7804" t="str">
        <f>"9781642876321"</f>
        <v>9781642876321</v>
      </c>
      <c r="E7804" t="s">
        <v>8130</v>
      </c>
      <c r="F7804" t="s">
        <v>6479</v>
      </c>
      <c r="G7804" s="1">
        <v>40148</v>
      </c>
      <c r="H7804" s="1">
        <v>40443</v>
      </c>
      <c r="I7804" t="s">
        <v>12</v>
      </c>
      <c r="J7804" t="s">
        <v>18574</v>
      </c>
    </row>
    <row r="7805" spans="1:10" x14ac:dyDescent="0.25">
      <c r="A7805">
        <v>3011379</v>
      </c>
      <c r="B7805" t="s">
        <v>8221</v>
      </c>
      <c r="C7805" t="str">
        <f>"9789350243114"</f>
        <v>9789350243114</v>
      </c>
      <c r="D7805" t="str">
        <f>""</f>
        <v/>
      </c>
      <c r="E7805" t="s">
        <v>8130</v>
      </c>
      <c r="F7805" t="s">
        <v>6479</v>
      </c>
      <c r="G7805" s="1">
        <v>40148</v>
      </c>
      <c r="H7805" s="1">
        <v>40443</v>
      </c>
      <c r="I7805" t="s">
        <v>12</v>
      </c>
      <c r="J7805" t="s">
        <v>18575</v>
      </c>
    </row>
    <row r="7806" spans="1:10" x14ac:dyDescent="0.25">
      <c r="A7806">
        <v>3011386</v>
      </c>
      <c r="B7806" t="s">
        <v>8222</v>
      </c>
      <c r="C7806" t="str">
        <f>"9789350243121"</f>
        <v>9789350243121</v>
      </c>
      <c r="D7806" t="str">
        <f>"9789350431511"</f>
        <v>9789350431511</v>
      </c>
      <c r="E7806" t="s">
        <v>8130</v>
      </c>
      <c r="F7806" t="s">
        <v>6479</v>
      </c>
      <c r="G7806" s="1">
        <v>40148</v>
      </c>
      <c r="H7806" s="1">
        <v>40443</v>
      </c>
      <c r="I7806" t="s">
        <v>12</v>
      </c>
      <c r="J7806" t="s">
        <v>18576</v>
      </c>
    </row>
    <row r="7807" spans="1:10" x14ac:dyDescent="0.25">
      <c r="A7807">
        <v>3011392</v>
      </c>
      <c r="B7807" t="s">
        <v>8223</v>
      </c>
      <c r="C7807" t="str">
        <f>"9788183188760"</f>
        <v>9788183188760</v>
      </c>
      <c r="D7807" t="str">
        <f>"9781642876031"</f>
        <v>9781642876031</v>
      </c>
      <c r="E7807" t="s">
        <v>8130</v>
      </c>
      <c r="F7807" t="s">
        <v>6479</v>
      </c>
      <c r="G7807" s="1">
        <v>40148</v>
      </c>
      <c r="H7807" s="1">
        <v>40443</v>
      </c>
      <c r="I7807" t="s">
        <v>12</v>
      </c>
      <c r="J7807" t="s">
        <v>18577</v>
      </c>
    </row>
    <row r="7808" spans="1:10" x14ac:dyDescent="0.25">
      <c r="A7808">
        <v>3011394</v>
      </c>
      <c r="B7808" t="s">
        <v>8224</v>
      </c>
      <c r="C7808" t="str">
        <f>"9789350243367"</f>
        <v>9789350243367</v>
      </c>
      <c r="D7808" t="str">
        <f>""</f>
        <v/>
      </c>
      <c r="E7808" t="s">
        <v>8130</v>
      </c>
      <c r="F7808" t="s">
        <v>6479</v>
      </c>
      <c r="G7808" s="1">
        <v>40148</v>
      </c>
      <c r="H7808" s="1">
        <v>40443</v>
      </c>
      <c r="I7808" t="s">
        <v>12</v>
      </c>
      <c r="J7808" t="s">
        <v>18578</v>
      </c>
    </row>
    <row r="7809" spans="1:10" x14ac:dyDescent="0.25">
      <c r="A7809">
        <v>3011398</v>
      </c>
      <c r="B7809" t="s">
        <v>8225</v>
      </c>
      <c r="C7809" t="str">
        <f>"9788178667454"</f>
        <v>9788178667454</v>
      </c>
      <c r="D7809" t="str">
        <f>"9789350435243"</f>
        <v>9789350435243</v>
      </c>
      <c r="E7809" t="s">
        <v>8130</v>
      </c>
      <c r="F7809" t="s">
        <v>6479</v>
      </c>
      <c r="G7809" s="1">
        <v>39783</v>
      </c>
      <c r="H7809" s="1">
        <v>40443</v>
      </c>
      <c r="I7809" t="s">
        <v>12</v>
      </c>
      <c r="J7809" t="s">
        <v>18579</v>
      </c>
    </row>
    <row r="7810" spans="1:10" x14ac:dyDescent="0.25">
      <c r="A7810">
        <v>3011399</v>
      </c>
      <c r="B7810" t="s">
        <v>8226</v>
      </c>
      <c r="C7810" t="str">
        <f>"9789350243848"</f>
        <v>9789350243848</v>
      </c>
      <c r="D7810" t="str">
        <f>"9781642875799"</f>
        <v>9781642875799</v>
      </c>
      <c r="E7810" t="s">
        <v>8130</v>
      </c>
      <c r="F7810" t="s">
        <v>6479</v>
      </c>
      <c r="G7810" s="1">
        <v>40148</v>
      </c>
      <c r="H7810" s="1">
        <v>40443</v>
      </c>
      <c r="I7810" t="s">
        <v>12</v>
      </c>
      <c r="J7810" t="s">
        <v>18580</v>
      </c>
    </row>
    <row r="7811" spans="1:10" x14ac:dyDescent="0.25">
      <c r="A7811">
        <v>3011413</v>
      </c>
      <c r="B7811" t="s">
        <v>8227</v>
      </c>
      <c r="C7811" t="str">
        <f>"9789350243381"</f>
        <v>9789350243381</v>
      </c>
      <c r="D7811" t="str">
        <f>"9789350432518"</f>
        <v>9789350432518</v>
      </c>
      <c r="E7811" t="s">
        <v>8130</v>
      </c>
      <c r="F7811" t="s">
        <v>6479</v>
      </c>
      <c r="G7811" s="1">
        <v>40148</v>
      </c>
      <c r="H7811" s="1">
        <v>40443</v>
      </c>
      <c r="I7811" t="s">
        <v>12</v>
      </c>
      <c r="J7811" t="s">
        <v>18581</v>
      </c>
    </row>
    <row r="7812" spans="1:10" x14ac:dyDescent="0.25">
      <c r="A7812">
        <v>3011417</v>
      </c>
      <c r="B7812" t="s">
        <v>8228</v>
      </c>
      <c r="C7812" t="str">
        <f>"9789350243862"</f>
        <v>9789350243862</v>
      </c>
      <c r="D7812" t="str">
        <f>"9789350432808"</f>
        <v>9789350432808</v>
      </c>
      <c r="E7812" t="s">
        <v>8130</v>
      </c>
      <c r="F7812" t="s">
        <v>6479</v>
      </c>
      <c r="G7812" s="1">
        <v>40148</v>
      </c>
      <c r="H7812" s="1">
        <v>40443</v>
      </c>
      <c r="I7812" t="s">
        <v>12</v>
      </c>
      <c r="J7812" t="s">
        <v>18582</v>
      </c>
    </row>
    <row r="7813" spans="1:10" x14ac:dyDescent="0.25">
      <c r="A7813">
        <v>3011431</v>
      </c>
      <c r="B7813" t="s">
        <v>8229</v>
      </c>
      <c r="C7813" t="str">
        <f>"9789350243251"</f>
        <v>9789350243251</v>
      </c>
      <c r="D7813" t="str">
        <f>"9789350432488"</f>
        <v>9789350432488</v>
      </c>
      <c r="E7813" t="s">
        <v>8130</v>
      </c>
      <c r="F7813" t="s">
        <v>6479</v>
      </c>
      <c r="G7813" s="1">
        <v>40148</v>
      </c>
      <c r="H7813" s="1">
        <v>40443</v>
      </c>
      <c r="I7813" t="s">
        <v>12</v>
      </c>
      <c r="J7813" t="s">
        <v>18583</v>
      </c>
    </row>
    <row r="7814" spans="1:10" x14ac:dyDescent="0.25">
      <c r="A7814">
        <v>3011446</v>
      </c>
      <c r="B7814" t="s">
        <v>8230</v>
      </c>
      <c r="C7814" t="str">
        <f>"9789350245392"</f>
        <v>9789350245392</v>
      </c>
      <c r="D7814" t="str">
        <f>""</f>
        <v/>
      </c>
      <c r="E7814" t="s">
        <v>8130</v>
      </c>
      <c r="F7814" t="s">
        <v>6479</v>
      </c>
      <c r="G7814" s="1">
        <v>40148</v>
      </c>
      <c r="H7814" s="1">
        <v>40443</v>
      </c>
      <c r="I7814" t="s">
        <v>12</v>
      </c>
      <c r="J7814" t="s">
        <v>18584</v>
      </c>
    </row>
    <row r="7815" spans="1:10" x14ac:dyDescent="0.25">
      <c r="A7815">
        <v>3011454</v>
      </c>
      <c r="B7815" t="s">
        <v>8231</v>
      </c>
      <c r="C7815" t="str">
        <f>"9789350245057"</f>
        <v>9789350245057</v>
      </c>
      <c r="D7815" t="str">
        <f>"9789350431542"</f>
        <v>9789350431542</v>
      </c>
      <c r="E7815" t="s">
        <v>8130</v>
      </c>
      <c r="F7815" t="s">
        <v>6479</v>
      </c>
      <c r="G7815" s="1">
        <v>40148</v>
      </c>
      <c r="H7815" s="1">
        <v>40443</v>
      </c>
      <c r="I7815" t="s">
        <v>12</v>
      </c>
      <c r="J7815" t="s">
        <v>18585</v>
      </c>
    </row>
    <row r="7816" spans="1:10" x14ac:dyDescent="0.25">
      <c r="A7816">
        <v>3011460</v>
      </c>
      <c r="B7816" t="s">
        <v>8232</v>
      </c>
      <c r="C7816" t="str">
        <f>"9789350245064"</f>
        <v>9789350245064</v>
      </c>
      <c r="D7816" t="str">
        <f>"9789350431603"</f>
        <v>9789350431603</v>
      </c>
      <c r="E7816" t="s">
        <v>8130</v>
      </c>
      <c r="F7816" t="s">
        <v>6479</v>
      </c>
      <c r="G7816" s="1">
        <v>40148</v>
      </c>
      <c r="H7816" s="1">
        <v>40443</v>
      </c>
      <c r="I7816" t="s">
        <v>12</v>
      </c>
      <c r="J7816" t="s">
        <v>18586</v>
      </c>
    </row>
    <row r="7817" spans="1:10" x14ac:dyDescent="0.25">
      <c r="A7817">
        <v>3011473</v>
      </c>
      <c r="B7817" t="s">
        <v>8233</v>
      </c>
      <c r="C7817" t="str">
        <f>"9788178001821"</f>
        <v>9788178001821</v>
      </c>
      <c r="D7817" t="str">
        <f>"9781282798847"</f>
        <v>9781282798847</v>
      </c>
      <c r="E7817" t="s">
        <v>8130</v>
      </c>
      <c r="F7817" t="s">
        <v>6501</v>
      </c>
      <c r="G7817" s="1">
        <v>39783</v>
      </c>
      <c r="H7817" s="1">
        <v>40443</v>
      </c>
      <c r="I7817" t="s">
        <v>12</v>
      </c>
      <c r="J7817" t="s">
        <v>18587</v>
      </c>
    </row>
    <row r="7818" spans="1:10" x14ac:dyDescent="0.25">
      <c r="A7818">
        <v>3011479</v>
      </c>
      <c r="B7818" t="s">
        <v>8234</v>
      </c>
      <c r="C7818" t="str">
        <f>"9789350243190"</f>
        <v>9789350243190</v>
      </c>
      <c r="D7818" t="str">
        <f>"9789350432464"</f>
        <v>9789350432464</v>
      </c>
      <c r="E7818" t="s">
        <v>8130</v>
      </c>
      <c r="F7818" t="s">
        <v>6479</v>
      </c>
      <c r="G7818" s="1">
        <v>40148</v>
      </c>
      <c r="H7818" s="1">
        <v>40443</v>
      </c>
      <c r="I7818" t="s">
        <v>12</v>
      </c>
      <c r="J7818" t="s">
        <v>18588</v>
      </c>
    </row>
    <row r="7819" spans="1:10" x14ac:dyDescent="0.25">
      <c r="A7819">
        <v>3011481</v>
      </c>
      <c r="B7819" t="s">
        <v>8235</v>
      </c>
      <c r="C7819" t="str">
        <f>"9789350245415"</f>
        <v>9789350245415</v>
      </c>
      <c r="D7819" t="str">
        <f>"9781642876109"</f>
        <v>9781642876109</v>
      </c>
      <c r="E7819" t="s">
        <v>8130</v>
      </c>
      <c r="F7819" t="s">
        <v>6479</v>
      </c>
      <c r="G7819" s="1">
        <v>40148</v>
      </c>
      <c r="H7819" s="1">
        <v>40443</v>
      </c>
      <c r="I7819" t="s">
        <v>12</v>
      </c>
      <c r="J7819" t="s">
        <v>18589</v>
      </c>
    </row>
    <row r="7820" spans="1:10" x14ac:dyDescent="0.25">
      <c r="A7820">
        <v>3011491</v>
      </c>
      <c r="B7820" t="s">
        <v>8236</v>
      </c>
      <c r="C7820" t="str">
        <f>"9789350243053"</f>
        <v>9789350243053</v>
      </c>
      <c r="D7820" t="str">
        <f>"9789350432792"</f>
        <v>9789350432792</v>
      </c>
      <c r="E7820" t="s">
        <v>8130</v>
      </c>
      <c r="F7820" t="s">
        <v>6479</v>
      </c>
      <c r="G7820" s="1">
        <v>40148</v>
      </c>
      <c r="H7820" s="1">
        <v>40443</v>
      </c>
      <c r="I7820" t="s">
        <v>12</v>
      </c>
      <c r="J7820" t="s">
        <v>18590</v>
      </c>
    </row>
    <row r="7821" spans="1:10" x14ac:dyDescent="0.25">
      <c r="A7821">
        <v>3011503</v>
      </c>
      <c r="B7821" t="s">
        <v>8237</v>
      </c>
      <c r="C7821" t="str">
        <f>""</f>
        <v/>
      </c>
      <c r="D7821" t="str">
        <f>"9788184885118"</f>
        <v>9788184885118</v>
      </c>
      <c r="E7821" t="s">
        <v>8130</v>
      </c>
      <c r="F7821" t="s">
        <v>6479</v>
      </c>
      <c r="G7821" s="1">
        <v>40148</v>
      </c>
      <c r="H7821" s="1">
        <v>40443</v>
      </c>
      <c r="I7821" t="s">
        <v>12</v>
      </c>
      <c r="J7821" t="s">
        <v>18591</v>
      </c>
    </row>
    <row r="7822" spans="1:10" x14ac:dyDescent="0.25">
      <c r="A7822">
        <v>3011509</v>
      </c>
      <c r="B7822" t="s">
        <v>8238</v>
      </c>
      <c r="C7822" t="str">
        <f>"9789350245194"</f>
        <v>9789350245194</v>
      </c>
      <c r="D7822" t="str">
        <f>"9789350431474"</f>
        <v>9789350431474</v>
      </c>
      <c r="E7822" t="s">
        <v>8130</v>
      </c>
      <c r="F7822" t="s">
        <v>6479</v>
      </c>
      <c r="G7822" s="1">
        <v>40148</v>
      </c>
      <c r="H7822" s="1">
        <v>40443</v>
      </c>
      <c r="I7822" t="s">
        <v>12</v>
      </c>
      <c r="J7822" t="s">
        <v>18592</v>
      </c>
    </row>
    <row r="7823" spans="1:10" x14ac:dyDescent="0.25">
      <c r="A7823">
        <v>3011601</v>
      </c>
      <c r="B7823" t="s">
        <v>8239</v>
      </c>
      <c r="C7823" t="str">
        <f>"9781593852108"</f>
        <v>9781593852108</v>
      </c>
      <c r="D7823" t="str">
        <f>"9781593856946"</f>
        <v>9781593856946</v>
      </c>
      <c r="E7823" t="s">
        <v>3740</v>
      </c>
      <c r="F7823" t="s">
        <v>3741</v>
      </c>
      <c r="G7823" s="1">
        <v>41787</v>
      </c>
      <c r="H7823" s="1">
        <v>39528</v>
      </c>
      <c r="I7823" t="s">
        <v>12</v>
      </c>
      <c r="J7823" t="s">
        <v>18593</v>
      </c>
    </row>
    <row r="7824" spans="1:10" x14ac:dyDescent="0.25">
      <c r="A7824">
        <v>3012051</v>
      </c>
      <c r="B7824" t="s">
        <v>8240</v>
      </c>
      <c r="C7824" t="str">
        <f>"9781556508967"</f>
        <v>9781556508967</v>
      </c>
      <c r="D7824" t="str">
        <f>"9781588430137"</f>
        <v>9781588430137</v>
      </c>
      <c r="E7824" t="s">
        <v>8241</v>
      </c>
      <c r="F7824" t="s">
        <v>11</v>
      </c>
      <c r="G7824" s="1">
        <v>36586</v>
      </c>
      <c r="H7824" s="1">
        <v>37622</v>
      </c>
      <c r="I7824" t="s">
        <v>12</v>
      </c>
      <c r="J7824" t="s">
        <v>18594</v>
      </c>
    </row>
    <row r="7825" spans="1:10" x14ac:dyDescent="0.25">
      <c r="A7825">
        <v>3015691</v>
      </c>
      <c r="B7825" t="s">
        <v>8242</v>
      </c>
      <c r="C7825" t="str">
        <f>"9781904905011"</f>
        <v>9781904905011</v>
      </c>
      <c r="D7825" t="str">
        <f>"9781904905318"</f>
        <v>9781904905318</v>
      </c>
      <c r="E7825" t="s">
        <v>8243</v>
      </c>
      <c r="F7825" t="s">
        <v>8244</v>
      </c>
      <c r="G7825" s="1">
        <v>38384</v>
      </c>
      <c r="H7825" s="1">
        <v>41492</v>
      </c>
      <c r="I7825" t="s">
        <v>12</v>
      </c>
      <c r="J7825" t="s">
        <v>18595</v>
      </c>
    </row>
    <row r="7826" spans="1:10" x14ac:dyDescent="0.25">
      <c r="A7826">
        <v>3015887</v>
      </c>
      <c r="B7826" t="s">
        <v>8245</v>
      </c>
      <c r="C7826" t="str">
        <f>"9781843100676"</f>
        <v>9781843100676</v>
      </c>
      <c r="D7826" t="str">
        <f>"9781846427107"</f>
        <v>9781846427107</v>
      </c>
      <c r="E7826" t="s">
        <v>2950</v>
      </c>
      <c r="F7826" t="s">
        <v>2950</v>
      </c>
      <c r="G7826" s="1">
        <v>37390</v>
      </c>
      <c r="H7826" s="1">
        <v>38225</v>
      </c>
      <c r="I7826" t="s">
        <v>12</v>
      </c>
      <c r="J7826" t="s">
        <v>18596</v>
      </c>
    </row>
    <row r="7827" spans="1:10" x14ac:dyDescent="0.25">
      <c r="A7827">
        <v>3015891</v>
      </c>
      <c r="B7827" t="s">
        <v>8246</v>
      </c>
      <c r="C7827" t="str">
        <f>"9781853029424"</f>
        <v>9781853029424</v>
      </c>
      <c r="D7827" t="str">
        <f>"9781846423130"</f>
        <v>9781846423130</v>
      </c>
      <c r="E7827" t="s">
        <v>2950</v>
      </c>
      <c r="F7827" t="s">
        <v>2950</v>
      </c>
      <c r="G7827" s="1">
        <v>37240</v>
      </c>
      <c r="H7827" s="1">
        <v>38225</v>
      </c>
      <c r="I7827" t="s">
        <v>12</v>
      </c>
      <c r="J7827" t="s">
        <v>18597</v>
      </c>
    </row>
    <row r="7828" spans="1:10" x14ac:dyDescent="0.25">
      <c r="A7828">
        <v>3016090</v>
      </c>
      <c r="B7828" t="s">
        <v>8247</v>
      </c>
      <c r="C7828" t="str">
        <f>"9780793191925"</f>
        <v>9780793191925</v>
      </c>
      <c r="D7828" t="str">
        <f>""</f>
        <v/>
      </c>
      <c r="E7828" t="s">
        <v>8248</v>
      </c>
      <c r="F7828" t="s">
        <v>8248</v>
      </c>
      <c r="G7828" s="1">
        <v>36526</v>
      </c>
      <c r="H7828" s="1">
        <v>38310</v>
      </c>
      <c r="I7828" t="s">
        <v>12</v>
      </c>
      <c r="J7828" t="s">
        <v>18598</v>
      </c>
    </row>
    <row r="7829" spans="1:10" x14ac:dyDescent="0.25">
      <c r="A7829">
        <v>3016160</v>
      </c>
      <c r="B7829" t="s">
        <v>8249</v>
      </c>
      <c r="C7829" t="str">
        <f>"9781419526930"</f>
        <v>9781419526930</v>
      </c>
      <c r="D7829" t="str">
        <f>""</f>
        <v/>
      </c>
      <c r="E7829" t="s">
        <v>8248</v>
      </c>
      <c r="F7829" t="s">
        <v>8248</v>
      </c>
      <c r="G7829" s="1">
        <v>38687</v>
      </c>
      <c r="H7829" s="1">
        <v>38867</v>
      </c>
      <c r="I7829" t="s">
        <v>12</v>
      </c>
      <c r="J7829" t="s">
        <v>18599</v>
      </c>
    </row>
    <row r="7830" spans="1:10" x14ac:dyDescent="0.25">
      <c r="A7830">
        <v>3016171</v>
      </c>
      <c r="B7830" t="s">
        <v>8250</v>
      </c>
      <c r="C7830" t="str">
        <f>"9781419528125"</f>
        <v>9781419528125</v>
      </c>
      <c r="D7830" t="str">
        <f>""</f>
        <v/>
      </c>
      <c r="E7830" t="s">
        <v>8248</v>
      </c>
      <c r="F7830" t="s">
        <v>8248</v>
      </c>
      <c r="G7830" s="1">
        <v>38961</v>
      </c>
      <c r="H7830" s="1">
        <v>38959</v>
      </c>
      <c r="I7830" t="s">
        <v>12</v>
      </c>
      <c r="J7830" t="s">
        <v>18600</v>
      </c>
    </row>
    <row r="7831" spans="1:10" x14ac:dyDescent="0.25">
      <c r="A7831">
        <v>3016296</v>
      </c>
      <c r="B7831" t="s">
        <v>8251</v>
      </c>
      <c r="C7831" t="str">
        <f>"9783805581707"</f>
        <v>9783805581707</v>
      </c>
      <c r="D7831" t="str">
        <f>"9783318013900"</f>
        <v>9783318013900</v>
      </c>
      <c r="E7831" t="s">
        <v>2883</v>
      </c>
      <c r="F7831" t="s">
        <v>2883</v>
      </c>
      <c r="G7831" s="1">
        <v>38999</v>
      </c>
      <c r="H7831" s="1">
        <v>39217</v>
      </c>
      <c r="I7831" t="s">
        <v>12</v>
      </c>
      <c r="J7831" t="s">
        <v>18601</v>
      </c>
    </row>
    <row r="7832" spans="1:10" x14ac:dyDescent="0.25">
      <c r="A7832">
        <v>3017155</v>
      </c>
      <c r="B7832" t="s">
        <v>8252</v>
      </c>
      <c r="C7832" t="str">
        <f>"9781905736829"</f>
        <v>9781905736829</v>
      </c>
      <c r="D7832" t="str">
        <f>"9789814312226"</f>
        <v>9789814312226</v>
      </c>
      <c r="E7832" t="s">
        <v>6780</v>
      </c>
      <c r="F7832" t="s">
        <v>8253</v>
      </c>
      <c r="G7832" s="1">
        <v>39692</v>
      </c>
      <c r="H7832" s="1">
        <v>40477</v>
      </c>
      <c r="I7832" t="s">
        <v>12</v>
      </c>
      <c r="J7832" t="s">
        <v>18602</v>
      </c>
    </row>
    <row r="7833" spans="1:10" x14ac:dyDescent="0.25">
      <c r="A7833">
        <v>3017162</v>
      </c>
      <c r="B7833" t="s">
        <v>8254</v>
      </c>
      <c r="C7833" t="str">
        <f>"9781904879527"</f>
        <v>9781904879527</v>
      </c>
      <c r="D7833" t="str">
        <f>"9789814312257"</f>
        <v>9789814312257</v>
      </c>
      <c r="E7833" t="s">
        <v>6780</v>
      </c>
      <c r="F7833" t="s">
        <v>8253</v>
      </c>
      <c r="G7833" s="1">
        <v>36526</v>
      </c>
      <c r="H7833" s="1">
        <v>40477</v>
      </c>
      <c r="I7833" t="s">
        <v>12</v>
      </c>
      <c r="J7833" t="s">
        <v>18603</v>
      </c>
    </row>
    <row r="7834" spans="1:10" x14ac:dyDescent="0.25">
      <c r="A7834">
        <v>3017174</v>
      </c>
      <c r="B7834" t="s">
        <v>8255</v>
      </c>
      <c r="C7834" t="str">
        <f>"9781905736508"</f>
        <v>9781905736508</v>
      </c>
      <c r="D7834" t="str">
        <f>"9789814312004"</f>
        <v>9789814312004</v>
      </c>
      <c r="E7834" t="s">
        <v>6780</v>
      </c>
      <c r="F7834" t="s">
        <v>8253</v>
      </c>
      <c r="G7834" s="1">
        <v>39234</v>
      </c>
      <c r="H7834" s="1">
        <v>40477</v>
      </c>
      <c r="I7834" t="s">
        <v>12</v>
      </c>
      <c r="J7834" t="s">
        <v>18604</v>
      </c>
    </row>
    <row r="7835" spans="1:10" x14ac:dyDescent="0.25">
      <c r="A7835">
        <v>3017179</v>
      </c>
      <c r="B7835" t="s">
        <v>8256</v>
      </c>
      <c r="C7835" t="str">
        <f>"9780462099163"</f>
        <v>9780462099163</v>
      </c>
      <c r="D7835" t="str">
        <f>"9789814312486"</f>
        <v>9789814312486</v>
      </c>
      <c r="E7835" t="s">
        <v>6780</v>
      </c>
      <c r="F7835" t="s">
        <v>8253</v>
      </c>
      <c r="G7835" s="1">
        <v>39630</v>
      </c>
      <c r="H7835" s="1">
        <v>40477</v>
      </c>
      <c r="I7835" t="s">
        <v>12</v>
      </c>
      <c r="J7835" t="s">
        <v>18605</v>
      </c>
    </row>
    <row r="7836" spans="1:10" x14ac:dyDescent="0.25">
      <c r="A7836">
        <v>3017403</v>
      </c>
      <c r="B7836" t="s">
        <v>8257</v>
      </c>
      <c r="C7836" t="str">
        <f>"9788122421149"</f>
        <v>9788122421149</v>
      </c>
      <c r="D7836" t="str">
        <f>"9788122429350"</f>
        <v>9788122429350</v>
      </c>
      <c r="E7836" t="s">
        <v>4636</v>
      </c>
      <c r="F7836" t="s">
        <v>8258</v>
      </c>
      <c r="G7836" s="1">
        <v>36526</v>
      </c>
      <c r="H7836" s="1">
        <v>40206</v>
      </c>
      <c r="I7836" t="s">
        <v>12</v>
      </c>
      <c r="J7836" t="s">
        <v>18606</v>
      </c>
    </row>
    <row r="7837" spans="1:10" x14ac:dyDescent="0.25">
      <c r="A7837">
        <v>3017412</v>
      </c>
      <c r="B7837" t="s">
        <v>8259</v>
      </c>
      <c r="C7837" t="str">
        <f>"9788122425772"</f>
        <v>9788122425772</v>
      </c>
      <c r="D7837" t="str">
        <f>"9788122428520"</f>
        <v>9788122428520</v>
      </c>
      <c r="E7837" t="s">
        <v>4636</v>
      </c>
      <c r="F7837" t="s">
        <v>8260</v>
      </c>
      <c r="G7837" s="1">
        <v>36526</v>
      </c>
      <c r="H7837" s="1">
        <v>40236</v>
      </c>
      <c r="I7837" t="s">
        <v>12</v>
      </c>
      <c r="J7837" t="s">
        <v>18607</v>
      </c>
    </row>
    <row r="7838" spans="1:10" x14ac:dyDescent="0.25">
      <c r="A7838">
        <v>3017418</v>
      </c>
      <c r="B7838" t="s">
        <v>8261</v>
      </c>
      <c r="C7838" t="str">
        <f>"9788122426779"</f>
        <v>9788122426779</v>
      </c>
      <c r="D7838" t="str">
        <f>"9788122428551"</f>
        <v>9788122428551</v>
      </c>
      <c r="E7838" t="s">
        <v>4636</v>
      </c>
      <c r="F7838" t="s">
        <v>8260</v>
      </c>
      <c r="G7838" s="1">
        <v>36526</v>
      </c>
      <c r="H7838" s="1">
        <v>40243</v>
      </c>
      <c r="I7838" t="s">
        <v>12</v>
      </c>
      <c r="J7838" t="s">
        <v>18608</v>
      </c>
    </row>
    <row r="7839" spans="1:10" x14ac:dyDescent="0.25">
      <c r="A7839">
        <v>3017420</v>
      </c>
      <c r="B7839" t="s">
        <v>8262</v>
      </c>
      <c r="C7839" t="str">
        <f>"9788122427639"</f>
        <v>9788122427639</v>
      </c>
      <c r="D7839" t="str">
        <f>"9788122428506"</f>
        <v>9788122428506</v>
      </c>
      <c r="E7839" t="s">
        <v>4636</v>
      </c>
      <c r="F7839" t="s">
        <v>8260</v>
      </c>
      <c r="G7839" s="1">
        <v>36526</v>
      </c>
      <c r="H7839" s="1">
        <v>40243</v>
      </c>
      <c r="I7839" t="s">
        <v>12</v>
      </c>
      <c r="J7839" t="s">
        <v>18609</v>
      </c>
    </row>
    <row r="7840" spans="1:10" x14ac:dyDescent="0.25">
      <c r="A7840">
        <v>3017424</v>
      </c>
      <c r="B7840" t="s">
        <v>8263</v>
      </c>
      <c r="C7840" t="str">
        <f>"9788122427776"</f>
        <v>9788122427776</v>
      </c>
      <c r="D7840" t="str">
        <f>"9788122428537"</f>
        <v>9788122428537</v>
      </c>
      <c r="E7840" t="s">
        <v>4636</v>
      </c>
      <c r="F7840" t="s">
        <v>8260</v>
      </c>
      <c r="G7840" s="1">
        <v>36526</v>
      </c>
      <c r="H7840" s="1">
        <v>40271</v>
      </c>
      <c r="I7840" t="s">
        <v>12</v>
      </c>
      <c r="J7840" t="s">
        <v>18610</v>
      </c>
    </row>
    <row r="7841" spans="1:10" x14ac:dyDescent="0.25">
      <c r="A7841">
        <v>3017430</v>
      </c>
      <c r="B7841" t="s">
        <v>8264</v>
      </c>
      <c r="C7841" t="str">
        <f>"9788122427820"</f>
        <v>9788122427820</v>
      </c>
      <c r="D7841" t="str">
        <f>"9788122428568"</f>
        <v>9788122428568</v>
      </c>
      <c r="E7841" t="s">
        <v>4636</v>
      </c>
      <c r="F7841" t="s">
        <v>8260</v>
      </c>
      <c r="G7841" s="1">
        <v>36526</v>
      </c>
      <c r="H7841" s="1">
        <v>40271</v>
      </c>
      <c r="I7841" t="s">
        <v>12</v>
      </c>
      <c r="J7841" t="s">
        <v>18611</v>
      </c>
    </row>
    <row r="7842" spans="1:10" x14ac:dyDescent="0.25">
      <c r="A7842">
        <v>3017451</v>
      </c>
      <c r="B7842" t="s">
        <v>8265</v>
      </c>
      <c r="C7842" t="str">
        <f>"9781572245877"</f>
        <v>9781572245877</v>
      </c>
      <c r="D7842" t="str">
        <f>"9781572248137"</f>
        <v>9781572248137</v>
      </c>
      <c r="E7842" t="s">
        <v>7178</v>
      </c>
      <c r="F7842" t="s">
        <v>7178</v>
      </c>
      <c r="G7842" s="1">
        <v>39995</v>
      </c>
      <c r="H7842" s="1">
        <v>40082</v>
      </c>
      <c r="I7842" t="s">
        <v>12</v>
      </c>
      <c r="J7842" t="s">
        <v>18612</v>
      </c>
    </row>
    <row r="7843" spans="1:10" x14ac:dyDescent="0.25">
      <c r="A7843">
        <v>3017453</v>
      </c>
      <c r="B7843" t="s">
        <v>8266</v>
      </c>
      <c r="C7843" t="str">
        <f>"9781572244344"</f>
        <v>9781572244344</v>
      </c>
      <c r="D7843" t="str">
        <f>"9781572247895"</f>
        <v>9781572247895</v>
      </c>
      <c r="E7843" t="s">
        <v>7178</v>
      </c>
      <c r="F7843" t="s">
        <v>7178</v>
      </c>
      <c r="G7843" s="1">
        <v>39965</v>
      </c>
      <c r="H7843" s="1">
        <v>40082</v>
      </c>
      <c r="I7843" t="s">
        <v>12</v>
      </c>
      <c r="J7843" t="s">
        <v>18613</v>
      </c>
    </row>
    <row r="7844" spans="1:10" x14ac:dyDescent="0.25">
      <c r="A7844">
        <v>3017599</v>
      </c>
      <c r="B7844" t="s">
        <v>8267</v>
      </c>
      <c r="C7844" t="str">
        <f>"9781588382276"</f>
        <v>9781588382276</v>
      </c>
      <c r="D7844" t="str">
        <f>"9781603060738"</f>
        <v>9781603060738</v>
      </c>
      <c r="E7844" t="s">
        <v>8268</v>
      </c>
      <c r="F7844" t="s">
        <v>8268</v>
      </c>
      <c r="G7844" s="1">
        <v>39052</v>
      </c>
      <c r="H7844" s="1">
        <v>39471</v>
      </c>
      <c r="I7844" t="s">
        <v>12</v>
      </c>
      <c r="J7844" t="s">
        <v>18614</v>
      </c>
    </row>
    <row r="7845" spans="1:10" x14ac:dyDescent="0.25">
      <c r="A7845">
        <v>3025658</v>
      </c>
      <c r="B7845" t="s">
        <v>8269</v>
      </c>
      <c r="C7845" t="str">
        <f>"9789282101285"</f>
        <v>9789282101285</v>
      </c>
      <c r="D7845" t="str">
        <f>"9789282101506"</f>
        <v>9789282101506</v>
      </c>
      <c r="E7845" t="s">
        <v>1185</v>
      </c>
      <c r="F7845" t="s">
        <v>8270</v>
      </c>
      <c r="G7845" s="1">
        <v>39234</v>
      </c>
      <c r="H7845" s="1">
        <v>39771</v>
      </c>
      <c r="I7845" t="s">
        <v>12</v>
      </c>
      <c r="J7845" t="s">
        <v>18615</v>
      </c>
    </row>
    <row r="7846" spans="1:10" x14ac:dyDescent="0.25">
      <c r="A7846">
        <v>3025676</v>
      </c>
      <c r="B7846" t="s">
        <v>8271</v>
      </c>
      <c r="C7846" t="str">
        <f>"9789264072909"</f>
        <v>9789264072909</v>
      </c>
      <c r="D7846" t="str">
        <f>"9789264079205"</f>
        <v>9789264079205</v>
      </c>
      <c r="E7846" t="s">
        <v>1185</v>
      </c>
      <c r="F7846" t="s">
        <v>8272</v>
      </c>
      <c r="G7846" s="1">
        <v>36526</v>
      </c>
      <c r="H7846" s="1">
        <v>40229</v>
      </c>
      <c r="I7846" t="s">
        <v>12</v>
      </c>
      <c r="J7846" t="s">
        <v>18616</v>
      </c>
    </row>
    <row r="7847" spans="1:10" x14ac:dyDescent="0.25">
      <c r="A7847">
        <v>3025987</v>
      </c>
      <c r="B7847" t="s">
        <v>8273</v>
      </c>
      <c r="C7847" t="str">
        <f>"9789264029804"</f>
        <v>9789264029804</v>
      </c>
      <c r="D7847" t="str">
        <f>"9789264029811"</f>
        <v>9789264029811</v>
      </c>
      <c r="E7847" t="s">
        <v>1185</v>
      </c>
      <c r="F7847" t="s">
        <v>8272</v>
      </c>
      <c r="G7847" s="1">
        <v>38808</v>
      </c>
      <c r="H7847" s="1">
        <v>40395</v>
      </c>
      <c r="I7847" t="s">
        <v>12</v>
      </c>
      <c r="J7847" t="s">
        <v>18617</v>
      </c>
    </row>
    <row r="7848" spans="1:10" x14ac:dyDescent="0.25">
      <c r="A7848">
        <v>3026435</v>
      </c>
      <c r="B7848" t="s">
        <v>8274</v>
      </c>
      <c r="C7848" t="str">
        <f>"9789264124134"</f>
        <v>9789264124134</v>
      </c>
      <c r="D7848" t="str">
        <f>"9789264124141"</f>
        <v>9789264124141</v>
      </c>
      <c r="E7848" t="s">
        <v>1185</v>
      </c>
      <c r="F7848" t="s">
        <v>8270</v>
      </c>
      <c r="G7848" s="1">
        <v>40848</v>
      </c>
      <c r="H7848" s="1">
        <v>40897</v>
      </c>
      <c r="I7848" t="s">
        <v>12</v>
      </c>
      <c r="J7848" t="s">
        <v>18618</v>
      </c>
    </row>
    <row r="7849" spans="1:10" x14ac:dyDescent="0.25">
      <c r="A7849">
        <v>3026932</v>
      </c>
      <c r="B7849" t="s">
        <v>8275</v>
      </c>
      <c r="C7849" t="str">
        <f>"9780821417300"</f>
        <v>9780821417300</v>
      </c>
      <c r="D7849" t="str">
        <f>"9780821442241"</f>
        <v>9780821442241</v>
      </c>
      <c r="E7849" t="s">
        <v>7695</v>
      </c>
      <c r="F7849" t="s">
        <v>7695</v>
      </c>
      <c r="G7849" s="1">
        <v>39142</v>
      </c>
      <c r="H7849" s="1">
        <v>39224</v>
      </c>
      <c r="I7849" t="s">
        <v>12</v>
      </c>
      <c r="J7849" t="s">
        <v>18619</v>
      </c>
    </row>
    <row r="7850" spans="1:10" x14ac:dyDescent="0.25">
      <c r="A7850">
        <v>3026948</v>
      </c>
      <c r="B7850" t="s">
        <v>8276</v>
      </c>
      <c r="C7850" t="str">
        <f>"9780804010986"</f>
        <v>9780804010986</v>
      </c>
      <c r="D7850" t="str">
        <f>"9780804040280"</f>
        <v>9780804040280</v>
      </c>
      <c r="E7850" t="s">
        <v>7696</v>
      </c>
      <c r="F7850" t="s">
        <v>7696</v>
      </c>
      <c r="G7850" s="1">
        <v>39173</v>
      </c>
      <c r="H7850" s="1">
        <v>39574</v>
      </c>
      <c r="I7850" t="s">
        <v>12</v>
      </c>
      <c r="J7850" t="s">
        <v>18620</v>
      </c>
    </row>
    <row r="7851" spans="1:10" x14ac:dyDescent="0.25">
      <c r="A7851">
        <v>3026983</v>
      </c>
      <c r="B7851" t="s">
        <v>8277</v>
      </c>
      <c r="C7851" t="str">
        <f>"9781930841895"</f>
        <v>9781930841895</v>
      </c>
      <c r="D7851" t="str">
        <f>"9781930841895"</f>
        <v>9781930841895</v>
      </c>
      <c r="E7851" t="s">
        <v>1051</v>
      </c>
      <c r="F7851" t="s">
        <v>1051</v>
      </c>
      <c r="G7851" s="1">
        <v>36892</v>
      </c>
      <c r="H7851" s="1">
        <v>39349</v>
      </c>
      <c r="I7851" t="s">
        <v>12</v>
      </c>
      <c r="J7851" t="s">
        <v>18621</v>
      </c>
    </row>
    <row r="7852" spans="1:10" x14ac:dyDescent="0.25">
      <c r="A7852">
        <v>3026984</v>
      </c>
      <c r="B7852" t="s">
        <v>8278</v>
      </c>
      <c r="C7852" t="str">
        <f>""</f>
        <v/>
      </c>
      <c r="D7852" t="str">
        <f>"9781102008880"</f>
        <v>9781102008880</v>
      </c>
      <c r="E7852" t="s">
        <v>1051</v>
      </c>
      <c r="F7852" t="s">
        <v>1051</v>
      </c>
      <c r="G7852" s="1">
        <v>38838</v>
      </c>
      <c r="H7852" s="1">
        <v>39349</v>
      </c>
      <c r="I7852" t="s">
        <v>12</v>
      </c>
      <c r="J7852" t="s">
        <v>18622</v>
      </c>
    </row>
    <row r="7853" spans="1:10" x14ac:dyDescent="0.25">
      <c r="A7853">
        <v>3026985</v>
      </c>
      <c r="B7853" t="s">
        <v>8279</v>
      </c>
      <c r="C7853" t="str">
        <f>""</f>
        <v/>
      </c>
      <c r="D7853" t="str">
        <f>"9781102008972"</f>
        <v>9781102008972</v>
      </c>
      <c r="E7853" t="s">
        <v>1051</v>
      </c>
      <c r="F7853" t="s">
        <v>1051</v>
      </c>
      <c r="G7853" s="1">
        <v>37408</v>
      </c>
      <c r="H7853" s="1">
        <v>39771</v>
      </c>
      <c r="I7853" t="s">
        <v>12</v>
      </c>
      <c r="J7853" t="s">
        <v>18623</v>
      </c>
    </row>
    <row r="7854" spans="1:10" x14ac:dyDescent="0.25">
      <c r="A7854">
        <v>3027420</v>
      </c>
      <c r="B7854" t="s">
        <v>247</v>
      </c>
      <c r="C7854" t="str">
        <f>"9780333738429"</f>
        <v>9780333738429</v>
      </c>
      <c r="D7854" t="str">
        <f>"9780333982495"</f>
        <v>9780333982495</v>
      </c>
      <c r="E7854" t="s">
        <v>8280</v>
      </c>
      <c r="F7854" t="s">
        <v>876</v>
      </c>
      <c r="G7854" s="1">
        <v>36495</v>
      </c>
      <c r="H7854" s="1">
        <v>37622</v>
      </c>
      <c r="I7854" t="s">
        <v>12</v>
      </c>
      <c r="J7854" t="s">
        <v>18624</v>
      </c>
    </row>
    <row r="7855" spans="1:10" x14ac:dyDescent="0.25">
      <c r="A7855">
        <v>3027882</v>
      </c>
      <c r="B7855" t="s">
        <v>8281</v>
      </c>
      <c r="C7855" t="str">
        <f>"9781550225907"</f>
        <v>9781550225907</v>
      </c>
      <c r="D7855" t="str">
        <f>"9781554905904"</f>
        <v>9781554905904</v>
      </c>
      <c r="E7855" t="s">
        <v>8282</v>
      </c>
      <c r="F7855" t="s">
        <v>8282</v>
      </c>
      <c r="G7855" s="1">
        <v>37859</v>
      </c>
      <c r="H7855" s="1">
        <v>39788</v>
      </c>
      <c r="I7855" t="s">
        <v>12</v>
      </c>
      <c r="J7855" t="s">
        <v>18625</v>
      </c>
    </row>
    <row r="7856" spans="1:10" x14ac:dyDescent="0.25">
      <c r="A7856">
        <v>3027992</v>
      </c>
      <c r="B7856" t="s">
        <v>8283</v>
      </c>
      <c r="C7856" t="str">
        <f>"9781550228298"</f>
        <v>9781550228298</v>
      </c>
      <c r="D7856" t="str">
        <f>"9781554908295"</f>
        <v>9781554908295</v>
      </c>
      <c r="E7856" t="s">
        <v>8282</v>
      </c>
      <c r="F7856" t="s">
        <v>8282</v>
      </c>
      <c r="G7856" s="1">
        <v>38687</v>
      </c>
      <c r="H7856" s="1">
        <v>39788</v>
      </c>
      <c r="I7856" t="s">
        <v>12</v>
      </c>
      <c r="J7856" t="s">
        <v>18626</v>
      </c>
    </row>
    <row r="7857" spans="1:10" x14ac:dyDescent="0.25">
      <c r="A7857">
        <v>3028001</v>
      </c>
      <c r="B7857" t="s">
        <v>8284</v>
      </c>
      <c r="C7857" t="str">
        <f>"9781550225181"</f>
        <v>9781550225181</v>
      </c>
      <c r="D7857" t="str">
        <f>"9781554905188"</f>
        <v>9781554905188</v>
      </c>
      <c r="E7857" t="s">
        <v>8282</v>
      </c>
      <c r="F7857" t="s">
        <v>8282</v>
      </c>
      <c r="G7857" s="1">
        <v>36869</v>
      </c>
      <c r="H7857" s="1">
        <v>39788</v>
      </c>
      <c r="I7857" t="s">
        <v>12</v>
      </c>
      <c r="J7857" t="s">
        <v>18627</v>
      </c>
    </row>
    <row r="7858" spans="1:10" x14ac:dyDescent="0.25">
      <c r="A7858">
        <v>3028109</v>
      </c>
      <c r="B7858" t="s">
        <v>8285</v>
      </c>
      <c r="C7858" t="str">
        <f>"9781550228472"</f>
        <v>9781550228472</v>
      </c>
      <c r="D7858" t="str">
        <f>"9781554908479"</f>
        <v>9781554908479</v>
      </c>
      <c r="E7858" t="s">
        <v>8282</v>
      </c>
      <c r="F7858" t="s">
        <v>8282</v>
      </c>
      <c r="G7858" s="1">
        <v>39752</v>
      </c>
      <c r="H7858" s="1">
        <v>39928</v>
      </c>
      <c r="I7858" t="s">
        <v>12</v>
      </c>
      <c r="J7858" t="s">
        <v>18628</v>
      </c>
    </row>
    <row r="7859" spans="1:10" x14ac:dyDescent="0.25">
      <c r="A7859">
        <v>3028126</v>
      </c>
      <c r="B7859" t="s">
        <v>8286</v>
      </c>
      <c r="C7859" t="str">
        <f>"9781859641958"</f>
        <v>9781859641958</v>
      </c>
      <c r="D7859" t="str">
        <f>"9781859642603"</f>
        <v>9781859642603</v>
      </c>
      <c r="E7859" t="s">
        <v>7701</v>
      </c>
      <c r="F7859" t="s">
        <v>7704</v>
      </c>
      <c r="G7859" s="1">
        <v>39234</v>
      </c>
      <c r="H7859" s="1">
        <v>39972</v>
      </c>
      <c r="I7859" t="s">
        <v>12</v>
      </c>
      <c r="J7859" t="s">
        <v>18629</v>
      </c>
    </row>
    <row r="7860" spans="1:10" x14ac:dyDescent="0.25">
      <c r="A7860">
        <v>3028128</v>
      </c>
      <c r="B7860" t="s">
        <v>8287</v>
      </c>
      <c r="C7860" t="str">
        <f>"9781859642146"</f>
        <v>9781859642146</v>
      </c>
      <c r="D7860" t="str">
        <f>"9781859642443"</f>
        <v>9781859642443</v>
      </c>
      <c r="E7860" t="s">
        <v>7701</v>
      </c>
      <c r="F7860" t="s">
        <v>7704</v>
      </c>
      <c r="G7860" s="1">
        <v>39873</v>
      </c>
      <c r="H7860" s="1">
        <v>39972</v>
      </c>
      <c r="I7860" t="s">
        <v>12</v>
      </c>
      <c r="J7860" t="s">
        <v>18630</v>
      </c>
    </row>
    <row r="7861" spans="1:10" x14ac:dyDescent="0.25">
      <c r="A7861">
        <v>3028137</v>
      </c>
      <c r="B7861" t="s">
        <v>8288</v>
      </c>
      <c r="C7861" t="str">
        <f>"9781859641569"</f>
        <v>9781859641569</v>
      </c>
      <c r="D7861" t="str">
        <f>"9781859642474"</f>
        <v>9781859642474</v>
      </c>
      <c r="E7861" t="s">
        <v>7701</v>
      </c>
      <c r="F7861" t="s">
        <v>7704</v>
      </c>
      <c r="G7861" s="1">
        <v>38772</v>
      </c>
      <c r="H7861" s="1">
        <v>39972</v>
      </c>
      <c r="I7861" t="s">
        <v>12</v>
      </c>
      <c r="J7861" t="s">
        <v>18631</v>
      </c>
    </row>
    <row r="7862" spans="1:10" x14ac:dyDescent="0.25">
      <c r="A7862">
        <v>3028138</v>
      </c>
      <c r="B7862" t="s">
        <v>8289</v>
      </c>
      <c r="C7862" t="str">
        <f>"9781859641545"</f>
        <v>9781859641545</v>
      </c>
      <c r="D7862" t="str">
        <f>"9781859642481"</f>
        <v>9781859642481</v>
      </c>
      <c r="E7862" t="s">
        <v>7701</v>
      </c>
      <c r="F7862" t="s">
        <v>7704</v>
      </c>
      <c r="G7862" s="1">
        <v>38772</v>
      </c>
      <c r="H7862" s="1">
        <v>39972</v>
      </c>
      <c r="I7862" t="s">
        <v>12</v>
      </c>
      <c r="J7862" t="s">
        <v>18632</v>
      </c>
    </row>
    <row r="7863" spans="1:10" x14ac:dyDescent="0.25">
      <c r="A7863">
        <v>3028245</v>
      </c>
      <c r="B7863" t="s">
        <v>8290</v>
      </c>
      <c r="C7863" t="str">
        <f>"9781935259046"</f>
        <v>9781935259046</v>
      </c>
      <c r="D7863" t="str">
        <f>"9781935259015"</f>
        <v>9781935259015</v>
      </c>
      <c r="E7863" t="s">
        <v>8291</v>
      </c>
      <c r="F7863" t="s">
        <v>8291</v>
      </c>
      <c r="G7863" s="1">
        <v>40057</v>
      </c>
      <c r="H7863" s="1">
        <v>40089</v>
      </c>
      <c r="I7863" t="s">
        <v>12</v>
      </c>
      <c r="J7863" t="s">
        <v>18633</v>
      </c>
    </row>
    <row r="7864" spans="1:10" x14ac:dyDescent="0.25">
      <c r="A7864">
        <v>3028263</v>
      </c>
      <c r="B7864" t="s">
        <v>8292</v>
      </c>
      <c r="C7864" t="str">
        <f>"9781550228892"</f>
        <v>9781550228892</v>
      </c>
      <c r="D7864" t="str">
        <f>"9781554908899"</f>
        <v>9781554908899</v>
      </c>
      <c r="E7864" t="s">
        <v>8282</v>
      </c>
      <c r="F7864" t="s">
        <v>8282</v>
      </c>
      <c r="G7864" s="1">
        <v>40057</v>
      </c>
      <c r="H7864" s="1">
        <v>40103</v>
      </c>
      <c r="I7864" t="s">
        <v>12</v>
      </c>
      <c r="J7864" t="s">
        <v>18634</v>
      </c>
    </row>
    <row r="7865" spans="1:10" x14ac:dyDescent="0.25">
      <c r="A7865">
        <v>3028265</v>
      </c>
      <c r="B7865" t="s">
        <v>8293</v>
      </c>
      <c r="C7865" t="str">
        <f>"9781550228885"</f>
        <v>9781550228885</v>
      </c>
      <c r="D7865" t="str">
        <f>"9781554908882"</f>
        <v>9781554908882</v>
      </c>
      <c r="E7865" t="s">
        <v>8282</v>
      </c>
      <c r="F7865" t="s">
        <v>8282</v>
      </c>
      <c r="G7865" s="1">
        <v>40057</v>
      </c>
      <c r="H7865" s="1">
        <v>40103</v>
      </c>
      <c r="I7865" t="s">
        <v>12</v>
      </c>
      <c r="J7865" t="s">
        <v>18635</v>
      </c>
    </row>
    <row r="7866" spans="1:10" x14ac:dyDescent="0.25">
      <c r="A7866">
        <v>3028272</v>
      </c>
      <c r="B7866" t="s">
        <v>8294</v>
      </c>
      <c r="C7866" t="str">
        <f>"9781550229004"</f>
        <v>9781550229004</v>
      </c>
      <c r="D7866" t="str">
        <f>"9781554909001"</f>
        <v>9781554909001</v>
      </c>
      <c r="E7866" t="s">
        <v>8282</v>
      </c>
      <c r="F7866" t="s">
        <v>8282</v>
      </c>
      <c r="G7866" s="1">
        <v>40057</v>
      </c>
      <c r="H7866" s="1">
        <v>40103</v>
      </c>
      <c r="I7866" t="s">
        <v>12</v>
      </c>
      <c r="J7866" t="s">
        <v>18636</v>
      </c>
    </row>
    <row r="7867" spans="1:10" x14ac:dyDescent="0.25">
      <c r="A7867">
        <v>3028273</v>
      </c>
      <c r="B7867" t="s">
        <v>8295</v>
      </c>
      <c r="C7867" t="str">
        <f>"9781550228908"</f>
        <v>9781550228908</v>
      </c>
      <c r="D7867" t="str">
        <f>"9781554908905"</f>
        <v>9781554908905</v>
      </c>
      <c r="E7867" t="s">
        <v>8282</v>
      </c>
      <c r="F7867" t="s">
        <v>8282</v>
      </c>
      <c r="G7867" s="1">
        <v>40057</v>
      </c>
      <c r="H7867" s="1">
        <v>40103</v>
      </c>
      <c r="I7867" t="s">
        <v>12</v>
      </c>
      <c r="J7867" t="s">
        <v>18637</v>
      </c>
    </row>
    <row r="7868" spans="1:10" x14ac:dyDescent="0.25">
      <c r="A7868">
        <v>3028274</v>
      </c>
      <c r="B7868" t="s">
        <v>8296</v>
      </c>
      <c r="C7868" t="str">
        <f>"9781550228748"</f>
        <v>9781550228748</v>
      </c>
      <c r="D7868" t="str">
        <f>"9781554908745"</f>
        <v>9781554908745</v>
      </c>
      <c r="E7868" t="s">
        <v>8282</v>
      </c>
      <c r="F7868" t="s">
        <v>8282</v>
      </c>
      <c r="G7868" s="1">
        <v>39995</v>
      </c>
      <c r="H7868" s="1">
        <v>40103</v>
      </c>
      <c r="I7868" t="s">
        <v>12</v>
      </c>
      <c r="J7868" t="s">
        <v>18638</v>
      </c>
    </row>
    <row r="7869" spans="1:10" x14ac:dyDescent="0.25">
      <c r="A7869">
        <v>3028275</v>
      </c>
      <c r="B7869" t="s">
        <v>8297</v>
      </c>
      <c r="C7869" t="str">
        <f>"9781550229011"</f>
        <v>9781550229011</v>
      </c>
      <c r="D7869" t="str">
        <f>"9781554909018"</f>
        <v>9781554909018</v>
      </c>
      <c r="E7869" t="s">
        <v>8282</v>
      </c>
      <c r="F7869" t="s">
        <v>8282</v>
      </c>
      <c r="G7869" s="1">
        <v>39965</v>
      </c>
      <c r="H7869" s="1">
        <v>40103</v>
      </c>
      <c r="I7869" t="s">
        <v>12</v>
      </c>
      <c r="J7869" t="s">
        <v>18639</v>
      </c>
    </row>
    <row r="7870" spans="1:10" x14ac:dyDescent="0.25">
      <c r="A7870">
        <v>3028277</v>
      </c>
      <c r="B7870" t="s">
        <v>8298</v>
      </c>
      <c r="C7870" t="str">
        <f>"9781550228403"</f>
        <v>9781550228403</v>
      </c>
      <c r="D7870" t="str">
        <f>"9781554908400"</f>
        <v>9781554908400</v>
      </c>
      <c r="E7870" t="s">
        <v>8282</v>
      </c>
      <c r="F7870" t="s">
        <v>8282</v>
      </c>
      <c r="G7870" s="1">
        <v>39692</v>
      </c>
      <c r="H7870" s="1">
        <v>40103</v>
      </c>
      <c r="I7870" t="s">
        <v>12</v>
      </c>
      <c r="J7870" t="s">
        <v>18640</v>
      </c>
    </row>
    <row r="7871" spans="1:10" x14ac:dyDescent="0.25">
      <c r="A7871">
        <v>3028665</v>
      </c>
      <c r="B7871" t="s">
        <v>8299</v>
      </c>
      <c r="C7871" t="str">
        <f>"9780863724060"</f>
        <v>9780863724060</v>
      </c>
      <c r="D7871" t="str">
        <f>"9780863724121"</f>
        <v>9780863724121</v>
      </c>
      <c r="E7871" t="s">
        <v>8300</v>
      </c>
      <c r="F7871" t="s">
        <v>7702</v>
      </c>
      <c r="G7871" s="1">
        <v>40695</v>
      </c>
      <c r="H7871" s="1">
        <v>40731</v>
      </c>
      <c r="I7871" t="s">
        <v>12</v>
      </c>
      <c r="J7871" t="s">
        <v>18641</v>
      </c>
    </row>
    <row r="7872" spans="1:10" x14ac:dyDescent="0.25">
      <c r="A7872">
        <v>3031603</v>
      </c>
      <c r="B7872" t="s">
        <v>8301</v>
      </c>
      <c r="C7872" t="str">
        <f>"9781861894267"</f>
        <v>9781861894267</v>
      </c>
      <c r="D7872" t="str">
        <f>"9781861896827"</f>
        <v>9781861896827</v>
      </c>
      <c r="E7872" t="s">
        <v>5129</v>
      </c>
      <c r="F7872" t="s">
        <v>5129</v>
      </c>
      <c r="G7872" s="1">
        <v>39934</v>
      </c>
      <c r="H7872" s="1">
        <v>40381</v>
      </c>
      <c r="I7872" t="s">
        <v>12</v>
      </c>
      <c r="J7872" t="s">
        <v>18642</v>
      </c>
    </row>
    <row r="7873" spans="1:10" x14ac:dyDescent="0.25">
      <c r="A7873">
        <v>3032143</v>
      </c>
      <c r="B7873" t="s">
        <v>8302</v>
      </c>
      <c r="C7873" t="str">
        <f>"9780813535814"</f>
        <v>9780813535814</v>
      </c>
      <c r="D7873" t="str">
        <f>"9780813537801"</f>
        <v>9780813537801</v>
      </c>
      <c r="E7873" t="s">
        <v>4859</v>
      </c>
      <c r="F7873" t="s">
        <v>4859</v>
      </c>
      <c r="G7873" s="1">
        <v>38503</v>
      </c>
      <c r="H7873" s="1">
        <v>38785</v>
      </c>
      <c r="I7873" t="s">
        <v>12</v>
      </c>
      <c r="J7873" t="s">
        <v>18643</v>
      </c>
    </row>
    <row r="7874" spans="1:10" x14ac:dyDescent="0.25">
      <c r="A7874">
        <v>3032198</v>
      </c>
      <c r="B7874" t="s">
        <v>8303</v>
      </c>
      <c r="C7874" t="str">
        <f>"9781412921190"</f>
        <v>9781412921190</v>
      </c>
      <c r="D7874" t="str">
        <f>"9781847878809"</f>
        <v>9781847878809</v>
      </c>
      <c r="E7874" t="s">
        <v>5450</v>
      </c>
      <c r="F7874" t="s">
        <v>5451</v>
      </c>
      <c r="G7874" s="1">
        <v>38869</v>
      </c>
      <c r="H7874" s="1">
        <v>39578</v>
      </c>
      <c r="I7874" t="s">
        <v>12</v>
      </c>
      <c r="J7874" t="s">
        <v>18644</v>
      </c>
    </row>
    <row r="7875" spans="1:10" x14ac:dyDescent="0.25">
      <c r="A7875">
        <v>3032268</v>
      </c>
      <c r="B7875" t="s">
        <v>8304</v>
      </c>
      <c r="C7875" t="str">
        <f>"9781412925600"</f>
        <v>9781412925600</v>
      </c>
      <c r="D7875" t="str">
        <f>"9781452209548"</f>
        <v>9781452209548</v>
      </c>
      <c r="E7875" t="s">
        <v>5451</v>
      </c>
      <c r="F7875" t="s">
        <v>5451</v>
      </c>
      <c r="G7875" s="1">
        <v>38930</v>
      </c>
      <c r="H7875" s="1">
        <v>40098</v>
      </c>
      <c r="I7875" t="s">
        <v>12</v>
      </c>
      <c r="J7875" t="s">
        <v>18645</v>
      </c>
    </row>
    <row r="7876" spans="1:10" x14ac:dyDescent="0.25">
      <c r="A7876">
        <v>3032304</v>
      </c>
      <c r="B7876" t="s">
        <v>8305</v>
      </c>
      <c r="C7876" t="str">
        <f>"9780761968887"</f>
        <v>9780761968887</v>
      </c>
      <c r="D7876" t="str">
        <f>"9781848608405"</f>
        <v>9781848608405</v>
      </c>
      <c r="E7876" t="s">
        <v>8306</v>
      </c>
      <c r="F7876" t="s">
        <v>8307</v>
      </c>
      <c r="G7876" s="1">
        <v>36831</v>
      </c>
      <c r="H7876" s="1">
        <v>40256</v>
      </c>
      <c r="I7876" t="s">
        <v>12</v>
      </c>
      <c r="J7876" t="s">
        <v>18646</v>
      </c>
    </row>
    <row r="7877" spans="1:10" x14ac:dyDescent="0.25">
      <c r="A7877">
        <v>3032313</v>
      </c>
      <c r="B7877" t="s">
        <v>8308</v>
      </c>
      <c r="C7877" t="str">
        <f>"9781412940726"</f>
        <v>9781412940726</v>
      </c>
      <c r="D7877" t="str">
        <f>"9781452213200"</f>
        <v>9781452213200</v>
      </c>
      <c r="E7877" t="s">
        <v>5451</v>
      </c>
      <c r="F7877" t="s">
        <v>5451</v>
      </c>
      <c r="G7877" s="1">
        <v>39326</v>
      </c>
      <c r="H7877" s="1">
        <v>40312</v>
      </c>
      <c r="I7877" t="s">
        <v>12</v>
      </c>
      <c r="J7877" t="s">
        <v>18647</v>
      </c>
    </row>
    <row r="7878" spans="1:10" x14ac:dyDescent="0.25">
      <c r="A7878">
        <v>3032320</v>
      </c>
      <c r="B7878" t="s">
        <v>8309</v>
      </c>
      <c r="C7878" t="str">
        <f>"9781412960700"</f>
        <v>9781412960700</v>
      </c>
      <c r="D7878" t="str">
        <f>"9781452212166"</f>
        <v>9781452212166</v>
      </c>
      <c r="E7878" t="s">
        <v>1569</v>
      </c>
      <c r="F7878" t="s">
        <v>7486</v>
      </c>
      <c r="G7878" s="1">
        <v>39717</v>
      </c>
      <c r="H7878" s="1">
        <v>40312</v>
      </c>
      <c r="I7878" t="s">
        <v>12</v>
      </c>
      <c r="J7878" t="s">
        <v>18648</v>
      </c>
    </row>
    <row r="7879" spans="1:10" x14ac:dyDescent="0.25">
      <c r="A7879">
        <v>3032333</v>
      </c>
      <c r="B7879" t="s">
        <v>8310</v>
      </c>
      <c r="C7879" t="str">
        <f>"9781412965958"</f>
        <v>9781412965958</v>
      </c>
      <c r="D7879" t="str">
        <f>""</f>
        <v/>
      </c>
      <c r="E7879" t="s">
        <v>8311</v>
      </c>
      <c r="F7879" t="s">
        <v>8311</v>
      </c>
      <c r="G7879" s="1">
        <v>39569</v>
      </c>
      <c r="H7879" s="1">
        <v>40312</v>
      </c>
      <c r="I7879" t="s">
        <v>12</v>
      </c>
      <c r="J7879" t="s">
        <v>18649</v>
      </c>
    </row>
    <row r="7880" spans="1:10" x14ac:dyDescent="0.25">
      <c r="A7880">
        <v>3035092</v>
      </c>
      <c r="B7880" t="s">
        <v>8312</v>
      </c>
      <c r="C7880" t="str">
        <f>"9781572483514"</f>
        <v>9781572483514</v>
      </c>
      <c r="D7880" t="str">
        <f>""</f>
        <v/>
      </c>
      <c r="E7880" t="s">
        <v>8313</v>
      </c>
      <c r="F7880" t="s">
        <v>8313</v>
      </c>
      <c r="G7880" s="1">
        <v>37865</v>
      </c>
      <c r="H7880" s="1">
        <v>38072</v>
      </c>
      <c r="I7880" t="s">
        <v>12</v>
      </c>
      <c r="J7880" t="s">
        <v>18650</v>
      </c>
    </row>
    <row r="7881" spans="1:10" x14ac:dyDescent="0.25">
      <c r="A7881">
        <v>3037263</v>
      </c>
      <c r="B7881" t="s">
        <v>8314</v>
      </c>
      <c r="C7881" t="str">
        <f>"9781588295415"</f>
        <v>9781588295415</v>
      </c>
      <c r="D7881" t="str">
        <f>"9781597450980"</f>
        <v>9781597450980</v>
      </c>
      <c r="E7881" t="s">
        <v>4780</v>
      </c>
      <c r="F7881" t="s">
        <v>4780</v>
      </c>
      <c r="G7881" s="1">
        <v>38838</v>
      </c>
      <c r="H7881" s="1">
        <v>39338</v>
      </c>
      <c r="I7881" t="s">
        <v>12</v>
      </c>
      <c r="J7881" t="s">
        <v>18651</v>
      </c>
    </row>
    <row r="7882" spans="1:10" x14ac:dyDescent="0.25">
      <c r="A7882">
        <v>3037550</v>
      </c>
      <c r="B7882" t="s">
        <v>8315</v>
      </c>
      <c r="C7882" t="str">
        <f>"9780804751582"</f>
        <v>9780804751582</v>
      </c>
      <c r="D7882" t="str">
        <f>"9780804767644"</f>
        <v>9780804767644</v>
      </c>
      <c r="E7882" t="s">
        <v>6225</v>
      </c>
      <c r="F7882" t="s">
        <v>6225</v>
      </c>
      <c r="G7882" s="1">
        <v>39114</v>
      </c>
      <c r="H7882" s="1">
        <v>39314</v>
      </c>
      <c r="I7882" t="s">
        <v>12</v>
      </c>
      <c r="J7882" t="s">
        <v>18652</v>
      </c>
    </row>
    <row r="7883" spans="1:10" x14ac:dyDescent="0.25">
      <c r="A7883">
        <v>3037551</v>
      </c>
      <c r="B7883" t="s">
        <v>8316</v>
      </c>
      <c r="C7883" t="str">
        <f>"9780804754859"</f>
        <v>9780804754859</v>
      </c>
      <c r="D7883" t="str">
        <f>"9780804768108"</f>
        <v>9780804768108</v>
      </c>
      <c r="E7883" t="s">
        <v>6225</v>
      </c>
      <c r="F7883" t="s">
        <v>6225</v>
      </c>
      <c r="G7883" s="1">
        <v>39016</v>
      </c>
      <c r="H7883" s="1">
        <v>39314</v>
      </c>
      <c r="I7883" t="s">
        <v>12</v>
      </c>
      <c r="J7883" t="s">
        <v>18653</v>
      </c>
    </row>
    <row r="7884" spans="1:10" x14ac:dyDescent="0.25">
      <c r="A7884">
        <v>3037562</v>
      </c>
      <c r="B7884" t="s">
        <v>8317</v>
      </c>
      <c r="C7884" t="str">
        <f>"9780804754170"</f>
        <v>9780804754170</v>
      </c>
      <c r="D7884" t="str">
        <f>"9780804768078"</f>
        <v>9780804768078</v>
      </c>
      <c r="E7884" t="s">
        <v>6225</v>
      </c>
      <c r="F7884" t="s">
        <v>6225</v>
      </c>
      <c r="G7884" s="1">
        <v>39058</v>
      </c>
      <c r="H7884" s="1">
        <v>39314</v>
      </c>
      <c r="I7884" t="s">
        <v>12</v>
      </c>
      <c r="J7884" t="s">
        <v>18654</v>
      </c>
    </row>
    <row r="7885" spans="1:10" x14ac:dyDescent="0.25">
      <c r="A7885">
        <v>3038104</v>
      </c>
      <c r="B7885" t="s">
        <v>8318</v>
      </c>
      <c r="C7885" t="str">
        <f>"9781854183279"</f>
        <v>9781854183279</v>
      </c>
      <c r="D7885" t="str">
        <f>"9781854184771"</f>
        <v>9781854184771</v>
      </c>
      <c r="E7885" t="s">
        <v>8319</v>
      </c>
      <c r="F7885" t="s">
        <v>3957</v>
      </c>
      <c r="G7885" s="1">
        <v>38687</v>
      </c>
      <c r="H7885" s="1">
        <v>39022</v>
      </c>
      <c r="I7885" t="s">
        <v>12</v>
      </c>
      <c r="J7885" t="s">
        <v>18655</v>
      </c>
    </row>
    <row r="7886" spans="1:10" x14ac:dyDescent="0.25">
      <c r="A7886">
        <v>3038203</v>
      </c>
      <c r="B7886" t="s">
        <v>8320</v>
      </c>
      <c r="C7886" t="str">
        <f>"9780520252301"</f>
        <v>9780520252301</v>
      </c>
      <c r="D7886" t="str">
        <f>"9780520941045"</f>
        <v>9780520941045</v>
      </c>
      <c r="E7886" t="s">
        <v>2000</v>
      </c>
      <c r="F7886" t="s">
        <v>2000</v>
      </c>
      <c r="G7886" s="1">
        <v>39237</v>
      </c>
      <c r="H7886" s="1">
        <v>39217</v>
      </c>
      <c r="I7886" t="s">
        <v>12</v>
      </c>
      <c r="J7886" t="s">
        <v>18656</v>
      </c>
    </row>
    <row r="7887" spans="1:10" x14ac:dyDescent="0.25">
      <c r="A7887">
        <v>3038824</v>
      </c>
      <c r="B7887" t="s">
        <v>8321</v>
      </c>
      <c r="C7887" t="str">
        <f>"9780820327105"</f>
        <v>9780820327105</v>
      </c>
      <c r="D7887" t="str">
        <f>"9780820330754"</f>
        <v>9780820330754</v>
      </c>
      <c r="E7887" t="s">
        <v>8322</v>
      </c>
      <c r="F7887" t="s">
        <v>8322</v>
      </c>
      <c r="G7887" s="1">
        <v>38749</v>
      </c>
      <c r="H7887" s="1">
        <v>40236</v>
      </c>
      <c r="I7887" t="s">
        <v>12</v>
      </c>
      <c r="J7887" t="s">
        <v>18657</v>
      </c>
    </row>
    <row r="7888" spans="1:10" x14ac:dyDescent="0.25">
      <c r="A7888">
        <v>3039297</v>
      </c>
      <c r="B7888" t="s">
        <v>8323</v>
      </c>
      <c r="C7888" t="str">
        <f>"9780803239340"</f>
        <v>9780803239340</v>
      </c>
      <c r="D7888" t="str">
        <f>"9780803202344"</f>
        <v>9780803202344</v>
      </c>
      <c r="E7888" t="s">
        <v>2728</v>
      </c>
      <c r="F7888" t="s">
        <v>2728</v>
      </c>
      <c r="G7888" s="1">
        <v>36586</v>
      </c>
      <c r="H7888" s="1">
        <v>37622</v>
      </c>
      <c r="I7888" t="s">
        <v>12</v>
      </c>
      <c r="J7888" t="s">
        <v>18658</v>
      </c>
    </row>
    <row r="7889" spans="1:10" x14ac:dyDescent="0.25">
      <c r="A7889">
        <v>3039365</v>
      </c>
      <c r="B7889" t="s">
        <v>8324</v>
      </c>
      <c r="C7889" t="str">
        <f>"9780803243149"</f>
        <v>9780803243149</v>
      </c>
      <c r="D7889" t="str">
        <f>"9780803205338"</f>
        <v>9780803205338</v>
      </c>
      <c r="E7889" t="s">
        <v>2728</v>
      </c>
      <c r="F7889" t="s">
        <v>2728</v>
      </c>
      <c r="G7889" s="1">
        <v>38322</v>
      </c>
      <c r="H7889" s="1">
        <v>40354</v>
      </c>
      <c r="I7889" t="s">
        <v>12</v>
      </c>
      <c r="J7889" t="s">
        <v>18659</v>
      </c>
    </row>
    <row r="7890" spans="1:10" x14ac:dyDescent="0.25">
      <c r="A7890">
        <v>3039366</v>
      </c>
      <c r="B7890" t="s">
        <v>8325</v>
      </c>
      <c r="C7890" t="str">
        <f>"9780803213159"</f>
        <v>9780803213159</v>
      </c>
      <c r="D7890" t="str">
        <f>"9780803205451"</f>
        <v>9780803205451</v>
      </c>
      <c r="E7890" t="s">
        <v>2728</v>
      </c>
      <c r="F7890" t="s">
        <v>2728</v>
      </c>
      <c r="G7890" s="1">
        <v>38687</v>
      </c>
      <c r="H7890" s="1">
        <v>40354</v>
      </c>
      <c r="I7890" t="s">
        <v>12</v>
      </c>
      <c r="J7890" t="s">
        <v>18660</v>
      </c>
    </row>
    <row r="7891" spans="1:10" x14ac:dyDescent="0.25">
      <c r="A7891">
        <v>3039598</v>
      </c>
      <c r="B7891" t="s">
        <v>8326</v>
      </c>
      <c r="C7891" t="str">
        <f>"9789280811391"</f>
        <v>9789280811391</v>
      </c>
      <c r="D7891" t="str">
        <f>"9789280871081"</f>
        <v>9789280871081</v>
      </c>
      <c r="E7891" t="s">
        <v>7287</v>
      </c>
      <c r="F7891" t="s">
        <v>7287</v>
      </c>
      <c r="G7891" s="1">
        <v>39234</v>
      </c>
      <c r="H7891" s="1">
        <v>39668</v>
      </c>
      <c r="I7891" t="s">
        <v>12</v>
      </c>
      <c r="J7891" t="s">
        <v>18661</v>
      </c>
    </row>
    <row r="7892" spans="1:10" x14ac:dyDescent="0.25">
      <c r="A7892">
        <v>3039611</v>
      </c>
      <c r="B7892" t="s">
        <v>8327</v>
      </c>
      <c r="C7892" t="str">
        <f>"9789280811469"</f>
        <v>9789280811469</v>
      </c>
      <c r="D7892" t="str">
        <f>"9789280871159"</f>
        <v>9789280871159</v>
      </c>
      <c r="E7892" t="s">
        <v>7287</v>
      </c>
      <c r="F7892" t="s">
        <v>7287</v>
      </c>
      <c r="G7892" s="1">
        <v>39479</v>
      </c>
      <c r="H7892" s="1">
        <v>40354</v>
      </c>
      <c r="I7892" t="s">
        <v>12</v>
      </c>
      <c r="J7892" t="s">
        <v>18662</v>
      </c>
    </row>
    <row r="7893" spans="1:10" x14ac:dyDescent="0.25">
      <c r="A7893">
        <v>3039613</v>
      </c>
      <c r="B7893" t="s">
        <v>8328</v>
      </c>
      <c r="C7893" t="str">
        <f>"9789280811636"</f>
        <v>9789280811636</v>
      </c>
      <c r="D7893" t="str">
        <f>"9789280871326"</f>
        <v>9789280871326</v>
      </c>
      <c r="E7893" t="s">
        <v>7287</v>
      </c>
      <c r="F7893" t="s">
        <v>7287</v>
      </c>
      <c r="G7893" s="1">
        <v>39845</v>
      </c>
      <c r="H7893" s="1">
        <v>40354</v>
      </c>
      <c r="I7893" t="s">
        <v>12</v>
      </c>
      <c r="J7893" t="s">
        <v>18663</v>
      </c>
    </row>
    <row r="7894" spans="1:10" x14ac:dyDescent="0.25">
      <c r="A7894">
        <v>3039615</v>
      </c>
      <c r="B7894" t="s">
        <v>8329</v>
      </c>
      <c r="C7894" t="str">
        <f>"9789280811476"</f>
        <v>9789280811476</v>
      </c>
      <c r="D7894" t="str">
        <f>"9789280871166"</f>
        <v>9789280871166</v>
      </c>
      <c r="E7894" t="s">
        <v>7287</v>
      </c>
      <c r="F7894" t="s">
        <v>7287</v>
      </c>
      <c r="G7894" s="1">
        <v>39479</v>
      </c>
      <c r="H7894" s="1">
        <v>40354</v>
      </c>
      <c r="I7894" t="s">
        <v>12</v>
      </c>
      <c r="J7894" t="s">
        <v>18664</v>
      </c>
    </row>
    <row r="7895" spans="1:10" x14ac:dyDescent="0.25">
      <c r="A7895">
        <v>3039616</v>
      </c>
      <c r="B7895" t="s">
        <v>8330</v>
      </c>
      <c r="C7895" t="str">
        <f>"9789280811414"</f>
        <v>9789280811414</v>
      </c>
      <c r="D7895" t="str">
        <f>"9789280871104"</f>
        <v>9789280871104</v>
      </c>
      <c r="E7895" t="s">
        <v>7287</v>
      </c>
      <c r="F7895" t="s">
        <v>7287</v>
      </c>
      <c r="G7895" s="1">
        <v>39356</v>
      </c>
      <c r="H7895" s="1">
        <v>40354</v>
      </c>
      <c r="I7895" t="s">
        <v>12</v>
      </c>
      <c r="J7895" t="s">
        <v>18665</v>
      </c>
    </row>
    <row r="7896" spans="1:10" x14ac:dyDescent="0.25">
      <c r="A7896">
        <v>3039617</v>
      </c>
      <c r="B7896" t="s">
        <v>8331</v>
      </c>
      <c r="C7896" t="str">
        <f>"9789280811483"</f>
        <v>9789280811483</v>
      </c>
      <c r="D7896" t="str">
        <f>"9789280871173"</f>
        <v>9789280871173</v>
      </c>
      <c r="E7896" t="s">
        <v>7287</v>
      </c>
      <c r="F7896" t="s">
        <v>7287</v>
      </c>
      <c r="G7896" s="1">
        <v>39479</v>
      </c>
      <c r="H7896" s="1">
        <v>40354</v>
      </c>
      <c r="I7896" t="s">
        <v>12</v>
      </c>
      <c r="J7896" t="s">
        <v>18666</v>
      </c>
    </row>
    <row r="7897" spans="1:10" x14ac:dyDescent="0.25">
      <c r="A7897">
        <v>3039620</v>
      </c>
      <c r="B7897" t="s">
        <v>8332</v>
      </c>
      <c r="C7897" t="str">
        <f>"9789280811506"</f>
        <v>9789280811506</v>
      </c>
      <c r="D7897" t="str">
        <f>"9789280871197"</f>
        <v>9789280871197</v>
      </c>
      <c r="E7897" t="s">
        <v>7287</v>
      </c>
      <c r="F7897" t="s">
        <v>7287</v>
      </c>
      <c r="G7897" s="1">
        <v>39508</v>
      </c>
      <c r="H7897" s="1">
        <v>40354</v>
      </c>
      <c r="I7897" t="s">
        <v>12</v>
      </c>
      <c r="J7897" t="s">
        <v>18667</v>
      </c>
    </row>
    <row r="7898" spans="1:10" x14ac:dyDescent="0.25">
      <c r="A7898">
        <v>3039621</v>
      </c>
      <c r="B7898" t="s">
        <v>8333</v>
      </c>
      <c r="C7898" t="str">
        <f>"9789280811490"</f>
        <v>9789280811490</v>
      </c>
      <c r="D7898" t="str">
        <f>"9789280871180"</f>
        <v>9789280871180</v>
      </c>
      <c r="E7898" t="s">
        <v>7287</v>
      </c>
      <c r="F7898" t="s">
        <v>7287</v>
      </c>
      <c r="G7898" s="1">
        <v>39448</v>
      </c>
      <c r="H7898" s="1">
        <v>40354</v>
      </c>
      <c r="I7898" t="s">
        <v>12</v>
      </c>
      <c r="J7898" t="s">
        <v>18668</v>
      </c>
    </row>
    <row r="7899" spans="1:10" x14ac:dyDescent="0.25">
      <c r="A7899">
        <v>3039645</v>
      </c>
      <c r="B7899" t="s">
        <v>8334</v>
      </c>
      <c r="C7899" t="str">
        <f>"9789280811254"</f>
        <v>9789280811254</v>
      </c>
      <c r="D7899" t="str">
        <f>"9789280870763"</f>
        <v>9789280870763</v>
      </c>
      <c r="E7899" t="s">
        <v>7287</v>
      </c>
      <c r="F7899" t="s">
        <v>7287</v>
      </c>
      <c r="G7899" s="1">
        <v>39052</v>
      </c>
      <c r="H7899" s="1">
        <v>41176</v>
      </c>
      <c r="I7899" t="s">
        <v>12</v>
      </c>
      <c r="J7899" t="s">
        <v>18669</v>
      </c>
    </row>
    <row r="7900" spans="1:10" x14ac:dyDescent="0.25">
      <c r="A7900">
        <v>3039913</v>
      </c>
      <c r="B7900" t="s">
        <v>8335</v>
      </c>
      <c r="C7900" t="str">
        <f>"9780813124797"</f>
        <v>9780813124797</v>
      </c>
      <c r="D7900" t="str">
        <f>"9780813172880"</f>
        <v>9780813172880</v>
      </c>
      <c r="E7900" t="s">
        <v>7202</v>
      </c>
      <c r="F7900" t="s">
        <v>7202</v>
      </c>
      <c r="G7900" s="1">
        <v>39417</v>
      </c>
      <c r="H7900" s="1">
        <v>39827</v>
      </c>
      <c r="I7900" t="s">
        <v>12</v>
      </c>
      <c r="J7900" t="s">
        <v>18670</v>
      </c>
    </row>
    <row r="7901" spans="1:10" x14ac:dyDescent="0.25">
      <c r="A7901">
        <v>3039921</v>
      </c>
      <c r="B7901" t="s">
        <v>8336</v>
      </c>
      <c r="C7901" t="str">
        <f>"9781578067947"</f>
        <v>9781578067947</v>
      </c>
      <c r="D7901" t="str">
        <f>"9781604730661"</f>
        <v>9781604730661</v>
      </c>
      <c r="E7901" t="s">
        <v>6292</v>
      </c>
      <c r="F7901" t="s">
        <v>6292</v>
      </c>
      <c r="G7901" s="1">
        <v>38657</v>
      </c>
      <c r="H7901" s="1">
        <v>39121</v>
      </c>
      <c r="I7901" t="s">
        <v>12</v>
      </c>
      <c r="J7901" t="s">
        <v>18671</v>
      </c>
    </row>
    <row r="7902" spans="1:10" x14ac:dyDescent="0.25">
      <c r="A7902">
        <v>3039979</v>
      </c>
      <c r="B7902" t="s">
        <v>8337</v>
      </c>
      <c r="C7902" t="str">
        <f>"9780826516152"</f>
        <v>9780826516152</v>
      </c>
      <c r="D7902" t="str">
        <f>"9780826592521"</f>
        <v>9780826592521</v>
      </c>
      <c r="E7902" t="s">
        <v>8338</v>
      </c>
      <c r="F7902" t="s">
        <v>8338</v>
      </c>
      <c r="G7902" s="1">
        <v>39873</v>
      </c>
      <c r="H7902" s="1">
        <v>40012</v>
      </c>
      <c r="I7902" t="s">
        <v>12</v>
      </c>
      <c r="J7902" t="s">
        <v>18672</v>
      </c>
    </row>
    <row r="7903" spans="1:10" x14ac:dyDescent="0.25">
      <c r="A7903">
        <v>3039989</v>
      </c>
      <c r="B7903" t="s">
        <v>8339</v>
      </c>
      <c r="C7903" t="str">
        <f>"9780826514509"</f>
        <v>9780826514509</v>
      </c>
      <c r="D7903" t="str">
        <f>"9780826591814"</f>
        <v>9780826591814</v>
      </c>
      <c r="E7903" t="s">
        <v>8338</v>
      </c>
      <c r="F7903" t="s">
        <v>8338</v>
      </c>
      <c r="G7903" s="1">
        <v>38139</v>
      </c>
      <c r="H7903" s="1">
        <v>40026</v>
      </c>
      <c r="I7903" t="s">
        <v>12</v>
      </c>
      <c r="J7903" t="s">
        <v>18673</v>
      </c>
    </row>
    <row r="7904" spans="1:10" x14ac:dyDescent="0.25">
      <c r="A7904">
        <v>3039992</v>
      </c>
      <c r="B7904" t="s">
        <v>8340</v>
      </c>
      <c r="C7904" t="str">
        <f>"9780826514462"</f>
        <v>9780826514462</v>
      </c>
      <c r="D7904" t="str">
        <f>"9780826591791"</f>
        <v>9780826591791</v>
      </c>
      <c r="E7904" t="s">
        <v>8338</v>
      </c>
      <c r="F7904" t="s">
        <v>8338</v>
      </c>
      <c r="G7904" s="1">
        <v>38169</v>
      </c>
      <c r="H7904" s="1">
        <v>40026</v>
      </c>
      <c r="I7904" t="s">
        <v>12</v>
      </c>
      <c r="J7904" t="s">
        <v>18674</v>
      </c>
    </row>
    <row r="7905" spans="1:10" x14ac:dyDescent="0.25">
      <c r="A7905">
        <v>3040026</v>
      </c>
      <c r="B7905" t="s">
        <v>8341</v>
      </c>
      <c r="C7905" t="str">
        <f>"9780826515025"</f>
        <v>9780826515025</v>
      </c>
      <c r="D7905" t="str">
        <f>"9780826592026"</f>
        <v>9780826592026</v>
      </c>
      <c r="E7905" t="s">
        <v>8338</v>
      </c>
      <c r="F7905" t="s">
        <v>8338</v>
      </c>
      <c r="G7905" s="1">
        <v>38626</v>
      </c>
      <c r="H7905" s="1">
        <v>40103</v>
      </c>
      <c r="I7905" t="s">
        <v>12</v>
      </c>
      <c r="J7905" t="s">
        <v>18675</v>
      </c>
    </row>
    <row r="7906" spans="1:10" x14ac:dyDescent="0.25">
      <c r="A7906">
        <v>3050184</v>
      </c>
      <c r="B7906" t="s">
        <v>8342</v>
      </c>
      <c r="C7906" t="str">
        <f>"9780889203587"</f>
        <v>9780889203587</v>
      </c>
      <c r="D7906" t="str">
        <f>"9780889206076"</f>
        <v>9780889206076</v>
      </c>
      <c r="E7906" t="s">
        <v>6964</v>
      </c>
      <c r="F7906" t="s">
        <v>6964</v>
      </c>
      <c r="G7906" s="1">
        <v>36664</v>
      </c>
      <c r="H7906" s="1">
        <v>37622</v>
      </c>
      <c r="I7906" t="s">
        <v>12</v>
      </c>
      <c r="J7906" t="s">
        <v>18676</v>
      </c>
    </row>
    <row r="7907" spans="1:10" x14ac:dyDescent="0.25">
      <c r="A7907">
        <v>3050186</v>
      </c>
      <c r="B7907" t="s">
        <v>8343</v>
      </c>
      <c r="C7907" t="str">
        <f>"9780889204751"</f>
        <v>9780889204751</v>
      </c>
      <c r="D7907" t="str">
        <f>"9781554580880"</f>
        <v>9781554580880</v>
      </c>
      <c r="E7907" t="s">
        <v>6964</v>
      </c>
      <c r="F7907" t="s">
        <v>6964</v>
      </c>
      <c r="G7907" s="1">
        <v>38824</v>
      </c>
      <c r="H7907" s="1">
        <v>38904</v>
      </c>
      <c r="I7907" t="s">
        <v>12</v>
      </c>
      <c r="J7907" t="s">
        <v>18677</v>
      </c>
    </row>
    <row r="7908" spans="1:10" x14ac:dyDescent="0.25">
      <c r="A7908">
        <v>3050202</v>
      </c>
      <c r="B7908" t="s">
        <v>8344</v>
      </c>
      <c r="C7908" t="str">
        <f>"9780889202634"</f>
        <v>9780889202634</v>
      </c>
      <c r="D7908" t="str">
        <f>"9780889205659"</f>
        <v>9780889205659</v>
      </c>
      <c r="E7908" t="s">
        <v>6964</v>
      </c>
      <c r="F7908" t="s">
        <v>6964</v>
      </c>
      <c r="G7908" s="1">
        <v>35208</v>
      </c>
      <c r="H7908" s="1">
        <v>39022</v>
      </c>
      <c r="I7908" t="s">
        <v>12</v>
      </c>
      <c r="J7908" t="s">
        <v>18678</v>
      </c>
    </row>
    <row r="7909" spans="1:10" x14ac:dyDescent="0.25">
      <c r="A7909">
        <v>3051868</v>
      </c>
      <c r="B7909" t="s">
        <v>8345</v>
      </c>
      <c r="C7909" t="str">
        <f>"9780195165814"</f>
        <v>9780195165814</v>
      </c>
      <c r="D7909" t="str">
        <f>"9780195347357"</f>
        <v>9780195347357</v>
      </c>
      <c r="E7909" t="s">
        <v>1268</v>
      </c>
      <c r="F7909" t="s">
        <v>1268</v>
      </c>
      <c r="G7909" s="1">
        <v>38659</v>
      </c>
      <c r="H7909" s="1">
        <v>38595</v>
      </c>
      <c r="I7909" t="s">
        <v>12</v>
      </c>
      <c r="J7909" t="s">
        <v>18679</v>
      </c>
    </row>
    <row r="7910" spans="1:10" x14ac:dyDescent="0.25">
      <c r="A7910">
        <v>3051958</v>
      </c>
      <c r="B7910" t="s">
        <v>8346</v>
      </c>
      <c r="C7910" t="str">
        <f>"9780195166989"</f>
        <v>9780195166989</v>
      </c>
      <c r="D7910" t="str">
        <f>"9780198037323"</f>
        <v>9780198037323</v>
      </c>
      <c r="E7910" t="s">
        <v>1270</v>
      </c>
      <c r="F7910" t="s">
        <v>1270</v>
      </c>
      <c r="G7910" s="1">
        <v>38603</v>
      </c>
      <c r="H7910" s="1">
        <v>38688</v>
      </c>
      <c r="I7910" t="s">
        <v>12</v>
      </c>
      <c r="J7910" t="s">
        <v>18680</v>
      </c>
    </row>
    <row r="7911" spans="1:10" x14ac:dyDescent="0.25">
      <c r="A7911">
        <v>3052021</v>
      </c>
      <c r="B7911" t="s">
        <v>8347</v>
      </c>
      <c r="C7911" t="str">
        <f>"9780195182798"</f>
        <v>9780195182798</v>
      </c>
      <c r="D7911" t="str">
        <f>"9780198030942"</f>
        <v>9780198030942</v>
      </c>
      <c r="E7911" t="s">
        <v>1270</v>
      </c>
      <c r="F7911" t="s">
        <v>1133</v>
      </c>
      <c r="G7911" s="1">
        <v>38412</v>
      </c>
      <c r="H7911" s="1">
        <v>38741</v>
      </c>
      <c r="I7911" t="s">
        <v>12</v>
      </c>
      <c r="J7911" t="s">
        <v>18681</v>
      </c>
    </row>
    <row r="7912" spans="1:10" x14ac:dyDescent="0.25">
      <c r="A7912">
        <v>3052031</v>
      </c>
      <c r="B7912" t="s">
        <v>8348</v>
      </c>
      <c r="C7912" t="str">
        <f>"9780195177275"</f>
        <v>9780195177275</v>
      </c>
      <c r="D7912" t="str">
        <f>"9780198039402"</f>
        <v>9780198039402</v>
      </c>
      <c r="E7912" t="s">
        <v>1270</v>
      </c>
      <c r="F7912" t="s">
        <v>1270</v>
      </c>
      <c r="G7912" s="1">
        <v>38421</v>
      </c>
      <c r="H7912" s="1">
        <v>38741</v>
      </c>
      <c r="I7912" t="s">
        <v>12</v>
      </c>
      <c r="J7912" t="s">
        <v>18682</v>
      </c>
    </row>
    <row r="7913" spans="1:10" x14ac:dyDescent="0.25">
      <c r="A7913">
        <v>3052054</v>
      </c>
      <c r="B7913" t="s">
        <v>8349</v>
      </c>
      <c r="C7913" t="str">
        <f>"9780195073355"</f>
        <v>9780195073355</v>
      </c>
      <c r="D7913" t="str">
        <f>"9780195360882"</f>
        <v>9780195360882</v>
      </c>
      <c r="E7913" t="s">
        <v>1270</v>
      </c>
      <c r="F7913" t="s">
        <v>1270</v>
      </c>
      <c r="G7913" s="1">
        <v>34340</v>
      </c>
      <c r="H7913" s="1">
        <v>39027</v>
      </c>
      <c r="I7913" t="s">
        <v>12</v>
      </c>
      <c r="J7913" t="s">
        <v>18683</v>
      </c>
    </row>
    <row r="7914" spans="1:10" x14ac:dyDescent="0.25">
      <c r="A7914">
        <v>3052081</v>
      </c>
      <c r="B7914" t="s">
        <v>8350</v>
      </c>
      <c r="C7914" t="str">
        <f>"9780195142327"</f>
        <v>9780195142327</v>
      </c>
      <c r="D7914" t="str">
        <f>"9780198032526"</f>
        <v>9780198032526</v>
      </c>
      <c r="E7914" t="s">
        <v>1270</v>
      </c>
      <c r="F7914" t="s">
        <v>1133</v>
      </c>
      <c r="G7914" s="1">
        <v>38718</v>
      </c>
      <c r="H7914" s="1">
        <v>39027</v>
      </c>
      <c r="I7914" t="s">
        <v>12</v>
      </c>
      <c r="J7914" t="s">
        <v>18684</v>
      </c>
    </row>
    <row r="7915" spans="1:10" x14ac:dyDescent="0.25">
      <c r="A7915">
        <v>3052119</v>
      </c>
      <c r="B7915" t="s">
        <v>8351</v>
      </c>
      <c r="C7915" t="str">
        <f>"9780195189582"</f>
        <v>9780195189582</v>
      </c>
      <c r="D7915" t="str">
        <f>"9780195345926"</f>
        <v>9780195345926</v>
      </c>
      <c r="E7915" t="s">
        <v>1268</v>
      </c>
      <c r="F7915" t="s">
        <v>1268</v>
      </c>
      <c r="G7915" s="1">
        <v>38960</v>
      </c>
      <c r="H7915" s="1">
        <v>39142</v>
      </c>
      <c r="I7915" t="s">
        <v>12</v>
      </c>
      <c r="J7915" t="s">
        <v>18685</v>
      </c>
    </row>
    <row r="7916" spans="1:10" x14ac:dyDescent="0.25">
      <c r="A7916">
        <v>3052137</v>
      </c>
      <c r="B7916" t="s">
        <v>8352</v>
      </c>
      <c r="C7916" t="str">
        <f>"9780195163483"</f>
        <v>9780195163483</v>
      </c>
      <c r="D7916" t="str">
        <f>"9780198036913"</f>
        <v>9780198036913</v>
      </c>
      <c r="E7916" t="s">
        <v>1268</v>
      </c>
      <c r="F7916" t="s">
        <v>1268</v>
      </c>
      <c r="G7916" s="1">
        <v>39191</v>
      </c>
      <c r="H7916" s="1">
        <v>39319</v>
      </c>
      <c r="I7916" t="s">
        <v>12</v>
      </c>
      <c r="J7916" t="s">
        <v>18686</v>
      </c>
    </row>
    <row r="7917" spans="1:10" x14ac:dyDescent="0.25">
      <c r="A7917">
        <v>3052156</v>
      </c>
      <c r="B7917" t="s">
        <v>8353</v>
      </c>
      <c r="C7917" t="str">
        <f>"9780195182767"</f>
        <v>9780195182767</v>
      </c>
      <c r="D7917" t="str">
        <f>"9780198040316"</f>
        <v>9780198040316</v>
      </c>
      <c r="E7917" t="s">
        <v>1270</v>
      </c>
      <c r="F7917" t="s">
        <v>1270</v>
      </c>
      <c r="G7917" s="1">
        <v>39338</v>
      </c>
      <c r="H7917" s="1">
        <v>39471</v>
      </c>
      <c r="I7917" t="s">
        <v>12</v>
      </c>
      <c r="J7917" t="s">
        <v>18687</v>
      </c>
    </row>
    <row r="7918" spans="1:10" x14ac:dyDescent="0.25">
      <c r="A7918">
        <v>3052167</v>
      </c>
      <c r="B7918" t="s">
        <v>8354</v>
      </c>
      <c r="C7918" t="str">
        <f>"9780198166474"</f>
        <v>9780198166474</v>
      </c>
      <c r="D7918" t="str">
        <f>"9780191513268"</f>
        <v>9780191513268</v>
      </c>
      <c r="E7918" t="s">
        <v>1270</v>
      </c>
      <c r="F7918" t="s">
        <v>1270</v>
      </c>
      <c r="G7918" s="1">
        <v>38400</v>
      </c>
      <c r="H7918" s="1">
        <v>39539</v>
      </c>
      <c r="I7918" t="s">
        <v>12</v>
      </c>
      <c r="J7918" t="s">
        <v>18688</v>
      </c>
    </row>
    <row r="7919" spans="1:10" x14ac:dyDescent="0.25">
      <c r="A7919">
        <v>3052275</v>
      </c>
      <c r="B7919" t="s">
        <v>8355</v>
      </c>
      <c r="C7919" t="str">
        <f>"9780195151121"</f>
        <v>9780195151121</v>
      </c>
      <c r="D7919" t="str">
        <f>"9780198034421"</f>
        <v>9780198034421</v>
      </c>
      <c r="E7919" t="s">
        <v>1270</v>
      </c>
      <c r="F7919" t="s">
        <v>1270</v>
      </c>
      <c r="G7919" s="1">
        <v>37679</v>
      </c>
      <c r="H7919" s="1">
        <v>39542</v>
      </c>
      <c r="I7919" t="s">
        <v>12</v>
      </c>
      <c r="J7919" t="s">
        <v>18689</v>
      </c>
    </row>
    <row r="7920" spans="1:10" x14ac:dyDescent="0.25">
      <c r="A7920">
        <v>3052301</v>
      </c>
      <c r="B7920" t="s">
        <v>8356</v>
      </c>
      <c r="C7920" t="str">
        <f>"9780195151947"</f>
        <v>9780195151947</v>
      </c>
      <c r="D7920" t="str">
        <f>"9780195348545"</f>
        <v>9780195348545</v>
      </c>
      <c r="E7920" t="s">
        <v>1270</v>
      </c>
      <c r="F7920" t="s">
        <v>1270</v>
      </c>
      <c r="G7920" s="1">
        <v>38554</v>
      </c>
      <c r="H7920" s="1">
        <v>39542</v>
      </c>
      <c r="I7920" t="s">
        <v>12</v>
      </c>
      <c r="J7920" t="s">
        <v>18690</v>
      </c>
    </row>
    <row r="7921" spans="1:10" x14ac:dyDescent="0.25">
      <c r="A7921">
        <v>3052386</v>
      </c>
      <c r="B7921" t="s">
        <v>8357</v>
      </c>
      <c r="C7921" t="str">
        <f>"9780195122541"</f>
        <v>9780195122541</v>
      </c>
      <c r="D7921" t="str">
        <f>"9780198028581"</f>
        <v>9780198028581</v>
      </c>
      <c r="E7921" t="s">
        <v>1270</v>
      </c>
      <c r="F7921" t="s">
        <v>1270</v>
      </c>
      <c r="G7921" s="1">
        <v>36608</v>
      </c>
      <c r="H7921" s="1">
        <v>39542</v>
      </c>
      <c r="I7921" t="s">
        <v>12</v>
      </c>
      <c r="J7921" t="s">
        <v>18691</v>
      </c>
    </row>
    <row r="7922" spans="1:10" x14ac:dyDescent="0.25">
      <c r="A7922">
        <v>3052428</v>
      </c>
      <c r="B7922" t="s">
        <v>8358</v>
      </c>
      <c r="C7922" t="str">
        <f>"9780195173819"</f>
        <v>9780195173819</v>
      </c>
      <c r="D7922" t="str">
        <f>"9780198038757"</f>
        <v>9780198038757</v>
      </c>
      <c r="E7922" t="s">
        <v>1270</v>
      </c>
      <c r="F7922" t="s">
        <v>1270</v>
      </c>
      <c r="G7922" s="1">
        <v>38365</v>
      </c>
      <c r="H7922" s="1">
        <v>39543</v>
      </c>
      <c r="I7922" t="s">
        <v>12</v>
      </c>
      <c r="J7922" t="s">
        <v>18692</v>
      </c>
    </row>
    <row r="7923" spans="1:10" x14ac:dyDescent="0.25">
      <c r="A7923">
        <v>3052601</v>
      </c>
      <c r="B7923" t="s">
        <v>8359</v>
      </c>
      <c r="C7923" t="str">
        <f>"9780199290932"</f>
        <v>9780199290932</v>
      </c>
      <c r="D7923" t="str">
        <f>"9780191537493"</f>
        <v>9780191537493</v>
      </c>
      <c r="E7923" t="s">
        <v>1270</v>
      </c>
      <c r="F7923" t="s">
        <v>5302</v>
      </c>
      <c r="G7923" s="1">
        <v>39142</v>
      </c>
      <c r="H7923" s="1">
        <v>39603</v>
      </c>
      <c r="I7923" t="s">
        <v>12</v>
      </c>
      <c r="J7923" t="s">
        <v>18693</v>
      </c>
    </row>
    <row r="7924" spans="1:10" x14ac:dyDescent="0.25">
      <c r="A7924">
        <v>3052610</v>
      </c>
      <c r="B7924" t="s">
        <v>8360</v>
      </c>
      <c r="C7924" t="str">
        <f>"9780192803641"</f>
        <v>9780192803641</v>
      </c>
      <c r="D7924" t="str">
        <f>"9780191516764"</f>
        <v>9780191516764</v>
      </c>
      <c r="E7924" t="s">
        <v>1133</v>
      </c>
      <c r="F7924" t="s">
        <v>5645</v>
      </c>
      <c r="G7924" s="1">
        <v>38384</v>
      </c>
      <c r="H7924" s="1">
        <v>39686</v>
      </c>
      <c r="I7924" t="s">
        <v>12</v>
      </c>
      <c r="J7924" t="s">
        <v>18694</v>
      </c>
    </row>
    <row r="7925" spans="1:10" x14ac:dyDescent="0.25">
      <c r="A7925">
        <v>3053429</v>
      </c>
      <c r="B7925" t="s">
        <v>8361</v>
      </c>
      <c r="C7925" t="str">
        <f>"9780199270842"</f>
        <v>9780199270842</v>
      </c>
      <c r="D7925" t="str">
        <f>"9780191533778"</f>
        <v>9780191533778</v>
      </c>
      <c r="E7925" t="s">
        <v>1270</v>
      </c>
      <c r="F7925" t="s">
        <v>1270</v>
      </c>
      <c r="G7925" s="1">
        <v>39142</v>
      </c>
      <c r="H7925" s="1">
        <v>39970</v>
      </c>
      <c r="I7925" t="s">
        <v>12</v>
      </c>
      <c r="J7925" t="s">
        <v>18695</v>
      </c>
    </row>
    <row r="7926" spans="1:10" x14ac:dyDescent="0.25">
      <c r="A7926">
        <v>3053430</v>
      </c>
      <c r="B7926" t="s">
        <v>8362</v>
      </c>
      <c r="C7926" t="str">
        <f>"9780199211098"</f>
        <v>9780199211098</v>
      </c>
      <c r="D7926" t="str">
        <f>"9780191526275"</f>
        <v>9780191526275</v>
      </c>
      <c r="E7926" t="s">
        <v>1270</v>
      </c>
      <c r="F7926" t="s">
        <v>1270</v>
      </c>
      <c r="G7926" s="1">
        <v>39233</v>
      </c>
      <c r="H7926" s="1">
        <v>39970</v>
      </c>
      <c r="I7926" t="s">
        <v>12</v>
      </c>
      <c r="J7926" t="s">
        <v>18696</v>
      </c>
    </row>
    <row r="7927" spans="1:10" x14ac:dyDescent="0.25">
      <c r="A7927">
        <v>3053675</v>
      </c>
      <c r="B7927" t="s">
        <v>8363</v>
      </c>
      <c r="C7927" t="str">
        <f>"9780195114423"</f>
        <v>9780195114423</v>
      </c>
      <c r="D7927" t="str">
        <f>"9780199748822"</f>
        <v>9780199748822</v>
      </c>
      <c r="E7927" t="s">
        <v>1270</v>
      </c>
      <c r="F7927" t="s">
        <v>1270</v>
      </c>
      <c r="G7927" s="1">
        <v>35530</v>
      </c>
      <c r="H7927" s="1">
        <v>40263</v>
      </c>
      <c r="I7927" t="s">
        <v>12</v>
      </c>
      <c r="J7927" t="s">
        <v>18697</v>
      </c>
    </row>
    <row r="7928" spans="1:10" x14ac:dyDescent="0.25">
      <c r="A7928">
        <v>3053687</v>
      </c>
      <c r="B7928" t="s">
        <v>8364</v>
      </c>
      <c r="C7928" t="str">
        <f>"9780195138382"</f>
        <v>9780195138382</v>
      </c>
      <c r="D7928" t="str">
        <f>"9780199747924"</f>
        <v>9780199747924</v>
      </c>
      <c r="E7928" t="s">
        <v>1268</v>
      </c>
      <c r="F7928" t="s">
        <v>1268</v>
      </c>
      <c r="G7928" s="1">
        <v>37700</v>
      </c>
      <c r="H7928" s="1">
        <v>40263</v>
      </c>
      <c r="I7928" t="s">
        <v>12</v>
      </c>
      <c r="J7928" t="s">
        <v>18698</v>
      </c>
    </row>
    <row r="7929" spans="1:10" x14ac:dyDescent="0.25">
      <c r="A7929">
        <v>3053699</v>
      </c>
      <c r="B7929" t="s">
        <v>8365</v>
      </c>
      <c r="C7929" t="str">
        <f>"9780195158342"</f>
        <v>9780195158342</v>
      </c>
      <c r="D7929" t="str">
        <f>"9780199759842"</f>
        <v>9780199759842</v>
      </c>
      <c r="E7929" t="s">
        <v>1270</v>
      </c>
      <c r="F7929" t="s">
        <v>5318</v>
      </c>
      <c r="G7929" s="1">
        <v>37561</v>
      </c>
      <c r="H7929" s="1">
        <v>40263</v>
      </c>
      <c r="I7929" t="s">
        <v>12</v>
      </c>
      <c r="J7929" t="s">
        <v>18699</v>
      </c>
    </row>
    <row r="7930" spans="1:10" x14ac:dyDescent="0.25">
      <c r="A7930">
        <v>3059128</v>
      </c>
      <c r="B7930" t="s">
        <v>8366</v>
      </c>
      <c r="C7930" t="str">
        <f>"9780419245803"</f>
        <v>9780419245803</v>
      </c>
      <c r="D7930" t="str">
        <f>"9781482286632"</f>
        <v>9781482286632</v>
      </c>
      <c r="E7930" t="s">
        <v>144</v>
      </c>
      <c r="F7930" t="s">
        <v>144</v>
      </c>
      <c r="G7930" s="1">
        <v>33238</v>
      </c>
      <c r="H7930" s="1">
        <v>37622</v>
      </c>
      <c r="I7930" t="s">
        <v>12</v>
      </c>
      <c r="J7930" t="s">
        <v>18700</v>
      </c>
    </row>
    <row r="7931" spans="1:10" x14ac:dyDescent="0.25">
      <c r="A7931">
        <v>3059336</v>
      </c>
      <c r="B7931" t="s">
        <v>8367</v>
      </c>
      <c r="C7931" t="str">
        <f>"9780849323232"</f>
        <v>9780849323232</v>
      </c>
      <c r="D7931" t="str">
        <f>"9780203492512"</f>
        <v>9780203492512</v>
      </c>
      <c r="E7931" t="s">
        <v>15</v>
      </c>
      <c r="F7931" t="s">
        <v>139</v>
      </c>
      <c r="G7931" s="1">
        <v>38497</v>
      </c>
      <c r="H7931" s="1">
        <v>39037</v>
      </c>
      <c r="I7931" t="s">
        <v>12</v>
      </c>
      <c r="J7931" t="s">
        <v>18701</v>
      </c>
    </row>
    <row r="7932" spans="1:10" x14ac:dyDescent="0.25">
      <c r="A7932">
        <v>3059429</v>
      </c>
      <c r="B7932" t="s">
        <v>8368</v>
      </c>
      <c r="C7932" t="str">
        <f>"9781566706551"</f>
        <v>9781566706551</v>
      </c>
      <c r="D7932" t="str">
        <f>"9780203498354"</f>
        <v>9780203498354</v>
      </c>
      <c r="E7932" t="s">
        <v>15</v>
      </c>
      <c r="F7932" t="s">
        <v>139</v>
      </c>
      <c r="G7932" s="1">
        <v>38306</v>
      </c>
      <c r="H7932" s="1">
        <v>39060</v>
      </c>
      <c r="I7932" t="s">
        <v>12</v>
      </c>
      <c r="J7932" t="s">
        <v>18702</v>
      </c>
    </row>
    <row r="7933" spans="1:10" x14ac:dyDescent="0.25">
      <c r="A7933">
        <v>3059438</v>
      </c>
      <c r="B7933" t="s">
        <v>8369</v>
      </c>
      <c r="C7933" t="str">
        <f>"9780849334061"</f>
        <v>9780849334061</v>
      </c>
      <c r="D7933" t="str">
        <f>"9781420014044"</f>
        <v>9781420014044</v>
      </c>
      <c r="E7933" t="s">
        <v>144</v>
      </c>
      <c r="F7933" t="s">
        <v>144</v>
      </c>
      <c r="G7933" s="1">
        <v>38889</v>
      </c>
      <c r="H7933" s="1">
        <v>39060</v>
      </c>
      <c r="I7933" t="s">
        <v>12</v>
      </c>
      <c r="J7933" t="s">
        <v>18703</v>
      </c>
    </row>
    <row r="7934" spans="1:10" x14ac:dyDescent="0.25">
      <c r="A7934">
        <v>3059441</v>
      </c>
      <c r="B7934" t="s">
        <v>8370</v>
      </c>
      <c r="C7934" t="str">
        <f>"9780849334184"</f>
        <v>9780849334184</v>
      </c>
      <c r="D7934" t="str">
        <f>"9781420026429"</f>
        <v>9781420026429</v>
      </c>
      <c r="E7934" t="s">
        <v>144</v>
      </c>
      <c r="F7934" t="s">
        <v>144</v>
      </c>
      <c r="G7934" s="1">
        <v>38658</v>
      </c>
      <c r="H7934" s="1">
        <v>39060</v>
      </c>
      <c r="I7934" t="s">
        <v>12</v>
      </c>
      <c r="J7934" t="s">
        <v>18704</v>
      </c>
    </row>
    <row r="7935" spans="1:10" x14ac:dyDescent="0.25">
      <c r="A7935">
        <v>3059540</v>
      </c>
      <c r="B7935" t="s">
        <v>8371</v>
      </c>
      <c r="C7935" t="str">
        <f>"9780415362054"</f>
        <v>9780415362054</v>
      </c>
      <c r="D7935" t="str">
        <f>"9780203012321"</f>
        <v>9780203012321</v>
      </c>
      <c r="E7935" t="s">
        <v>139</v>
      </c>
      <c r="F7935" t="s">
        <v>139</v>
      </c>
      <c r="G7935" s="1">
        <v>38353</v>
      </c>
      <c r="H7935" s="1">
        <v>1</v>
      </c>
      <c r="I7935" t="s">
        <v>12</v>
      </c>
      <c r="J7935" t="s">
        <v>18705</v>
      </c>
    </row>
    <row r="7936" spans="1:10" x14ac:dyDescent="0.25">
      <c r="A7936">
        <v>3059638</v>
      </c>
      <c r="B7936" t="s">
        <v>8372</v>
      </c>
      <c r="C7936" t="str">
        <f>"9780415433372"</f>
        <v>9780415433372</v>
      </c>
      <c r="D7936" t="str">
        <f>"9781482266047"</f>
        <v>9781482266047</v>
      </c>
      <c r="E7936" t="s">
        <v>15</v>
      </c>
      <c r="F7936" t="s">
        <v>139</v>
      </c>
      <c r="G7936" s="1">
        <v>39345</v>
      </c>
      <c r="H7936" s="1">
        <v>39485</v>
      </c>
      <c r="I7936" t="s">
        <v>12</v>
      </c>
      <c r="J7936" t="s">
        <v>18706</v>
      </c>
    </row>
    <row r="7937" spans="1:10" x14ac:dyDescent="0.25">
      <c r="A7937">
        <v>3059639</v>
      </c>
      <c r="B7937" t="s">
        <v>8373</v>
      </c>
      <c r="C7937" t="str">
        <f>"9780415416023"</f>
        <v>9780415416023</v>
      </c>
      <c r="D7937" t="str">
        <f>"9780203931875"</f>
        <v>9780203931875</v>
      </c>
      <c r="E7937" t="s">
        <v>144</v>
      </c>
      <c r="F7937" t="s">
        <v>144</v>
      </c>
      <c r="G7937" s="1">
        <v>39342</v>
      </c>
      <c r="H7937" s="1">
        <v>39485</v>
      </c>
      <c r="I7937" t="s">
        <v>12</v>
      </c>
      <c r="J7937" t="s">
        <v>18707</v>
      </c>
    </row>
    <row r="7938" spans="1:10" x14ac:dyDescent="0.25">
      <c r="A7938">
        <v>3060244</v>
      </c>
      <c r="B7938" t="s">
        <v>8374</v>
      </c>
      <c r="C7938" t="str">
        <f>"9780415011433"</f>
        <v>9780415011433</v>
      </c>
      <c r="D7938" t="str">
        <f>"9780203134009"</f>
        <v>9780203134009</v>
      </c>
      <c r="E7938" t="s">
        <v>15</v>
      </c>
      <c r="F7938" t="s">
        <v>16</v>
      </c>
      <c r="G7938" s="1">
        <v>34221</v>
      </c>
      <c r="H7938" s="1">
        <v>39009</v>
      </c>
      <c r="I7938" t="s">
        <v>12</v>
      </c>
      <c r="J7938" t="s">
        <v>18708</v>
      </c>
    </row>
    <row r="7939" spans="1:10" x14ac:dyDescent="0.25">
      <c r="A7939">
        <v>3060285</v>
      </c>
      <c r="B7939" t="s">
        <v>8375</v>
      </c>
      <c r="C7939" t="str">
        <f>"9780415185615"</f>
        <v>9780415185615</v>
      </c>
      <c r="D7939" t="str">
        <f>"9780203026182"</f>
        <v>9780203026182</v>
      </c>
      <c r="E7939" t="s">
        <v>16</v>
      </c>
      <c r="F7939" t="s">
        <v>16</v>
      </c>
      <c r="G7939" s="1">
        <v>36293</v>
      </c>
      <c r="H7939" s="1">
        <v>38146</v>
      </c>
      <c r="I7939" t="s">
        <v>12</v>
      </c>
      <c r="J7939" t="s">
        <v>18709</v>
      </c>
    </row>
    <row r="7940" spans="1:10" x14ac:dyDescent="0.25">
      <c r="A7940">
        <v>3060295</v>
      </c>
      <c r="B7940" t="s">
        <v>8376</v>
      </c>
      <c r="C7940" t="str">
        <f>"9780415128650"</f>
        <v>9780415128650</v>
      </c>
      <c r="D7940" t="str">
        <f>"9780203434185"</f>
        <v>9780203434185</v>
      </c>
      <c r="E7940" t="s">
        <v>16</v>
      </c>
      <c r="F7940" t="s">
        <v>16</v>
      </c>
      <c r="G7940" s="1">
        <v>35065</v>
      </c>
      <c r="H7940" s="1">
        <v>1</v>
      </c>
      <c r="I7940" t="s">
        <v>12</v>
      </c>
      <c r="J7940" t="s">
        <v>18710</v>
      </c>
    </row>
    <row r="7941" spans="1:10" x14ac:dyDescent="0.25">
      <c r="A7941">
        <v>3060311</v>
      </c>
      <c r="B7941" t="s">
        <v>8377</v>
      </c>
      <c r="C7941" t="str">
        <f>"9780415069977"</f>
        <v>9780415069977</v>
      </c>
      <c r="D7941" t="str">
        <f>"9780203131299"</f>
        <v>9780203131299</v>
      </c>
      <c r="E7941" t="s">
        <v>15</v>
      </c>
      <c r="F7941" t="s">
        <v>16</v>
      </c>
      <c r="G7941" s="1">
        <v>34325</v>
      </c>
      <c r="H7941" s="1">
        <v>38196</v>
      </c>
      <c r="I7941" t="s">
        <v>12</v>
      </c>
      <c r="J7941" t="s">
        <v>18711</v>
      </c>
    </row>
    <row r="7942" spans="1:10" x14ac:dyDescent="0.25">
      <c r="A7942">
        <v>3060319</v>
      </c>
      <c r="B7942" t="s">
        <v>8378</v>
      </c>
      <c r="C7942" t="str">
        <f>"9780415029247"</f>
        <v>9780415029247</v>
      </c>
      <c r="D7942" t="str">
        <f>"9780203404379"</f>
        <v>9780203404379</v>
      </c>
      <c r="E7942" t="s">
        <v>15</v>
      </c>
      <c r="F7942" t="s">
        <v>16</v>
      </c>
      <c r="G7942" s="1">
        <v>31673</v>
      </c>
      <c r="H7942" s="1">
        <v>38196</v>
      </c>
      <c r="I7942" t="s">
        <v>12</v>
      </c>
      <c r="J7942" t="s">
        <v>18712</v>
      </c>
    </row>
    <row r="7943" spans="1:10" x14ac:dyDescent="0.25">
      <c r="A7943">
        <v>3060342</v>
      </c>
      <c r="B7943" t="s">
        <v>8379</v>
      </c>
      <c r="C7943" t="str">
        <f>"9780415027649"</f>
        <v>9780415027649</v>
      </c>
      <c r="D7943" t="str">
        <f>"9780203135310"</f>
        <v>9780203135310</v>
      </c>
      <c r="E7943" t="s">
        <v>15</v>
      </c>
      <c r="F7943" t="s">
        <v>16</v>
      </c>
      <c r="G7943" s="1">
        <v>33238</v>
      </c>
      <c r="H7943" s="1">
        <v>38342</v>
      </c>
      <c r="I7943" t="s">
        <v>12</v>
      </c>
      <c r="J7943" t="s">
        <v>18713</v>
      </c>
    </row>
    <row r="7944" spans="1:10" x14ac:dyDescent="0.25">
      <c r="A7944">
        <v>3060355</v>
      </c>
      <c r="B7944" t="s">
        <v>8380</v>
      </c>
      <c r="C7944" t="str">
        <f>"9781841693484"</f>
        <v>9781841693484</v>
      </c>
      <c r="D7944" t="str">
        <f>"9780203491522"</f>
        <v>9780203491522</v>
      </c>
      <c r="E7944" t="s">
        <v>15</v>
      </c>
      <c r="F7944" t="s">
        <v>55</v>
      </c>
      <c r="G7944" s="1">
        <v>38036</v>
      </c>
      <c r="H7944" s="1">
        <v>38930</v>
      </c>
      <c r="I7944" t="s">
        <v>12</v>
      </c>
      <c r="J7944" t="s">
        <v>18714</v>
      </c>
    </row>
    <row r="7945" spans="1:10" x14ac:dyDescent="0.25">
      <c r="A7945">
        <v>3060356</v>
      </c>
      <c r="B7945" t="s">
        <v>8381</v>
      </c>
      <c r="C7945" t="str">
        <f>"9780415096522"</f>
        <v>9780415096522</v>
      </c>
      <c r="D7945" t="str">
        <f>"9780203988435"</f>
        <v>9780203988435</v>
      </c>
      <c r="E7945" t="s">
        <v>15</v>
      </c>
      <c r="F7945" t="s">
        <v>16</v>
      </c>
      <c r="G7945" s="1">
        <v>34164</v>
      </c>
      <c r="H7945" s="1">
        <v>38931</v>
      </c>
      <c r="I7945" t="s">
        <v>12</v>
      </c>
      <c r="J7945" t="s">
        <v>18715</v>
      </c>
    </row>
    <row r="7946" spans="1:10" x14ac:dyDescent="0.25">
      <c r="A7946">
        <v>3060359</v>
      </c>
      <c r="B7946" t="s">
        <v>8382</v>
      </c>
      <c r="C7946" t="str">
        <f>"9781583919002"</f>
        <v>9781583919002</v>
      </c>
      <c r="D7946" t="str">
        <f>"9780203695562"</f>
        <v>9780203695562</v>
      </c>
      <c r="E7946" t="s">
        <v>15</v>
      </c>
      <c r="F7946" t="s">
        <v>16</v>
      </c>
      <c r="G7946" s="1">
        <v>37796</v>
      </c>
      <c r="H7946" s="1">
        <v>38930</v>
      </c>
      <c r="I7946" t="s">
        <v>12</v>
      </c>
      <c r="J7946" t="s">
        <v>18716</v>
      </c>
    </row>
    <row r="7947" spans="1:10" x14ac:dyDescent="0.25">
      <c r="A7947">
        <v>3060376</v>
      </c>
      <c r="B7947" t="s">
        <v>8383</v>
      </c>
      <c r="C7947" t="str">
        <f>"9780415122726"</f>
        <v>9780415122726</v>
      </c>
      <c r="D7947" t="str">
        <f>"9780203431795"</f>
        <v>9780203431795</v>
      </c>
      <c r="E7947" t="s">
        <v>15</v>
      </c>
      <c r="F7947" t="s">
        <v>16</v>
      </c>
      <c r="G7947" s="1">
        <v>36507</v>
      </c>
      <c r="H7947" s="1">
        <v>38930</v>
      </c>
      <c r="I7947" t="s">
        <v>12</v>
      </c>
      <c r="J7947" t="s">
        <v>18717</v>
      </c>
    </row>
    <row r="7948" spans="1:10" x14ac:dyDescent="0.25">
      <c r="A7948">
        <v>3060383</v>
      </c>
      <c r="B7948" t="s">
        <v>8384</v>
      </c>
      <c r="C7948" t="str">
        <f>"9780749438371"</f>
        <v>9780749438371</v>
      </c>
      <c r="D7948" t="str">
        <f>"9780203416662"</f>
        <v>9780203416662</v>
      </c>
      <c r="E7948" t="s">
        <v>15</v>
      </c>
      <c r="F7948" t="s">
        <v>16</v>
      </c>
      <c r="G7948" s="1">
        <v>37742</v>
      </c>
      <c r="H7948" s="1">
        <v>38930</v>
      </c>
      <c r="I7948" t="s">
        <v>12</v>
      </c>
      <c r="J7948" t="s">
        <v>18718</v>
      </c>
    </row>
    <row r="7949" spans="1:10" x14ac:dyDescent="0.25">
      <c r="A7949">
        <v>3060386</v>
      </c>
      <c r="B7949" t="s">
        <v>8385</v>
      </c>
      <c r="C7949" t="str">
        <f>"9780415335447"</f>
        <v>9780415335447</v>
      </c>
      <c r="D7949" t="str">
        <f>"9780203465424"</f>
        <v>9780203465424</v>
      </c>
      <c r="E7949" t="s">
        <v>16</v>
      </c>
      <c r="F7949" t="s">
        <v>16</v>
      </c>
      <c r="G7949" s="1">
        <v>38056</v>
      </c>
      <c r="H7949" s="1">
        <v>38930</v>
      </c>
      <c r="I7949" t="s">
        <v>12</v>
      </c>
      <c r="J7949" t="s">
        <v>18719</v>
      </c>
    </row>
    <row r="7950" spans="1:10" x14ac:dyDescent="0.25">
      <c r="A7950">
        <v>3060388</v>
      </c>
      <c r="B7950" t="s">
        <v>8386</v>
      </c>
      <c r="C7950" t="str">
        <f>"9780415310376"</f>
        <v>9780415310376</v>
      </c>
      <c r="D7950" t="str">
        <f>"9780203416396"</f>
        <v>9780203416396</v>
      </c>
      <c r="E7950" t="s">
        <v>15</v>
      </c>
      <c r="F7950" t="s">
        <v>16</v>
      </c>
      <c r="G7950" s="1">
        <v>38156</v>
      </c>
      <c r="H7950" s="1">
        <v>38930</v>
      </c>
      <c r="I7950" t="s">
        <v>12</v>
      </c>
      <c r="J7950" t="s">
        <v>18720</v>
      </c>
    </row>
    <row r="7951" spans="1:10" x14ac:dyDescent="0.25">
      <c r="A7951">
        <v>3060413</v>
      </c>
      <c r="B7951" t="s">
        <v>8387</v>
      </c>
      <c r="C7951" t="str">
        <f>"9780415302685"</f>
        <v>9780415302685</v>
      </c>
      <c r="D7951" t="str">
        <f>"9780203465141"</f>
        <v>9780203465141</v>
      </c>
      <c r="E7951" t="s">
        <v>15</v>
      </c>
      <c r="F7951" t="s">
        <v>16</v>
      </c>
      <c r="G7951" s="1">
        <v>37855</v>
      </c>
      <c r="H7951" s="1">
        <v>38930</v>
      </c>
      <c r="I7951" t="s">
        <v>12</v>
      </c>
      <c r="J7951" t="s">
        <v>18721</v>
      </c>
    </row>
    <row r="7952" spans="1:10" x14ac:dyDescent="0.25">
      <c r="A7952">
        <v>3060415</v>
      </c>
      <c r="B7952" t="s">
        <v>8388</v>
      </c>
      <c r="C7952" t="str">
        <f>"9780415227209"</f>
        <v>9780415227209</v>
      </c>
      <c r="D7952" t="str">
        <f>"9780203427880"</f>
        <v>9780203427880</v>
      </c>
      <c r="E7952" t="s">
        <v>16</v>
      </c>
      <c r="F7952" t="s">
        <v>16</v>
      </c>
      <c r="G7952" s="1">
        <v>41773</v>
      </c>
      <c r="H7952" s="1">
        <v>38930</v>
      </c>
      <c r="I7952" t="s">
        <v>12</v>
      </c>
      <c r="J7952" t="s">
        <v>18722</v>
      </c>
    </row>
    <row r="7953" spans="1:10" x14ac:dyDescent="0.25">
      <c r="A7953">
        <v>3060426</v>
      </c>
      <c r="B7953" t="s">
        <v>8389</v>
      </c>
      <c r="C7953" t="str">
        <f>"9780415014793"</f>
        <v>9780415014793</v>
      </c>
      <c r="D7953" t="str">
        <f>"9780203402894"</f>
        <v>9780203402894</v>
      </c>
      <c r="E7953" t="s">
        <v>15</v>
      </c>
      <c r="F7953" t="s">
        <v>16</v>
      </c>
      <c r="G7953" s="1">
        <v>32582</v>
      </c>
      <c r="H7953" s="1">
        <v>38807</v>
      </c>
      <c r="I7953" t="s">
        <v>12</v>
      </c>
      <c r="J7953" t="s">
        <v>18723</v>
      </c>
    </row>
    <row r="7954" spans="1:10" x14ac:dyDescent="0.25">
      <c r="A7954">
        <v>3060457</v>
      </c>
      <c r="B7954" t="s">
        <v>8390</v>
      </c>
      <c r="C7954" t="str">
        <f>"9780415403825"</f>
        <v>9780415403825</v>
      </c>
      <c r="D7954" t="str">
        <f>"9780203968529"</f>
        <v>9780203968529</v>
      </c>
      <c r="E7954" t="s">
        <v>16</v>
      </c>
      <c r="F7954" t="s">
        <v>16</v>
      </c>
      <c r="G7954" s="1">
        <v>41773</v>
      </c>
      <c r="H7954" s="1">
        <v>39069</v>
      </c>
      <c r="I7954" t="s">
        <v>12</v>
      </c>
      <c r="J7954" t="s">
        <v>18724</v>
      </c>
    </row>
    <row r="7955" spans="1:10" x14ac:dyDescent="0.25">
      <c r="A7955">
        <v>3060458</v>
      </c>
      <c r="B7955" t="s">
        <v>8391</v>
      </c>
      <c r="C7955" t="str">
        <f>"9780415407441"</f>
        <v>9780415407441</v>
      </c>
      <c r="D7955" t="str">
        <f>"9780203963180"</f>
        <v>9780203963180</v>
      </c>
      <c r="E7955" t="s">
        <v>16</v>
      </c>
      <c r="F7955" t="s">
        <v>16</v>
      </c>
      <c r="G7955" s="1">
        <v>39057</v>
      </c>
      <c r="H7955" s="1">
        <v>39069</v>
      </c>
      <c r="I7955" t="s">
        <v>12</v>
      </c>
      <c r="J7955" t="s">
        <v>18725</v>
      </c>
    </row>
    <row r="7956" spans="1:10" x14ac:dyDescent="0.25">
      <c r="A7956">
        <v>3060460</v>
      </c>
      <c r="B7956" t="s">
        <v>8392</v>
      </c>
      <c r="C7956" t="str">
        <f>"9780415349499"</f>
        <v>9780415349499</v>
      </c>
      <c r="D7956" t="str">
        <f>"9780203315262"</f>
        <v>9780203315262</v>
      </c>
      <c r="E7956" t="s">
        <v>15</v>
      </c>
      <c r="F7956" t="s">
        <v>16</v>
      </c>
      <c r="G7956" s="1">
        <v>38488</v>
      </c>
      <c r="H7956" s="1">
        <v>39107</v>
      </c>
      <c r="I7956" t="s">
        <v>12</v>
      </c>
      <c r="J7956" t="s">
        <v>18726</v>
      </c>
    </row>
    <row r="7957" spans="1:10" x14ac:dyDescent="0.25">
      <c r="A7957">
        <v>3060467</v>
      </c>
      <c r="B7957" t="s">
        <v>8393</v>
      </c>
      <c r="C7957" t="str">
        <f>"9780415088190"</f>
        <v>9780415088190</v>
      </c>
      <c r="D7957" t="str">
        <f>"9780203420379"</f>
        <v>9780203420379</v>
      </c>
      <c r="E7957" t="s">
        <v>15</v>
      </c>
      <c r="F7957" t="s">
        <v>16</v>
      </c>
      <c r="G7957" s="1">
        <v>34977</v>
      </c>
      <c r="H7957" s="1">
        <v>39107</v>
      </c>
      <c r="I7957" t="s">
        <v>12</v>
      </c>
      <c r="J7957" t="s">
        <v>18727</v>
      </c>
    </row>
    <row r="7958" spans="1:10" x14ac:dyDescent="0.25">
      <c r="A7958">
        <v>3060493</v>
      </c>
      <c r="B7958" t="s">
        <v>8394</v>
      </c>
      <c r="C7958" t="str">
        <f>"9780415372060"</f>
        <v>9780415372060</v>
      </c>
      <c r="D7958" t="str">
        <f>"9780203099803"</f>
        <v>9780203099803</v>
      </c>
      <c r="E7958" t="s">
        <v>16</v>
      </c>
      <c r="F7958" t="s">
        <v>16</v>
      </c>
      <c r="G7958" s="1">
        <v>38730</v>
      </c>
      <c r="H7958" s="1">
        <v>39170</v>
      </c>
      <c r="I7958" t="s">
        <v>12</v>
      </c>
      <c r="J7958" t="s">
        <v>18728</v>
      </c>
    </row>
    <row r="7959" spans="1:10" x14ac:dyDescent="0.25">
      <c r="A7959">
        <v>3060494</v>
      </c>
      <c r="B7959" t="s">
        <v>8395</v>
      </c>
      <c r="C7959" t="str">
        <f>"9780415360388"</f>
        <v>9780415360388</v>
      </c>
      <c r="D7959" t="str">
        <f>"9780203008027"</f>
        <v>9780203008027</v>
      </c>
      <c r="E7959" t="s">
        <v>15</v>
      </c>
      <c r="F7959" t="s">
        <v>16</v>
      </c>
      <c r="G7959" s="1">
        <v>38701</v>
      </c>
      <c r="H7959" s="1">
        <v>39170</v>
      </c>
      <c r="I7959" t="s">
        <v>12</v>
      </c>
      <c r="J7959" t="s">
        <v>18729</v>
      </c>
    </row>
    <row r="7960" spans="1:10" x14ac:dyDescent="0.25">
      <c r="A7960">
        <v>3060518</v>
      </c>
      <c r="B7960" t="s">
        <v>8396</v>
      </c>
      <c r="C7960" t="str">
        <f>"9780749438777"</f>
        <v>9780749438777</v>
      </c>
      <c r="D7960" t="str">
        <f>"9780203416877"</f>
        <v>9780203416877</v>
      </c>
      <c r="E7960" t="s">
        <v>15</v>
      </c>
      <c r="F7960" t="s">
        <v>16</v>
      </c>
      <c r="G7960" s="1">
        <v>37591</v>
      </c>
      <c r="H7960" s="1">
        <v>39175</v>
      </c>
      <c r="I7960" t="s">
        <v>12</v>
      </c>
      <c r="J7960" t="s">
        <v>18730</v>
      </c>
    </row>
    <row r="7961" spans="1:10" x14ac:dyDescent="0.25">
      <c r="A7961">
        <v>3060576</v>
      </c>
      <c r="B7961" t="s">
        <v>8397</v>
      </c>
      <c r="C7961" t="str">
        <f>"9780765614704"</f>
        <v>9780765614704</v>
      </c>
      <c r="D7961" t="str">
        <f>"9780765620057"</f>
        <v>9780765620057</v>
      </c>
      <c r="E7961" t="s">
        <v>15</v>
      </c>
      <c r="F7961" t="s">
        <v>16</v>
      </c>
      <c r="G7961" s="1">
        <v>38352</v>
      </c>
      <c r="H7961" s="1">
        <v>39300</v>
      </c>
      <c r="I7961" t="s">
        <v>12</v>
      </c>
      <c r="J7961" t="s">
        <v>18731</v>
      </c>
    </row>
    <row r="7962" spans="1:10" x14ac:dyDescent="0.25">
      <c r="A7962">
        <v>3060579</v>
      </c>
      <c r="B7962" t="s">
        <v>8398</v>
      </c>
      <c r="C7962" t="str">
        <f>"9780765616463"</f>
        <v>9780765616463</v>
      </c>
      <c r="D7962" t="str">
        <f>"9780765621474"</f>
        <v>9780765621474</v>
      </c>
      <c r="E7962" t="s">
        <v>15</v>
      </c>
      <c r="F7962" t="s">
        <v>16</v>
      </c>
      <c r="G7962" s="1">
        <v>38687</v>
      </c>
      <c r="H7962" s="1">
        <v>39300</v>
      </c>
      <c r="I7962" t="s">
        <v>12</v>
      </c>
      <c r="J7962" t="s">
        <v>18732</v>
      </c>
    </row>
    <row r="7963" spans="1:10" x14ac:dyDescent="0.25">
      <c r="A7963">
        <v>3060603</v>
      </c>
      <c r="B7963" t="s">
        <v>8399</v>
      </c>
      <c r="C7963" t="str">
        <f>"9780415344524"</f>
        <v>9780415344524</v>
      </c>
      <c r="D7963" t="str">
        <f>"9780203496015"</f>
        <v>9780203496015</v>
      </c>
      <c r="E7963" t="s">
        <v>15</v>
      </c>
      <c r="F7963" t="s">
        <v>16</v>
      </c>
      <c r="G7963" s="1">
        <v>39190</v>
      </c>
      <c r="H7963" s="1">
        <v>39377</v>
      </c>
      <c r="I7963" t="s">
        <v>12</v>
      </c>
      <c r="J7963" t="s">
        <v>18733</v>
      </c>
    </row>
    <row r="7964" spans="1:10" x14ac:dyDescent="0.25">
      <c r="A7964">
        <v>3060610</v>
      </c>
      <c r="B7964" t="s">
        <v>8400</v>
      </c>
      <c r="C7964" t="str">
        <f>"9780750664233"</f>
        <v>9780750664233</v>
      </c>
      <c r="D7964" t="str">
        <f>"9780080492612"</f>
        <v>9780080492612</v>
      </c>
      <c r="E7964" t="s">
        <v>15</v>
      </c>
      <c r="F7964" t="s">
        <v>16</v>
      </c>
      <c r="G7964" s="1">
        <v>38401</v>
      </c>
      <c r="H7964" s="1">
        <v>39357</v>
      </c>
      <c r="I7964" t="s">
        <v>12</v>
      </c>
      <c r="J7964" t="s">
        <v>18734</v>
      </c>
    </row>
    <row r="7965" spans="1:10" x14ac:dyDescent="0.25">
      <c r="A7965">
        <v>3060638</v>
      </c>
      <c r="B7965" t="s">
        <v>8401</v>
      </c>
      <c r="C7965" t="str">
        <f>"9781841696089"</f>
        <v>9781841696089</v>
      </c>
      <c r="D7965" t="str">
        <f>"9780203496305"</f>
        <v>9780203496305</v>
      </c>
      <c r="E7965" t="s">
        <v>15</v>
      </c>
      <c r="F7965" t="s">
        <v>55</v>
      </c>
      <c r="G7965" s="1">
        <v>39342</v>
      </c>
      <c r="H7965" s="1">
        <v>39485</v>
      </c>
      <c r="I7965" t="s">
        <v>12</v>
      </c>
      <c r="J7965" t="s">
        <v>18735</v>
      </c>
    </row>
    <row r="7966" spans="1:10" x14ac:dyDescent="0.25">
      <c r="A7966">
        <v>3060639</v>
      </c>
      <c r="B7966" t="s">
        <v>8402</v>
      </c>
      <c r="C7966" t="str">
        <f>"9780415426749"</f>
        <v>9780415426749</v>
      </c>
      <c r="D7966" t="str">
        <f>"9780203960844"</f>
        <v>9780203960844</v>
      </c>
      <c r="E7966" t="s">
        <v>15</v>
      </c>
      <c r="F7966" t="s">
        <v>16</v>
      </c>
      <c r="G7966" s="1">
        <v>39433</v>
      </c>
      <c r="H7966" s="1">
        <v>39485</v>
      </c>
      <c r="I7966" t="s">
        <v>12</v>
      </c>
      <c r="J7966" t="s">
        <v>18736</v>
      </c>
    </row>
    <row r="7967" spans="1:10" x14ac:dyDescent="0.25">
      <c r="A7967">
        <v>3060640</v>
      </c>
      <c r="B7967" t="s">
        <v>8403</v>
      </c>
      <c r="C7967" t="str">
        <f>"9780415421157"</f>
        <v>9780415421157</v>
      </c>
      <c r="D7967" t="str">
        <f>"9780203934203"</f>
        <v>9780203934203</v>
      </c>
      <c r="E7967" t="s">
        <v>15</v>
      </c>
      <c r="F7967" t="s">
        <v>16</v>
      </c>
      <c r="G7967" s="1">
        <v>39402</v>
      </c>
      <c r="H7967" s="1">
        <v>39485</v>
      </c>
      <c r="I7967" t="s">
        <v>12</v>
      </c>
      <c r="J7967" t="s">
        <v>18737</v>
      </c>
    </row>
    <row r="7968" spans="1:10" x14ac:dyDescent="0.25">
      <c r="A7968">
        <v>3060642</v>
      </c>
      <c r="B7968" t="s">
        <v>8404</v>
      </c>
      <c r="C7968" t="str">
        <f>"9781583912454"</f>
        <v>9781583912454</v>
      </c>
      <c r="D7968" t="str">
        <f>"9780203945995"</f>
        <v>9780203945995</v>
      </c>
      <c r="E7968" t="s">
        <v>15</v>
      </c>
      <c r="F7968" t="s">
        <v>16</v>
      </c>
      <c r="G7968" s="1">
        <v>39324</v>
      </c>
      <c r="H7968" s="1">
        <v>39485</v>
      </c>
      <c r="I7968" t="s">
        <v>12</v>
      </c>
      <c r="J7968" t="s">
        <v>18738</v>
      </c>
    </row>
    <row r="7969" spans="1:10" x14ac:dyDescent="0.25">
      <c r="A7969">
        <v>3060645</v>
      </c>
      <c r="B7969" t="s">
        <v>8405</v>
      </c>
      <c r="C7969" t="str">
        <f>"9780415413503"</f>
        <v>9780415413503</v>
      </c>
      <c r="D7969" t="str">
        <f>"9780203938478"</f>
        <v>9780203938478</v>
      </c>
      <c r="E7969" t="s">
        <v>16</v>
      </c>
      <c r="F7969" t="s">
        <v>16</v>
      </c>
      <c r="G7969" s="1">
        <v>39813</v>
      </c>
      <c r="H7969" s="1">
        <v>39485</v>
      </c>
      <c r="I7969" t="s">
        <v>12</v>
      </c>
      <c r="J7969" t="s">
        <v>18739</v>
      </c>
    </row>
    <row r="7970" spans="1:10" x14ac:dyDescent="0.25">
      <c r="A7970">
        <v>3060647</v>
      </c>
      <c r="B7970" t="s">
        <v>8406</v>
      </c>
      <c r="C7970" t="str">
        <f>"9781844721450"</f>
        <v>9781844721450</v>
      </c>
      <c r="D7970" t="str">
        <f>"9780203947067"</f>
        <v>9780203947067</v>
      </c>
      <c r="E7970" t="s">
        <v>15</v>
      </c>
      <c r="F7970" t="s">
        <v>16</v>
      </c>
      <c r="G7970" s="1">
        <v>38930</v>
      </c>
      <c r="H7970" s="1">
        <v>39485</v>
      </c>
      <c r="I7970" t="s">
        <v>12</v>
      </c>
      <c r="J7970" t="s">
        <v>18740</v>
      </c>
    </row>
    <row r="7971" spans="1:10" x14ac:dyDescent="0.25">
      <c r="A7971">
        <v>3060650</v>
      </c>
      <c r="B7971" t="s">
        <v>8407</v>
      </c>
      <c r="C7971" t="str">
        <f>"9780415349505"</f>
        <v>9780415349505</v>
      </c>
      <c r="D7971" t="str">
        <f>"9780203695265"</f>
        <v>9780203695265</v>
      </c>
      <c r="E7971" t="s">
        <v>15</v>
      </c>
      <c r="F7971" t="s">
        <v>16</v>
      </c>
      <c r="G7971" s="1">
        <v>39433</v>
      </c>
      <c r="H7971" s="1">
        <v>39485</v>
      </c>
      <c r="I7971" t="s">
        <v>12</v>
      </c>
      <c r="J7971" t="s">
        <v>18741</v>
      </c>
    </row>
    <row r="7972" spans="1:10" x14ac:dyDescent="0.25">
      <c r="A7972">
        <v>3060652</v>
      </c>
      <c r="B7972" t="s">
        <v>8408</v>
      </c>
      <c r="C7972" t="str">
        <f>"9780240805139"</f>
        <v>9780240805139</v>
      </c>
      <c r="D7972" t="str">
        <f>"9780080514956"</f>
        <v>9780080514956</v>
      </c>
      <c r="E7972" t="s">
        <v>15</v>
      </c>
      <c r="F7972" t="s">
        <v>1122</v>
      </c>
      <c r="G7972" s="1">
        <v>37664</v>
      </c>
      <c r="H7972" s="1">
        <v>39535</v>
      </c>
      <c r="I7972" t="s">
        <v>12</v>
      </c>
      <c r="J7972" t="s">
        <v>18742</v>
      </c>
    </row>
    <row r="7973" spans="1:10" x14ac:dyDescent="0.25">
      <c r="A7973">
        <v>3060829</v>
      </c>
      <c r="B7973" t="s">
        <v>8409</v>
      </c>
      <c r="C7973" t="str">
        <f>"9781904385301"</f>
        <v>9781904385301</v>
      </c>
      <c r="D7973" t="str">
        <f>"9781843146261"</f>
        <v>9781843146261</v>
      </c>
      <c r="E7973" t="s">
        <v>15</v>
      </c>
      <c r="F7973" t="s">
        <v>1019</v>
      </c>
      <c r="G7973" s="1">
        <v>38446</v>
      </c>
      <c r="H7973" s="1">
        <v>40361</v>
      </c>
      <c r="I7973" t="s">
        <v>12</v>
      </c>
      <c r="J7973" t="s">
        <v>18743</v>
      </c>
    </row>
    <row r="7974" spans="1:10" x14ac:dyDescent="0.25">
      <c r="A7974">
        <v>3060862</v>
      </c>
      <c r="B7974" t="s">
        <v>8410</v>
      </c>
      <c r="C7974" t="str">
        <f>"9780415254366"</f>
        <v>9780415254366</v>
      </c>
      <c r="D7974" t="str">
        <f>"9780203994153"</f>
        <v>9780203994153</v>
      </c>
      <c r="E7974" t="s">
        <v>15</v>
      </c>
      <c r="F7974" t="s">
        <v>16</v>
      </c>
      <c r="G7974" s="1">
        <v>37414</v>
      </c>
      <c r="H7974" s="1">
        <v>40493</v>
      </c>
      <c r="I7974" t="s">
        <v>12</v>
      </c>
      <c r="J7974" t="s">
        <v>18744</v>
      </c>
    </row>
    <row r="7975" spans="1:10" x14ac:dyDescent="0.25">
      <c r="A7975">
        <v>3060992</v>
      </c>
      <c r="B7975" t="s">
        <v>8411</v>
      </c>
      <c r="C7975" t="str">
        <f>"9780415090612"</f>
        <v>9780415090612</v>
      </c>
      <c r="D7975" t="str">
        <f>"9780203129524"</f>
        <v>9780203129524</v>
      </c>
      <c r="E7975" t="s">
        <v>15</v>
      </c>
      <c r="F7975" t="s">
        <v>16</v>
      </c>
      <c r="G7975" s="1">
        <v>34919</v>
      </c>
      <c r="H7975" s="1">
        <v>41158</v>
      </c>
      <c r="I7975" t="s">
        <v>12</v>
      </c>
      <c r="J7975" t="s">
        <v>18745</v>
      </c>
    </row>
    <row r="7976" spans="1:10" x14ac:dyDescent="0.25">
      <c r="A7976">
        <v>3061229</v>
      </c>
      <c r="B7976" t="s">
        <v>1035</v>
      </c>
      <c r="C7976" t="str">
        <f>"9781859416303"</f>
        <v>9781859416303</v>
      </c>
      <c r="D7976" t="str">
        <f>"9781843143055"</f>
        <v>9781843143055</v>
      </c>
      <c r="E7976" t="s">
        <v>15</v>
      </c>
      <c r="F7976" t="s">
        <v>1019</v>
      </c>
      <c r="G7976" s="1">
        <v>37161</v>
      </c>
      <c r="H7976" s="1">
        <v>41779</v>
      </c>
      <c r="I7976" t="s">
        <v>12</v>
      </c>
      <c r="J7976" t="s">
        <v>18746</v>
      </c>
    </row>
    <row r="7977" spans="1:10" x14ac:dyDescent="0.25">
      <c r="A7977">
        <v>3061384</v>
      </c>
      <c r="B7977" t="s">
        <v>8412</v>
      </c>
      <c r="C7977" t="str">
        <f>"9780815313052"</f>
        <v>9780815313052</v>
      </c>
      <c r="D7977" t="str">
        <f>"9780203801567"</f>
        <v>9780203801567</v>
      </c>
      <c r="E7977" t="s">
        <v>15</v>
      </c>
      <c r="F7977" t="s">
        <v>16</v>
      </c>
      <c r="G7977" s="1">
        <v>36495</v>
      </c>
      <c r="H7977" s="1">
        <v>41789</v>
      </c>
      <c r="I7977" t="s">
        <v>12</v>
      </c>
      <c r="J7977" t="s">
        <v>18747</v>
      </c>
    </row>
    <row r="7978" spans="1:10" x14ac:dyDescent="0.25">
      <c r="A7978">
        <v>3111724</v>
      </c>
      <c r="B7978" t="s">
        <v>8413</v>
      </c>
      <c r="C7978" t="str">
        <f>"9781865086507"</f>
        <v>9781865086507</v>
      </c>
      <c r="D7978" t="str">
        <f>"9781741155808"</f>
        <v>9781741155808</v>
      </c>
      <c r="E7978" t="s">
        <v>979</v>
      </c>
      <c r="F7978" t="s">
        <v>979</v>
      </c>
      <c r="G7978" s="1">
        <v>37377</v>
      </c>
      <c r="H7978" s="1">
        <v>39319</v>
      </c>
      <c r="I7978" t="s">
        <v>12</v>
      </c>
      <c r="J7978" t="s">
        <v>18748</v>
      </c>
    </row>
    <row r="7979" spans="1:10" x14ac:dyDescent="0.25">
      <c r="A7979">
        <v>3111734</v>
      </c>
      <c r="B7979" t="s">
        <v>8414</v>
      </c>
      <c r="C7979" t="str">
        <f>"9781741752137"</f>
        <v>9781741752137</v>
      </c>
      <c r="D7979" t="str">
        <f>"9781741762396"</f>
        <v>9781741762396</v>
      </c>
      <c r="E7979" t="s">
        <v>979</v>
      </c>
      <c r="F7979" t="s">
        <v>979</v>
      </c>
      <c r="G7979" s="1">
        <v>39234</v>
      </c>
      <c r="H7979" s="1">
        <v>39319</v>
      </c>
      <c r="I7979" t="s">
        <v>12</v>
      </c>
      <c r="J7979" t="s">
        <v>18749</v>
      </c>
    </row>
    <row r="7980" spans="1:10" x14ac:dyDescent="0.25">
      <c r="A7980">
        <v>3111906</v>
      </c>
      <c r="B7980" t="s">
        <v>8415</v>
      </c>
      <c r="C7980" t="str">
        <f>"9781741752731"</f>
        <v>9781741752731</v>
      </c>
      <c r="D7980" t="str">
        <f>"9781741762877"</f>
        <v>9781741762877</v>
      </c>
      <c r="E7980" t="s">
        <v>979</v>
      </c>
      <c r="F7980" t="s">
        <v>979</v>
      </c>
      <c r="G7980" s="1">
        <v>39995</v>
      </c>
      <c r="H7980" s="1">
        <v>40033</v>
      </c>
      <c r="I7980" t="s">
        <v>12</v>
      </c>
      <c r="J7980" t="s">
        <v>18750</v>
      </c>
    </row>
    <row r="7981" spans="1:10" x14ac:dyDescent="0.25">
      <c r="A7981">
        <v>3111914</v>
      </c>
      <c r="B7981" t="s">
        <v>8416</v>
      </c>
      <c r="C7981" t="str">
        <f>"9781741753257"</f>
        <v>9781741753257</v>
      </c>
      <c r="D7981" t="str">
        <f>"9781741763034"</f>
        <v>9781741763034</v>
      </c>
      <c r="E7981" t="s">
        <v>979</v>
      </c>
      <c r="F7981" t="s">
        <v>979</v>
      </c>
      <c r="G7981" s="1">
        <v>39965</v>
      </c>
      <c r="H7981" s="1">
        <v>40033</v>
      </c>
      <c r="I7981" t="s">
        <v>12</v>
      </c>
      <c r="J7981" t="s">
        <v>18751</v>
      </c>
    </row>
    <row r="7982" spans="1:10" x14ac:dyDescent="0.25">
      <c r="A7982">
        <v>3112042</v>
      </c>
      <c r="B7982" t="s">
        <v>8417</v>
      </c>
      <c r="C7982" t="str">
        <f>"9781741146394"</f>
        <v>9781741146394</v>
      </c>
      <c r="D7982" t="str">
        <f>"9781741156058"</f>
        <v>9781741156058</v>
      </c>
      <c r="E7982" t="s">
        <v>979</v>
      </c>
      <c r="F7982" t="s">
        <v>979</v>
      </c>
      <c r="G7982" s="1">
        <v>38565</v>
      </c>
      <c r="H7982" s="1">
        <v>40354</v>
      </c>
      <c r="I7982" t="s">
        <v>12</v>
      </c>
      <c r="J7982" t="s">
        <v>18752</v>
      </c>
    </row>
    <row r="7983" spans="1:10" x14ac:dyDescent="0.25">
      <c r="A7983">
        <v>3112479</v>
      </c>
      <c r="B7983" t="s">
        <v>8418</v>
      </c>
      <c r="C7983" t="str">
        <f>"9781932633771"</f>
        <v>9781932633771</v>
      </c>
      <c r="D7983" t="str">
        <f>"9781932633993"</f>
        <v>9781932633993</v>
      </c>
      <c r="E7983" t="s">
        <v>8419</v>
      </c>
      <c r="F7983" t="s">
        <v>8420</v>
      </c>
      <c r="G7983" s="1">
        <v>36526</v>
      </c>
      <c r="H7983" s="1">
        <v>40833</v>
      </c>
      <c r="I7983" t="s">
        <v>12</v>
      </c>
      <c r="J7983" t="s">
        <v>18753</v>
      </c>
    </row>
    <row r="7984" spans="1:10" x14ac:dyDescent="0.25">
      <c r="A7984">
        <v>3115296</v>
      </c>
      <c r="B7984" t="s">
        <v>8421</v>
      </c>
      <c r="C7984" t="str">
        <f>"9780784410899"</f>
        <v>9780784410899</v>
      </c>
      <c r="D7984" t="str">
        <f>"9780784473306"</f>
        <v>9780784473306</v>
      </c>
      <c r="E7984" t="s">
        <v>8422</v>
      </c>
      <c r="F7984" t="s">
        <v>8422</v>
      </c>
      <c r="G7984" s="1">
        <v>40270</v>
      </c>
      <c r="H7984" s="1">
        <v>40528</v>
      </c>
      <c r="I7984" t="s">
        <v>12</v>
      </c>
      <c r="J7984" t="s">
        <v>18754</v>
      </c>
    </row>
    <row r="7985" spans="1:10" x14ac:dyDescent="0.25">
      <c r="A7985">
        <v>3115899</v>
      </c>
      <c r="B7985" t="s">
        <v>8423</v>
      </c>
      <c r="C7985" t="str">
        <f>"9780838757192"</f>
        <v>9780838757192</v>
      </c>
      <c r="D7985" t="str">
        <f>"9780838757901"</f>
        <v>9780838757901</v>
      </c>
      <c r="E7985" t="s">
        <v>8424</v>
      </c>
      <c r="F7985" t="s">
        <v>8424</v>
      </c>
      <c r="G7985" s="1">
        <v>40210</v>
      </c>
      <c r="H7985" s="1">
        <v>40206</v>
      </c>
      <c r="I7985" t="s">
        <v>12</v>
      </c>
      <c r="J7985" t="s">
        <v>18755</v>
      </c>
    </row>
    <row r="7986" spans="1:10" x14ac:dyDescent="0.25">
      <c r="A7986">
        <v>3115939</v>
      </c>
      <c r="B7986" t="s">
        <v>8425</v>
      </c>
      <c r="C7986" t="str">
        <f>"9780838640654"</f>
        <v>9780838640654</v>
      </c>
      <c r="D7986" t="str">
        <f>"9780838642863"</f>
        <v>9780838642863</v>
      </c>
      <c r="E7986" t="s">
        <v>8426</v>
      </c>
      <c r="F7986" t="s">
        <v>8427</v>
      </c>
      <c r="G7986" s="1">
        <v>38596</v>
      </c>
      <c r="H7986" s="1">
        <v>40354</v>
      </c>
      <c r="I7986" t="s">
        <v>12</v>
      </c>
      <c r="J7986" t="s">
        <v>18756</v>
      </c>
    </row>
    <row r="7987" spans="1:10" x14ac:dyDescent="0.25">
      <c r="A7987">
        <v>3115959</v>
      </c>
      <c r="B7987" t="s">
        <v>8428</v>
      </c>
      <c r="C7987" t="str">
        <f>"9780838757666"</f>
        <v>9780838757666</v>
      </c>
      <c r="D7987" t="str">
        <f>"9780838758243"</f>
        <v>9780838758243</v>
      </c>
      <c r="E7987" t="s">
        <v>8424</v>
      </c>
      <c r="F7987" t="s">
        <v>8427</v>
      </c>
      <c r="G7987" s="1">
        <v>40391</v>
      </c>
      <c r="H7987" s="1">
        <v>40374</v>
      </c>
      <c r="I7987" t="s">
        <v>12</v>
      </c>
      <c r="J7987" t="s">
        <v>18757</v>
      </c>
    </row>
    <row r="7988" spans="1:10" x14ac:dyDescent="0.25">
      <c r="A7988">
        <v>3116722</v>
      </c>
      <c r="B7988" t="s">
        <v>8429</v>
      </c>
      <c r="C7988" t="str">
        <f>"9781583217962"</f>
        <v>9781583217962</v>
      </c>
      <c r="D7988" t="str">
        <f>"9781613001189"</f>
        <v>9781613001189</v>
      </c>
      <c r="E7988" t="s">
        <v>8430</v>
      </c>
      <c r="F7988" t="s">
        <v>8430</v>
      </c>
      <c r="G7988" s="1">
        <v>40422</v>
      </c>
      <c r="H7988" s="1">
        <v>40918</v>
      </c>
      <c r="I7988" t="s">
        <v>12</v>
      </c>
      <c r="J7988" t="s">
        <v>18758</v>
      </c>
    </row>
    <row r="7989" spans="1:10" x14ac:dyDescent="0.25">
      <c r="A7989">
        <v>3118064</v>
      </c>
      <c r="B7989" t="s">
        <v>8431</v>
      </c>
      <c r="C7989" t="str">
        <f>"9780807061930"</f>
        <v>9780807061930</v>
      </c>
      <c r="D7989" t="str">
        <f>"9780807097359"</f>
        <v>9780807097359</v>
      </c>
      <c r="E7989" t="s">
        <v>8432</v>
      </c>
      <c r="F7989" t="s">
        <v>8432</v>
      </c>
      <c r="G7989" s="1">
        <v>40087</v>
      </c>
      <c r="H7989" s="1">
        <v>40089</v>
      </c>
      <c r="I7989" t="s">
        <v>12</v>
      </c>
      <c r="J7989" t="s">
        <v>18759</v>
      </c>
    </row>
    <row r="7990" spans="1:10" x14ac:dyDescent="0.25">
      <c r="A7990">
        <v>3118130</v>
      </c>
      <c r="B7990" t="s">
        <v>8433</v>
      </c>
      <c r="C7990" t="str">
        <f>"9781598880090"</f>
        <v>9781598880090</v>
      </c>
      <c r="D7990" t="str">
        <f>"9781598881080"</f>
        <v>9781598881080</v>
      </c>
      <c r="E7990" t="s">
        <v>6643</v>
      </c>
      <c r="F7990" t="s">
        <v>8434</v>
      </c>
      <c r="G7990" s="1">
        <v>38749</v>
      </c>
      <c r="H7990" s="1">
        <v>38959</v>
      </c>
      <c r="I7990" t="s">
        <v>12</v>
      </c>
      <c r="J7990" t="s">
        <v>18760</v>
      </c>
    </row>
    <row r="7991" spans="1:10" x14ac:dyDescent="0.25">
      <c r="A7991">
        <v>3134932</v>
      </c>
      <c r="B7991" t="s">
        <v>8435</v>
      </c>
      <c r="C7991" t="str">
        <f>"9780813215716"</f>
        <v>9780813215716</v>
      </c>
      <c r="D7991" t="str">
        <f>"9780813217109"</f>
        <v>9780813217109</v>
      </c>
      <c r="E7991" t="s">
        <v>8436</v>
      </c>
      <c r="F7991" t="s">
        <v>8436</v>
      </c>
      <c r="G7991" s="1">
        <v>39876</v>
      </c>
      <c r="H7991" s="1">
        <v>40604</v>
      </c>
      <c r="I7991" t="s">
        <v>12</v>
      </c>
      <c r="J7991" t="s">
        <v>18761</v>
      </c>
    </row>
    <row r="7992" spans="1:10" x14ac:dyDescent="0.25">
      <c r="A7992">
        <v>3136098</v>
      </c>
      <c r="B7992" t="s">
        <v>8437</v>
      </c>
      <c r="C7992" t="str">
        <f>"9781598634051"</f>
        <v>9781598634051</v>
      </c>
      <c r="D7992" t="str">
        <f>"9781598636437"</f>
        <v>9781598636437</v>
      </c>
      <c r="E7992" t="s">
        <v>8438</v>
      </c>
      <c r="F7992" t="s">
        <v>8439</v>
      </c>
      <c r="G7992" s="1">
        <v>39356</v>
      </c>
      <c r="H7992" s="1">
        <v>39779</v>
      </c>
      <c r="I7992" t="s">
        <v>12</v>
      </c>
      <c r="J7992" t="s">
        <v>18762</v>
      </c>
    </row>
    <row r="7993" spans="1:10" x14ac:dyDescent="0.25">
      <c r="A7993">
        <v>3136373</v>
      </c>
      <c r="B7993" t="s">
        <v>8440</v>
      </c>
      <c r="C7993" t="str">
        <f>"9781435454170"</f>
        <v>9781435454170</v>
      </c>
      <c r="D7993" t="str">
        <f>"9781435455986"</f>
        <v>9781435455986</v>
      </c>
      <c r="E7993" t="s">
        <v>8438</v>
      </c>
      <c r="F7993" t="s">
        <v>8441</v>
      </c>
      <c r="G7993" s="1">
        <v>40391</v>
      </c>
      <c r="H7993" s="1">
        <v>40442</v>
      </c>
      <c r="I7993" t="s">
        <v>12</v>
      </c>
      <c r="J7993" t="s">
        <v>18763</v>
      </c>
    </row>
    <row r="7994" spans="1:10" x14ac:dyDescent="0.25">
      <c r="A7994">
        <v>3137205</v>
      </c>
      <c r="B7994" t="s">
        <v>8442</v>
      </c>
      <c r="C7994" t="str">
        <f>"9789639241596"</f>
        <v>9789639241596</v>
      </c>
      <c r="D7994" t="str">
        <f>"9781281376626"</f>
        <v>9781281376626</v>
      </c>
      <c r="E7994" t="s">
        <v>8443</v>
      </c>
      <c r="F7994" t="s">
        <v>8444</v>
      </c>
      <c r="G7994" s="1">
        <v>37622</v>
      </c>
      <c r="H7994" s="1">
        <v>38972</v>
      </c>
      <c r="I7994" t="s">
        <v>12</v>
      </c>
      <c r="J7994" t="s">
        <v>18764</v>
      </c>
    </row>
    <row r="7995" spans="1:10" x14ac:dyDescent="0.25">
      <c r="A7995">
        <v>3137222</v>
      </c>
      <c r="B7995" t="s">
        <v>8445</v>
      </c>
      <c r="C7995" t="str">
        <f>"9789637326660"</f>
        <v>9789637326660</v>
      </c>
      <c r="D7995" t="str">
        <f>"9781281376695"</f>
        <v>9781281376695</v>
      </c>
      <c r="E7995" t="s">
        <v>8443</v>
      </c>
      <c r="F7995" t="s">
        <v>8444</v>
      </c>
      <c r="G7995" s="1">
        <v>39052</v>
      </c>
      <c r="H7995" s="1">
        <v>39189</v>
      </c>
      <c r="I7995" t="s">
        <v>12</v>
      </c>
      <c r="J7995" t="s">
        <v>18765</v>
      </c>
    </row>
    <row r="7996" spans="1:10" x14ac:dyDescent="0.25">
      <c r="A7996">
        <v>3137238</v>
      </c>
      <c r="B7996" t="s">
        <v>8446</v>
      </c>
      <c r="C7996" t="str">
        <f>"9789637326905"</f>
        <v>9789637326905</v>
      </c>
      <c r="D7996" t="str">
        <f>"9781281377005"</f>
        <v>9781281377005</v>
      </c>
      <c r="E7996" t="s">
        <v>8443</v>
      </c>
      <c r="F7996" t="s">
        <v>8444</v>
      </c>
      <c r="G7996" s="1">
        <v>39052</v>
      </c>
      <c r="H7996" s="1">
        <v>39261</v>
      </c>
      <c r="I7996" t="s">
        <v>12</v>
      </c>
      <c r="J7996" t="s">
        <v>18766</v>
      </c>
    </row>
    <row r="7997" spans="1:10" x14ac:dyDescent="0.25">
      <c r="A7997">
        <v>3137251</v>
      </c>
      <c r="B7997" t="s">
        <v>8447</v>
      </c>
      <c r="C7997" t="str">
        <f>"9789639776012"</f>
        <v>9789639776012</v>
      </c>
      <c r="D7997" t="str">
        <f>"9781281377043"</f>
        <v>9781281377043</v>
      </c>
      <c r="E7997" t="s">
        <v>8443</v>
      </c>
      <c r="F7997" t="s">
        <v>8444</v>
      </c>
      <c r="G7997" s="1">
        <v>39417</v>
      </c>
      <c r="H7997" s="1">
        <v>39456</v>
      </c>
      <c r="I7997" t="s">
        <v>12</v>
      </c>
      <c r="J7997" t="s">
        <v>18767</v>
      </c>
    </row>
    <row r="7998" spans="1:10" x14ac:dyDescent="0.25">
      <c r="A7998">
        <v>3137255</v>
      </c>
      <c r="B7998" t="s">
        <v>8448</v>
      </c>
      <c r="C7998" t="str">
        <f>"9789637326738"</f>
        <v>9789637326738</v>
      </c>
      <c r="D7998" t="str">
        <f>"9781281377029"</f>
        <v>9781281377029</v>
      </c>
      <c r="E7998" t="s">
        <v>8443</v>
      </c>
      <c r="F7998" t="s">
        <v>8444</v>
      </c>
      <c r="G7998" s="1">
        <v>39052</v>
      </c>
      <c r="H7998" s="1">
        <v>39456</v>
      </c>
      <c r="I7998" t="s">
        <v>12</v>
      </c>
      <c r="J7998" t="s">
        <v>18768</v>
      </c>
    </row>
    <row r="7999" spans="1:10" x14ac:dyDescent="0.25">
      <c r="A7999">
        <v>3138984</v>
      </c>
      <c r="B7999" t="s">
        <v>8449</v>
      </c>
      <c r="C7999" t="str">
        <f>"9781888570410"</f>
        <v>9781888570410</v>
      </c>
      <c r="D7999" t="str">
        <f>"9781935790204"</f>
        <v>9781935790204</v>
      </c>
      <c r="E7999" t="s">
        <v>8450</v>
      </c>
      <c r="F7999" t="s">
        <v>8450</v>
      </c>
      <c r="G7999" s="1">
        <v>39448</v>
      </c>
      <c r="H7999" s="1">
        <v>40012</v>
      </c>
      <c r="I7999" t="s">
        <v>12</v>
      </c>
      <c r="J7999" t="s">
        <v>18769</v>
      </c>
    </row>
    <row r="8000" spans="1:10" x14ac:dyDescent="0.25">
      <c r="A8000">
        <v>3138993</v>
      </c>
      <c r="B8000" t="s">
        <v>8451</v>
      </c>
      <c r="C8000" t="str">
        <f>"9781888570359"</f>
        <v>9781888570359</v>
      </c>
      <c r="D8000" t="str">
        <f>"9781935790457"</f>
        <v>9781935790457</v>
      </c>
      <c r="E8000" t="s">
        <v>8450</v>
      </c>
      <c r="F8000" t="s">
        <v>8450</v>
      </c>
      <c r="G8000" s="1">
        <v>38718</v>
      </c>
      <c r="H8000" s="1">
        <v>40012</v>
      </c>
      <c r="I8000" t="s">
        <v>12</v>
      </c>
      <c r="J8000" t="s">
        <v>18770</v>
      </c>
    </row>
    <row r="8001" spans="1:10" x14ac:dyDescent="0.25">
      <c r="A8001">
        <v>3180102</v>
      </c>
      <c r="B8001" t="s">
        <v>8452</v>
      </c>
      <c r="C8001" t="str">
        <f>"9788426707871"</f>
        <v>9788426707871</v>
      </c>
      <c r="D8001" t="str">
        <f>"9781449209162"</f>
        <v>9781449209162</v>
      </c>
      <c r="E8001" t="s">
        <v>8453</v>
      </c>
      <c r="F8001" t="s">
        <v>8453</v>
      </c>
      <c r="G8001" s="1">
        <v>33604</v>
      </c>
      <c r="H8001" s="1">
        <v>40004</v>
      </c>
      <c r="I8001" t="s">
        <v>12</v>
      </c>
      <c r="J8001" t="s">
        <v>18771</v>
      </c>
    </row>
    <row r="8002" spans="1:10" x14ac:dyDescent="0.25">
      <c r="A8002">
        <v>3186078</v>
      </c>
      <c r="B8002" t="s">
        <v>8454</v>
      </c>
      <c r="C8002" t="str">
        <f>"9788481698770"</f>
        <v>9788481698770</v>
      </c>
      <c r="D8002" t="str">
        <f>"9788481699647"</f>
        <v>9788481699647</v>
      </c>
      <c r="E8002" t="s">
        <v>8455</v>
      </c>
      <c r="F8002" t="s">
        <v>8455</v>
      </c>
      <c r="G8002" s="1">
        <v>39448</v>
      </c>
      <c r="H8002" s="1">
        <v>40204</v>
      </c>
      <c r="I8002" t="s">
        <v>12</v>
      </c>
      <c r="J8002" t="s">
        <v>18772</v>
      </c>
    </row>
    <row r="8003" spans="1:10" x14ac:dyDescent="0.25">
      <c r="A8003">
        <v>3186129</v>
      </c>
      <c r="B8003" t="s">
        <v>8456</v>
      </c>
      <c r="C8003" t="str">
        <f>"9788481699227"</f>
        <v>9788481699227</v>
      </c>
      <c r="D8003" t="str">
        <f>"9788481695366"</f>
        <v>9788481695366</v>
      </c>
      <c r="E8003" t="s">
        <v>8455</v>
      </c>
      <c r="F8003" t="s">
        <v>8455</v>
      </c>
      <c r="G8003" s="1">
        <v>39814</v>
      </c>
      <c r="H8003" s="1">
        <v>40204</v>
      </c>
      <c r="I8003" t="s">
        <v>12</v>
      </c>
      <c r="J8003" t="s">
        <v>18773</v>
      </c>
    </row>
    <row r="8004" spans="1:10" x14ac:dyDescent="0.25">
      <c r="A8004">
        <v>3186577</v>
      </c>
      <c r="B8004" t="s">
        <v>8457</v>
      </c>
      <c r="C8004" t="str">
        <f>"9788481697124"</f>
        <v>9788481697124</v>
      </c>
      <c r="D8004" t="str">
        <f>"9788481699630"</f>
        <v>9788481699630</v>
      </c>
      <c r="E8004" t="s">
        <v>8455</v>
      </c>
      <c r="F8004" t="s">
        <v>8455</v>
      </c>
      <c r="G8004" s="1">
        <v>39083</v>
      </c>
      <c r="H8004" s="1">
        <v>40204</v>
      </c>
      <c r="I8004" t="s">
        <v>12</v>
      </c>
      <c r="J8004" t="s">
        <v>18774</v>
      </c>
    </row>
    <row r="8005" spans="1:10" x14ac:dyDescent="0.25">
      <c r="A8005">
        <v>3188916</v>
      </c>
      <c r="B8005" t="s">
        <v>8458</v>
      </c>
      <c r="C8005" t="str">
        <f>"9788481699593"</f>
        <v>9788481699593</v>
      </c>
      <c r="D8005" t="str">
        <f>"9788499450377"</f>
        <v>9788499450377</v>
      </c>
      <c r="E8005" t="s">
        <v>8455</v>
      </c>
      <c r="F8005" t="s">
        <v>8455</v>
      </c>
      <c r="G8005" s="1">
        <v>40179</v>
      </c>
      <c r="H8005" s="1">
        <v>40333</v>
      </c>
      <c r="I8005" t="s">
        <v>12</v>
      </c>
      <c r="J8005" t="s">
        <v>18775</v>
      </c>
    </row>
    <row r="8006" spans="1:10" x14ac:dyDescent="0.25">
      <c r="A8006">
        <v>3190053</v>
      </c>
      <c r="B8006" t="s">
        <v>8459</v>
      </c>
      <c r="C8006" t="str">
        <f>"9788481697179"</f>
        <v>9788481697179</v>
      </c>
      <c r="D8006" t="str">
        <f>"9788499450735"</f>
        <v>9788499450735</v>
      </c>
      <c r="E8006" t="s">
        <v>8455</v>
      </c>
      <c r="F8006" t="s">
        <v>8455</v>
      </c>
      <c r="G8006" s="1">
        <v>37622</v>
      </c>
      <c r="H8006" s="1">
        <v>40393</v>
      </c>
      <c r="I8006" t="s">
        <v>12</v>
      </c>
      <c r="J8006" t="s">
        <v>18776</v>
      </c>
    </row>
    <row r="8007" spans="1:10" x14ac:dyDescent="0.25">
      <c r="A8007">
        <v>3238300</v>
      </c>
      <c r="B8007" t="s">
        <v>8460</v>
      </c>
      <c r="C8007" t="str">
        <f>"9781906096137"</f>
        <v>9781906096137</v>
      </c>
      <c r="D8007" t="str">
        <f>"9781906096465"</f>
        <v>9781906096465</v>
      </c>
      <c r="E8007" t="s">
        <v>8461</v>
      </c>
      <c r="F8007" t="s">
        <v>8461</v>
      </c>
      <c r="G8007" s="1">
        <v>40634</v>
      </c>
      <c r="H8007" s="1">
        <v>40666</v>
      </c>
      <c r="I8007" t="s">
        <v>12</v>
      </c>
      <c r="J8007" t="s">
        <v>18777</v>
      </c>
    </row>
    <row r="8008" spans="1:10" x14ac:dyDescent="0.25">
      <c r="A8008">
        <v>3238302</v>
      </c>
      <c r="B8008" t="s">
        <v>8462</v>
      </c>
      <c r="C8008" t="str">
        <f>"9780955412479"</f>
        <v>9780955412479</v>
      </c>
      <c r="D8008" t="str">
        <f>"9781906096441"</f>
        <v>9781906096441</v>
      </c>
      <c r="E8008" t="s">
        <v>8461</v>
      </c>
      <c r="F8008" t="s">
        <v>8461</v>
      </c>
      <c r="G8008" s="1">
        <v>40634</v>
      </c>
      <c r="H8008" s="1">
        <v>40673</v>
      </c>
      <c r="I8008" t="s">
        <v>12</v>
      </c>
      <c r="J8008" t="s">
        <v>18778</v>
      </c>
    </row>
    <row r="8009" spans="1:10" x14ac:dyDescent="0.25">
      <c r="A8009">
        <v>3239425</v>
      </c>
      <c r="B8009" t="s">
        <v>8463</v>
      </c>
      <c r="C8009" t="str">
        <f>"9780823227037"</f>
        <v>9780823227037</v>
      </c>
      <c r="D8009" t="str">
        <f>"9780823227051"</f>
        <v>9780823227051</v>
      </c>
      <c r="E8009" t="s">
        <v>8464</v>
      </c>
      <c r="F8009" t="s">
        <v>8464</v>
      </c>
      <c r="G8009" s="1">
        <v>39036</v>
      </c>
      <c r="H8009" s="1">
        <v>39426</v>
      </c>
      <c r="I8009" t="s">
        <v>12</v>
      </c>
      <c r="J8009" t="s">
        <v>18779</v>
      </c>
    </row>
    <row r="8010" spans="1:10" x14ac:dyDescent="0.25">
      <c r="A8010">
        <v>3239522</v>
      </c>
      <c r="B8010" t="s">
        <v>8465</v>
      </c>
      <c r="C8010" t="str">
        <f>"9780823232598"</f>
        <v>9780823232598</v>
      </c>
      <c r="D8010" t="str">
        <f>"9780823232611"</f>
        <v>9780823232611</v>
      </c>
      <c r="E8010" t="s">
        <v>8464</v>
      </c>
      <c r="F8010" t="s">
        <v>8464</v>
      </c>
      <c r="G8010" s="1">
        <v>40344</v>
      </c>
      <c r="H8010" s="1">
        <v>40347</v>
      </c>
      <c r="I8010" t="s">
        <v>12</v>
      </c>
      <c r="J8010" t="s">
        <v>18780</v>
      </c>
    </row>
    <row r="8011" spans="1:10" x14ac:dyDescent="0.25">
      <c r="A8011">
        <v>3239558</v>
      </c>
      <c r="B8011" t="s">
        <v>8466</v>
      </c>
      <c r="C8011" t="str">
        <f>"9780823233465"</f>
        <v>9780823233465</v>
      </c>
      <c r="D8011" t="str">
        <f>"9780823233489"</f>
        <v>9780823233489</v>
      </c>
      <c r="E8011" t="s">
        <v>8464</v>
      </c>
      <c r="F8011" t="s">
        <v>8464</v>
      </c>
      <c r="G8011" s="1">
        <v>40575</v>
      </c>
      <c r="H8011" s="1">
        <v>40598</v>
      </c>
      <c r="I8011" t="s">
        <v>12</v>
      </c>
      <c r="J8011" t="s">
        <v>18781</v>
      </c>
    </row>
    <row r="8012" spans="1:10" x14ac:dyDescent="0.25">
      <c r="A8012">
        <v>3239572</v>
      </c>
      <c r="B8012" t="s">
        <v>8467</v>
      </c>
      <c r="C8012" t="str">
        <f>"9780823234615"</f>
        <v>9780823234615</v>
      </c>
      <c r="D8012" t="str">
        <f>"9780823249220"</f>
        <v>9780823249220</v>
      </c>
      <c r="E8012" t="s">
        <v>8464</v>
      </c>
      <c r="F8012" t="s">
        <v>8464</v>
      </c>
      <c r="G8012" s="1">
        <v>40665</v>
      </c>
      <c r="H8012" s="1">
        <v>40687</v>
      </c>
      <c r="I8012" t="s">
        <v>12</v>
      </c>
      <c r="J8012" t="s">
        <v>18782</v>
      </c>
    </row>
    <row r="8013" spans="1:10" x14ac:dyDescent="0.25">
      <c r="A8013">
        <v>3239576</v>
      </c>
      <c r="B8013" t="s">
        <v>8468</v>
      </c>
      <c r="C8013" t="str">
        <f>"9780823234134"</f>
        <v>9780823234134</v>
      </c>
      <c r="D8013" t="str">
        <f>"9780823249251"</f>
        <v>9780823249251</v>
      </c>
      <c r="E8013" t="s">
        <v>8464</v>
      </c>
      <c r="F8013" t="s">
        <v>8464</v>
      </c>
      <c r="G8013" s="1">
        <v>40707</v>
      </c>
      <c r="H8013" s="1">
        <v>40696</v>
      </c>
      <c r="I8013" t="s">
        <v>12</v>
      </c>
      <c r="J8013" t="s">
        <v>18783</v>
      </c>
    </row>
    <row r="8014" spans="1:10" x14ac:dyDescent="0.25">
      <c r="A8014">
        <v>3242611</v>
      </c>
      <c r="B8014" t="s">
        <v>8469</v>
      </c>
      <c r="C8014" t="str">
        <f>"9780889204744"</f>
        <v>9780889204744</v>
      </c>
      <c r="D8014" t="str">
        <f>"9780889209121"</f>
        <v>9780889209121</v>
      </c>
      <c r="E8014" t="s">
        <v>6964</v>
      </c>
      <c r="F8014" t="s">
        <v>6964</v>
      </c>
      <c r="G8014" s="1">
        <v>38718</v>
      </c>
      <c r="H8014" s="1">
        <v>38764</v>
      </c>
      <c r="I8014" t="s">
        <v>12</v>
      </c>
      <c r="J8014" t="s">
        <v>18784</v>
      </c>
    </row>
    <row r="8015" spans="1:10" x14ac:dyDescent="0.25">
      <c r="A8015">
        <v>3244424</v>
      </c>
      <c r="B8015" t="s">
        <v>8470</v>
      </c>
      <c r="C8015" t="str">
        <f>"9781894549554"</f>
        <v>9781894549554</v>
      </c>
      <c r="D8015" t="str">
        <f>"9781459301481"</f>
        <v>9781459301481</v>
      </c>
      <c r="E8015" t="s">
        <v>8471</v>
      </c>
      <c r="F8015" t="s">
        <v>8471</v>
      </c>
      <c r="G8015" s="1">
        <v>38899</v>
      </c>
      <c r="H8015" s="1">
        <v>38924</v>
      </c>
      <c r="I8015" t="s">
        <v>12</v>
      </c>
      <c r="J8015" t="s">
        <v>18785</v>
      </c>
    </row>
    <row r="8016" spans="1:10" x14ac:dyDescent="0.25">
      <c r="A8016">
        <v>3247912</v>
      </c>
      <c r="B8016" t="s">
        <v>8472</v>
      </c>
      <c r="C8016" t="str">
        <f>"9781897178041"</f>
        <v>9781897178041</v>
      </c>
      <c r="D8016" t="str">
        <f>"9781459309456"</f>
        <v>9781459309456</v>
      </c>
      <c r="E8016" t="s">
        <v>3001</v>
      </c>
      <c r="F8016" t="s">
        <v>3001</v>
      </c>
      <c r="G8016" s="1">
        <v>36526</v>
      </c>
      <c r="H8016" s="1">
        <v>39251</v>
      </c>
      <c r="I8016" t="s">
        <v>12</v>
      </c>
      <c r="J8016" t="s">
        <v>18786</v>
      </c>
    </row>
    <row r="8017" spans="1:10" x14ac:dyDescent="0.25">
      <c r="A8017">
        <v>3254757</v>
      </c>
      <c r="B8017" t="s">
        <v>8473</v>
      </c>
      <c r="C8017" t="str">
        <f>"9780802039279"</f>
        <v>9780802039279</v>
      </c>
      <c r="D8017" t="str">
        <f>"9781442671393"</f>
        <v>9781442671393</v>
      </c>
      <c r="E8017" t="s">
        <v>8474</v>
      </c>
      <c r="F8017" t="s">
        <v>8474</v>
      </c>
      <c r="G8017" s="1">
        <v>36526</v>
      </c>
      <c r="H8017" s="1">
        <v>39598</v>
      </c>
      <c r="I8017" t="s">
        <v>12</v>
      </c>
      <c r="J8017" t="s">
        <v>18787</v>
      </c>
    </row>
    <row r="8018" spans="1:10" x14ac:dyDescent="0.25">
      <c r="A8018">
        <v>3254909</v>
      </c>
      <c r="B8018" t="s">
        <v>8475</v>
      </c>
      <c r="C8018" t="str">
        <f>"9780802035295"</f>
        <v>9780802035295</v>
      </c>
      <c r="D8018" t="str">
        <f>"9781442682764"</f>
        <v>9781442682764</v>
      </c>
      <c r="E8018" t="s">
        <v>8474</v>
      </c>
      <c r="F8018" t="s">
        <v>8474</v>
      </c>
      <c r="G8018" s="1">
        <v>36526</v>
      </c>
      <c r="H8018" s="1">
        <v>39598</v>
      </c>
      <c r="I8018" t="s">
        <v>12</v>
      </c>
      <c r="J8018" t="s">
        <v>18788</v>
      </c>
    </row>
    <row r="8019" spans="1:10" x14ac:dyDescent="0.25">
      <c r="A8019">
        <v>3255006</v>
      </c>
      <c r="B8019" t="s">
        <v>8476</v>
      </c>
      <c r="C8019" t="str">
        <f>"9780802038579"</f>
        <v>9780802038579</v>
      </c>
      <c r="D8019" t="str">
        <f>"9781442674387"</f>
        <v>9781442674387</v>
      </c>
      <c r="E8019" t="s">
        <v>8474</v>
      </c>
      <c r="F8019" t="s">
        <v>8474</v>
      </c>
      <c r="G8019" s="1">
        <v>36526</v>
      </c>
      <c r="H8019" s="1">
        <v>39598</v>
      </c>
      <c r="I8019" t="s">
        <v>12</v>
      </c>
      <c r="J8019" t="s">
        <v>18789</v>
      </c>
    </row>
    <row r="8020" spans="1:10" x14ac:dyDescent="0.25">
      <c r="A8020">
        <v>3255069</v>
      </c>
      <c r="B8020" t="s">
        <v>8477</v>
      </c>
      <c r="C8020" t="str">
        <f>"9780802039125"</f>
        <v>9780802039125</v>
      </c>
      <c r="D8020" t="str">
        <f>"9781442672956"</f>
        <v>9781442672956</v>
      </c>
      <c r="E8020" t="s">
        <v>8474</v>
      </c>
      <c r="F8020" t="s">
        <v>8474</v>
      </c>
      <c r="G8020" s="1">
        <v>36526</v>
      </c>
      <c r="H8020" s="1">
        <v>39598</v>
      </c>
      <c r="I8020" t="s">
        <v>12</v>
      </c>
      <c r="J8020" t="s">
        <v>18790</v>
      </c>
    </row>
    <row r="8021" spans="1:10" x14ac:dyDescent="0.25">
      <c r="A8021">
        <v>3255263</v>
      </c>
      <c r="B8021" t="s">
        <v>8478</v>
      </c>
      <c r="C8021" t="str">
        <f>"9780802086273"</f>
        <v>9780802086273</v>
      </c>
      <c r="D8021" t="str">
        <f>"9781442683389"</f>
        <v>9781442683389</v>
      </c>
      <c r="E8021" t="s">
        <v>8474</v>
      </c>
      <c r="F8021" t="s">
        <v>8474</v>
      </c>
      <c r="G8021" s="1">
        <v>41773</v>
      </c>
      <c r="H8021" s="1">
        <v>39598</v>
      </c>
      <c r="I8021" t="s">
        <v>12</v>
      </c>
      <c r="J8021" t="s">
        <v>18791</v>
      </c>
    </row>
    <row r="8022" spans="1:10" x14ac:dyDescent="0.25">
      <c r="A8022">
        <v>3255497</v>
      </c>
      <c r="B8022" t="s">
        <v>8479</v>
      </c>
      <c r="C8022" t="str">
        <f>"9780802042613"</f>
        <v>9780802042613</v>
      </c>
      <c r="D8022" t="str">
        <f>"9781442683655"</f>
        <v>9781442683655</v>
      </c>
      <c r="E8022" t="s">
        <v>8474</v>
      </c>
      <c r="F8022" t="s">
        <v>8474</v>
      </c>
      <c r="G8022" s="1">
        <v>36526</v>
      </c>
      <c r="H8022" s="1">
        <v>39598</v>
      </c>
      <c r="I8022" t="s">
        <v>12</v>
      </c>
      <c r="J8022" t="s">
        <v>18792</v>
      </c>
    </row>
    <row r="8023" spans="1:10" x14ac:dyDescent="0.25">
      <c r="A8023">
        <v>3257847</v>
      </c>
      <c r="B8023" t="s">
        <v>8480</v>
      </c>
      <c r="C8023" t="str">
        <f>"9782760514478"</f>
        <v>9782760514478</v>
      </c>
      <c r="D8023" t="str">
        <f>"9782760519121"</f>
        <v>9782760519121</v>
      </c>
      <c r="E8023" t="s">
        <v>8481</v>
      </c>
      <c r="F8023" t="s">
        <v>8482</v>
      </c>
      <c r="G8023" s="1">
        <v>36526</v>
      </c>
      <c r="H8023" s="1">
        <v>39618</v>
      </c>
      <c r="I8023" t="s">
        <v>12</v>
      </c>
      <c r="J8023" t="s">
        <v>18793</v>
      </c>
    </row>
    <row r="8024" spans="1:10" x14ac:dyDescent="0.25">
      <c r="A8024">
        <v>3257854</v>
      </c>
      <c r="B8024" t="s">
        <v>8483</v>
      </c>
      <c r="C8024" t="str">
        <f>"9782760514591"</f>
        <v>9782760514591</v>
      </c>
      <c r="D8024" t="str">
        <f>"9782760519190"</f>
        <v>9782760519190</v>
      </c>
      <c r="E8024" t="s">
        <v>8481</v>
      </c>
      <c r="F8024" t="s">
        <v>8482</v>
      </c>
      <c r="G8024" s="1">
        <v>36526</v>
      </c>
      <c r="H8024" s="1">
        <v>39618</v>
      </c>
      <c r="I8024" t="s">
        <v>12</v>
      </c>
      <c r="J8024" t="s">
        <v>18794</v>
      </c>
    </row>
    <row r="8025" spans="1:10" x14ac:dyDescent="0.25">
      <c r="A8025">
        <v>3257894</v>
      </c>
      <c r="B8025" t="s">
        <v>8484</v>
      </c>
      <c r="C8025" t="str">
        <f>"9780802049780"</f>
        <v>9780802049780</v>
      </c>
      <c r="D8025" t="str">
        <f>"9781442683426"</f>
        <v>9781442683426</v>
      </c>
      <c r="E8025" t="s">
        <v>8474</v>
      </c>
      <c r="F8025" t="s">
        <v>8474</v>
      </c>
      <c r="G8025" s="1">
        <v>36526</v>
      </c>
      <c r="H8025" s="1">
        <v>39618</v>
      </c>
      <c r="I8025" t="s">
        <v>12</v>
      </c>
      <c r="J8025" t="s">
        <v>18795</v>
      </c>
    </row>
    <row r="8026" spans="1:10" x14ac:dyDescent="0.25">
      <c r="A8026">
        <v>3262331</v>
      </c>
      <c r="B8026" t="s">
        <v>8485</v>
      </c>
      <c r="C8026" t="str">
        <f>"9781848131927"</f>
        <v>9781848131927</v>
      </c>
      <c r="D8026" t="str">
        <f>"9781552503997"</f>
        <v>9781552503997</v>
      </c>
      <c r="E8026" t="s">
        <v>8486</v>
      </c>
      <c r="F8026" t="s">
        <v>8487</v>
      </c>
      <c r="G8026" s="1">
        <v>39904</v>
      </c>
      <c r="H8026" s="1">
        <v>39896</v>
      </c>
      <c r="I8026" t="s">
        <v>12</v>
      </c>
      <c r="J8026" t="s">
        <v>18796</v>
      </c>
    </row>
    <row r="8027" spans="1:10" x14ac:dyDescent="0.25">
      <c r="A8027">
        <v>3265294</v>
      </c>
      <c r="B8027" t="s">
        <v>8488</v>
      </c>
      <c r="C8027" t="str">
        <f>"9782763788470"</f>
        <v>9782763788470</v>
      </c>
      <c r="D8027" t="str">
        <f>"9782763712048"</f>
        <v>9782763712048</v>
      </c>
      <c r="E8027" t="s">
        <v>8489</v>
      </c>
      <c r="F8027" t="s">
        <v>8489</v>
      </c>
      <c r="G8027" s="1">
        <v>36526</v>
      </c>
      <c r="H8027" s="1">
        <v>40128</v>
      </c>
      <c r="I8027" t="s">
        <v>12</v>
      </c>
      <c r="J8027" t="s">
        <v>18797</v>
      </c>
    </row>
    <row r="8028" spans="1:10" x14ac:dyDescent="0.25">
      <c r="A8028">
        <v>3266245</v>
      </c>
      <c r="B8028" t="s">
        <v>8490</v>
      </c>
      <c r="C8028" t="str">
        <f>"9781551432984"</f>
        <v>9781551432984</v>
      </c>
      <c r="D8028" t="str">
        <f>"9781551434568"</f>
        <v>9781551434568</v>
      </c>
      <c r="E8028" t="s">
        <v>8491</v>
      </c>
      <c r="F8028" t="s">
        <v>8491</v>
      </c>
      <c r="G8028" s="1">
        <v>40908</v>
      </c>
      <c r="H8028" s="1">
        <v>40211</v>
      </c>
      <c r="I8028" t="s">
        <v>12</v>
      </c>
      <c r="J8028" t="s">
        <v>18798</v>
      </c>
    </row>
    <row r="8029" spans="1:10" x14ac:dyDescent="0.25">
      <c r="A8029">
        <v>3266773</v>
      </c>
      <c r="B8029" t="s">
        <v>8492</v>
      </c>
      <c r="C8029" t="str">
        <f>"9781441912084"</f>
        <v>9781441912084</v>
      </c>
      <c r="D8029" t="str">
        <f>"9781552504598"</f>
        <v>9781552504598</v>
      </c>
      <c r="E8029" t="s">
        <v>1968</v>
      </c>
      <c r="F8029" t="s">
        <v>8493</v>
      </c>
      <c r="G8029" s="1">
        <v>40513</v>
      </c>
      <c r="H8029" s="1">
        <v>40241</v>
      </c>
      <c r="I8029" t="s">
        <v>12</v>
      </c>
      <c r="J8029" t="s">
        <v>18799</v>
      </c>
    </row>
    <row r="8030" spans="1:10" x14ac:dyDescent="0.25">
      <c r="A8030">
        <v>3268259</v>
      </c>
      <c r="B8030" t="s">
        <v>8494</v>
      </c>
      <c r="C8030" t="str">
        <f>"9781554581924"</f>
        <v>9781554581924</v>
      </c>
      <c r="D8030" t="str">
        <f>"9781554581986"</f>
        <v>9781554581986</v>
      </c>
      <c r="E8030" t="s">
        <v>6964</v>
      </c>
      <c r="F8030" t="s">
        <v>6964</v>
      </c>
      <c r="G8030" s="1">
        <v>40086</v>
      </c>
      <c r="H8030" s="1">
        <v>40295</v>
      </c>
      <c r="I8030" t="s">
        <v>12</v>
      </c>
      <c r="J8030" t="s">
        <v>18800</v>
      </c>
    </row>
    <row r="8031" spans="1:10" x14ac:dyDescent="0.25">
      <c r="A8031">
        <v>3299298</v>
      </c>
      <c r="B8031" t="s">
        <v>8495</v>
      </c>
      <c r="C8031" t="str">
        <f>"9781607241447"</f>
        <v>9781607241447</v>
      </c>
      <c r="D8031" t="str">
        <f>""</f>
        <v/>
      </c>
      <c r="E8031" t="s">
        <v>8496</v>
      </c>
      <c r="F8031" t="s">
        <v>8497</v>
      </c>
      <c r="G8031" s="1">
        <v>39873</v>
      </c>
      <c r="H8031" s="1">
        <v>40562</v>
      </c>
      <c r="I8031" t="s">
        <v>12</v>
      </c>
      <c r="J8031" t="s">
        <v>18801</v>
      </c>
    </row>
    <row r="8032" spans="1:10" x14ac:dyDescent="0.25">
      <c r="A8032">
        <v>3299749</v>
      </c>
      <c r="B8032" t="s">
        <v>8498</v>
      </c>
      <c r="C8032" t="str">
        <f>"9781905641215"</f>
        <v>9781905641215</v>
      </c>
      <c r="D8032" t="str">
        <f>"9780857190529"</f>
        <v>9780857190529</v>
      </c>
      <c r="E8032" t="s">
        <v>8499</v>
      </c>
      <c r="F8032" t="s">
        <v>8499</v>
      </c>
      <c r="G8032" s="1">
        <v>39479</v>
      </c>
      <c r="H8032" s="1">
        <v>42044</v>
      </c>
      <c r="I8032" t="s">
        <v>12</v>
      </c>
      <c r="J8032" t="s">
        <v>18802</v>
      </c>
    </row>
    <row r="8033" spans="1:10" x14ac:dyDescent="0.25">
      <c r="A8033">
        <v>3301768</v>
      </c>
      <c r="B8033" t="s">
        <v>8500</v>
      </c>
      <c r="C8033" t="str">
        <f>"9781567933130"</f>
        <v>9781567933130</v>
      </c>
      <c r="D8033" t="str">
        <f>"9781567933468"</f>
        <v>9781567933468</v>
      </c>
      <c r="E8033" t="s">
        <v>8501</v>
      </c>
      <c r="F8033" t="s">
        <v>8501</v>
      </c>
      <c r="G8033" s="1">
        <v>39873</v>
      </c>
      <c r="H8033" s="1">
        <v>39984</v>
      </c>
      <c r="I8033" t="s">
        <v>12</v>
      </c>
      <c r="J8033" t="s">
        <v>18803</v>
      </c>
    </row>
    <row r="8034" spans="1:10" x14ac:dyDescent="0.25">
      <c r="A8034">
        <v>3301774</v>
      </c>
      <c r="B8034" t="s">
        <v>8502</v>
      </c>
      <c r="C8034" t="str">
        <f>"9781567933550"</f>
        <v>9781567933550</v>
      </c>
      <c r="D8034" t="str">
        <f>"9781567934458"</f>
        <v>9781567934458</v>
      </c>
      <c r="E8034" t="s">
        <v>8501</v>
      </c>
      <c r="F8034" t="s">
        <v>8501</v>
      </c>
      <c r="G8034" s="1">
        <v>40210</v>
      </c>
      <c r="H8034" s="1">
        <v>40458</v>
      </c>
      <c r="I8034" t="s">
        <v>12</v>
      </c>
      <c r="J8034" t="s">
        <v>18804</v>
      </c>
    </row>
    <row r="8035" spans="1:10" x14ac:dyDescent="0.25">
      <c r="A8035">
        <v>3301776</v>
      </c>
      <c r="B8035" t="s">
        <v>8503</v>
      </c>
      <c r="C8035" t="str">
        <f>"9781567934168"</f>
        <v>9781567934168</v>
      </c>
      <c r="D8035" t="str">
        <f>"9781567934267"</f>
        <v>9781567934267</v>
      </c>
      <c r="E8035" t="s">
        <v>8501</v>
      </c>
      <c r="F8035" t="s">
        <v>8501</v>
      </c>
      <c r="G8035" s="1">
        <v>40634</v>
      </c>
      <c r="H8035" s="1">
        <v>40717</v>
      </c>
      <c r="I8035" t="s">
        <v>12</v>
      </c>
      <c r="J8035" t="s">
        <v>18805</v>
      </c>
    </row>
    <row r="8036" spans="1:10" x14ac:dyDescent="0.25">
      <c r="A8036">
        <v>3301777</v>
      </c>
      <c r="B8036" t="s">
        <v>8504</v>
      </c>
      <c r="C8036" t="str">
        <f>"9781567933666"</f>
        <v>9781567933666</v>
      </c>
      <c r="D8036" t="str">
        <f>"9781567934298"</f>
        <v>9781567934298</v>
      </c>
      <c r="E8036" t="s">
        <v>8501</v>
      </c>
      <c r="F8036" t="s">
        <v>8501</v>
      </c>
      <c r="G8036" s="1">
        <v>40603</v>
      </c>
      <c r="H8036" s="1">
        <v>40717</v>
      </c>
      <c r="I8036" t="s">
        <v>12</v>
      </c>
      <c r="J8036" t="s">
        <v>18806</v>
      </c>
    </row>
    <row r="8037" spans="1:10" x14ac:dyDescent="0.25">
      <c r="A8037">
        <v>3301778</v>
      </c>
      <c r="B8037" t="s">
        <v>8505</v>
      </c>
      <c r="C8037" t="str">
        <f>"9781567934151"</f>
        <v>9781567934151</v>
      </c>
      <c r="D8037" t="str">
        <f>"9781567934311"</f>
        <v>9781567934311</v>
      </c>
      <c r="E8037" t="s">
        <v>8501</v>
      </c>
      <c r="F8037" t="s">
        <v>8501</v>
      </c>
      <c r="G8037" s="1">
        <v>40634</v>
      </c>
      <c r="H8037" s="1">
        <v>40717</v>
      </c>
      <c r="I8037" t="s">
        <v>12</v>
      </c>
      <c r="J8037" t="s">
        <v>18807</v>
      </c>
    </row>
    <row r="8038" spans="1:10" x14ac:dyDescent="0.25">
      <c r="A8038">
        <v>3301783</v>
      </c>
      <c r="B8038" t="s">
        <v>8506</v>
      </c>
      <c r="C8038" t="str">
        <f>"9781567933673"</f>
        <v>9781567933673</v>
      </c>
      <c r="D8038" t="str">
        <f>"9781567934304"</f>
        <v>9781567934304</v>
      </c>
      <c r="E8038" t="s">
        <v>8501</v>
      </c>
      <c r="F8038" t="s">
        <v>8501</v>
      </c>
      <c r="G8038" s="1">
        <v>40513</v>
      </c>
      <c r="H8038" s="1">
        <v>40717</v>
      </c>
      <c r="I8038" t="s">
        <v>12</v>
      </c>
      <c r="J8038" t="s">
        <v>18808</v>
      </c>
    </row>
    <row r="8039" spans="1:10" x14ac:dyDescent="0.25">
      <c r="A8039">
        <v>3308732</v>
      </c>
      <c r="B8039" t="s">
        <v>8507</v>
      </c>
      <c r="C8039" t="str">
        <f>"9781591405214"</f>
        <v>9781591405214</v>
      </c>
      <c r="D8039" t="str">
        <f>"9781591405238"</f>
        <v>9781591405238</v>
      </c>
      <c r="E8039" t="s">
        <v>624</v>
      </c>
      <c r="F8039" t="s">
        <v>624</v>
      </c>
      <c r="G8039" s="1">
        <v>38261</v>
      </c>
      <c r="H8039" s="1">
        <v>38233</v>
      </c>
      <c r="I8039" t="s">
        <v>12</v>
      </c>
      <c r="J8039" t="s">
        <v>18809</v>
      </c>
    </row>
    <row r="8040" spans="1:10" x14ac:dyDescent="0.25">
      <c r="A8040">
        <v>3308785</v>
      </c>
      <c r="B8040" t="s">
        <v>8508</v>
      </c>
      <c r="C8040" t="str">
        <f>"9781591403456"</f>
        <v>9781591403456</v>
      </c>
      <c r="D8040" t="str">
        <f>"9781591403470"</f>
        <v>9781591403470</v>
      </c>
      <c r="E8040" t="s">
        <v>624</v>
      </c>
      <c r="F8040" t="s">
        <v>624</v>
      </c>
      <c r="G8040" s="1">
        <v>38321</v>
      </c>
      <c r="H8040" s="1">
        <v>38324</v>
      </c>
      <c r="I8040" t="s">
        <v>12</v>
      </c>
      <c r="J8040" t="s">
        <v>18810</v>
      </c>
    </row>
    <row r="8041" spans="1:10" x14ac:dyDescent="0.25">
      <c r="A8041">
        <v>3308834</v>
      </c>
      <c r="B8041" t="s">
        <v>8509</v>
      </c>
      <c r="C8041" t="str">
        <f>"9781591406372"</f>
        <v>9781591406372</v>
      </c>
      <c r="D8041" t="str">
        <f>"9781591406396"</f>
        <v>9781591406396</v>
      </c>
      <c r="E8041" t="s">
        <v>624</v>
      </c>
      <c r="F8041" t="s">
        <v>624</v>
      </c>
      <c r="G8041" s="1">
        <v>38353</v>
      </c>
      <c r="H8041" s="1">
        <v>38510</v>
      </c>
      <c r="I8041" t="s">
        <v>12</v>
      </c>
      <c r="J8041" t="s">
        <v>18811</v>
      </c>
    </row>
    <row r="8042" spans="1:10" x14ac:dyDescent="0.25">
      <c r="A8042">
        <v>3308842</v>
      </c>
      <c r="B8042" t="s">
        <v>8510</v>
      </c>
      <c r="C8042" t="str">
        <f>"9781591406297"</f>
        <v>9781591406297</v>
      </c>
      <c r="D8042" t="str">
        <f>"9781591406310"</f>
        <v>9781591406310</v>
      </c>
      <c r="E8042" t="s">
        <v>624</v>
      </c>
      <c r="F8042" t="s">
        <v>624</v>
      </c>
      <c r="G8042" s="1">
        <v>38353</v>
      </c>
      <c r="H8042" s="1">
        <v>38538</v>
      </c>
      <c r="I8042" t="s">
        <v>12</v>
      </c>
      <c r="J8042" t="s">
        <v>18812</v>
      </c>
    </row>
    <row r="8043" spans="1:10" x14ac:dyDescent="0.25">
      <c r="A8043">
        <v>3308845</v>
      </c>
      <c r="B8043" t="s">
        <v>8511</v>
      </c>
      <c r="C8043" t="str">
        <f>"9781591404712"</f>
        <v>9781591404712</v>
      </c>
      <c r="D8043" t="str">
        <f>"9781591404736"</f>
        <v>9781591404736</v>
      </c>
      <c r="E8043" t="s">
        <v>624</v>
      </c>
      <c r="F8043" t="s">
        <v>624</v>
      </c>
      <c r="G8043" s="1">
        <v>38442</v>
      </c>
      <c r="H8043" s="1">
        <v>38538</v>
      </c>
      <c r="I8043" t="s">
        <v>12</v>
      </c>
      <c r="J8043" t="s">
        <v>18813</v>
      </c>
    </row>
    <row r="8044" spans="1:10" x14ac:dyDescent="0.25">
      <c r="A8044">
        <v>3308846</v>
      </c>
      <c r="B8044" t="s">
        <v>8512</v>
      </c>
      <c r="C8044" t="str">
        <f>"9781591406341"</f>
        <v>9781591406341</v>
      </c>
      <c r="D8044" t="str">
        <f>"9781591406365"</f>
        <v>9781591406365</v>
      </c>
      <c r="E8044" t="s">
        <v>624</v>
      </c>
      <c r="F8044" t="s">
        <v>624</v>
      </c>
      <c r="G8044" s="1">
        <v>38472</v>
      </c>
      <c r="H8044" s="1">
        <v>38538</v>
      </c>
      <c r="I8044" t="s">
        <v>12</v>
      </c>
      <c r="J8044" t="s">
        <v>18814</v>
      </c>
    </row>
    <row r="8045" spans="1:10" x14ac:dyDescent="0.25">
      <c r="A8045">
        <v>3308847</v>
      </c>
      <c r="B8045" t="s">
        <v>8513</v>
      </c>
      <c r="C8045" t="str">
        <f>"9781591405818"</f>
        <v>9781591405818</v>
      </c>
      <c r="D8045" t="str">
        <f>"9781591405870"</f>
        <v>9781591405870</v>
      </c>
      <c r="E8045" t="s">
        <v>624</v>
      </c>
      <c r="F8045" t="s">
        <v>624</v>
      </c>
      <c r="G8045" s="1">
        <v>38472</v>
      </c>
      <c r="H8045" s="1">
        <v>38538</v>
      </c>
      <c r="I8045" t="s">
        <v>12</v>
      </c>
      <c r="J8045" t="s">
        <v>18815</v>
      </c>
    </row>
    <row r="8046" spans="1:10" x14ac:dyDescent="0.25">
      <c r="A8046">
        <v>3308852</v>
      </c>
      <c r="B8046" t="s">
        <v>8514</v>
      </c>
      <c r="C8046" t="str">
        <f>"9781591407478"</f>
        <v>9781591407478</v>
      </c>
      <c r="D8046" t="str">
        <f>"9781591407492"</f>
        <v>9781591407492</v>
      </c>
      <c r="E8046" t="s">
        <v>624</v>
      </c>
      <c r="F8046" t="s">
        <v>624</v>
      </c>
      <c r="G8046" s="1">
        <v>38564</v>
      </c>
      <c r="H8046" s="1">
        <v>38573</v>
      </c>
      <c r="I8046" t="s">
        <v>12</v>
      </c>
      <c r="J8046" t="s">
        <v>18816</v>
      </c>
    </row>
    <row r="8047" spans="1:10" x14ac:dyDescent="0.25">
      <c r="A8047">
        <v>3308853</v>
      </c>
      <c r="B8047" t="s">
        <v>8515</v>
      </c>
      <c r="C8047" t="str">
        <f>"9781591404972"</f>
        <v>9781591404972</v>
      </c>
      <c r="D8047" t="str">
        <f>"9781591404996"</f>
        <v>9781591404996</v>
      </c>
      <c r="E8047" t="s">
        <v>624</v>
      </c>
      <c r="F8047" t="s">
        <v>624</v>
      </c>
      <c r="G8047" s="1">
        <v>38472</v>
      </c>
      <c r="H8047" s="1">
        <v>38573</v>
      </c>
      <c r="I8047" t="s">
        <v>12</v>
      </c>
      <c r="J8047" t="s">
        <v>18817</v>
      </c>
    </row>
    <row r="8048" spans="1:10" x14ac:dyDescent="0.25">
      <c r="A8048">
        <v>3308856</v>
      </c>
      <c r="B8048" t="s">
        <v>8516</v>
      </c>
      <c r="C8048" t="str">
        <f>"9781591405030"</f>
        <v>9781591405030</v>
      </c>
      <c r="D8048" t="str">
        <f>"9781591405054"</f>
        <v>9781591405054</v>
      </c>
      <c r="E8048" t="s">
        <v>624</v>
      </c>
      <c r="F8048" t="s">
        <v>624</v>
      </c>
      <c r="G8048" s="1">
        <v>38472</v>
      </c>
      <c r="H8048" s="1">
        <v>38590</v>
      </c>
      <c r="I8048" t="s">
        <v>12</v>
      </c>
      <c r="J8048" t="s">
        <v>18818</v>
      </c>
    </row>
    <row r="8049" spans="1:10" x14ac:dyDescent="0.25">
      <c r="A8049">
        <v>3308859</v>
      </c>
      <c r="B8049" t="s">
        <v>8517</v>
      </c>
      <c r="C8049" t="str">
        <f>"9781591406112"</f>
        <v>9781591406112</v>
      </c>
      <c r="D8049" t="str">
        <f>"9781591406136"</f>
        <v>9781591406136</v>
      </c>
      <c r="E8049" t="s">
        <v>624</v>
      </c>
      <c r="F8049" t="s">
        <v>624</v>
      </c>
      <c r="G8049" s="1">
        <v>38625</v>
      </c>
      <c r="H8049" s="1">
        <v>38590</v>
      </c>
      <c r="I8049" t="s">
        <v>12</v>
      </c>
      <c r="J8049" t="s">
        <v>18819</v>
      </c>
    </row>
    <row r="8050" spans="1:10" x14ac:dyDescent="0.25">
      <c r="A8050">
        <v>3308861</v>
      </c>
      <c r="B8050" t="s">
        <v>8518</v>
      </c>
      <c r="C8050" t="str">
        <f>"9781591403548"</f>
        <v>9781591403548</v>
      </c>
      <c r="D8050" t="str">
        <f>"9781591403562"</f>
        <v>9781591403562</v>
      </c>
      <c r="E8050" t="s">
        <v>624</v>
      </c>
      <c r="F8050" t="s">
        <v>624</v>
      </c>
      <c r="G8050" s="1">
        <v>38472</v>
      </c>
      <c r="H8050" s="1">
        <v>38590</v>
      </c>
      <c r="I8050" t="s">
        <v>12</v>
      </c>
      <c r="J8050" t="s">
        <v>18820</v>
      </c>
    </row>
    <row r="8051" spans="1:10" x14ac:dyDescent="0.25">
      <c r="A8051">
        <v>3308862</v>
      </c>
      <c r="B8051" t="s">
        <v>8519</v>
      </c>
      <c r="C8051" t="str">
        <f>"9781591405948"</f>
        <v>9781591405948</v>
      </c>
      <c r="D8051" t="str">
        <f>"9781591405962"</f>
        <v>9781591405962</v>
      </c>
      <c r="E8051" t="s">
        <v>624</v>
      </c>
      <c r="F8051" t="s">
        <v>624</v>
      </c>
      <c r="G8051" s="1">
        <v>38564</v>
      </c>
      <c r="H8051" s="1">
        <v>38590</v>
      </c>
      <c r="I8051" t="s">
        <v>12</v>
      </c>
      <c r="J8051" t="s">
        <v>18821</v>
      </c>
    </row>
    <row r="8052" spans="1:10" x14ac:dyDescent="0.25">
      <c r="A8052">
        <v>3308865</v>
      </c>
      <c r="B8052" t="s">
        <v>8520</v>
      </c>
      <c r="C8052" t="str">
        <f>"9781591407294"</f>
        <v>9781591407294</v>
      </c>
      <c r="D8052" t="str">
        <f>"9781591407317"</f>
        <v>9781591407317</v>
      </c>
      <c r="E8052" t="s">
        <v>624</v>
      </c>
      <c r="F8052" t="s">
        <v>624</v>
      </c>
      <c r="G8052" s="1">
        <v>38656</v>
      </c>
      <c r="H8052" s="1">
        <v>38610</v>
      </c>
      <c r="I8052" t="s">
        <v>12</v>
      </c>
      <c r="J8052" t="s">
        <v>18822</v>
      </c>
    </row>
    <row r="8053" spans="1:10" x14ac:dyDescent="0.25">
      <c r="A8053">
        <v>3308866</v>
      </c>
      <c r="B8053" t="s">
        <v>8521</v>
      </c>
      <c r="C8053" t="str">
        <f>"9781591406044"</f>
        <v>9781591406044</v>
      </c>
      <c r="D8053" t="str">
        <f>"9781591406068"</f>
        <v>9781591406068</v>
      </c>
      <c r="E8053" t="s">
        <v>624</v>
      </c>
      <c r="F8053" t="s">
        <v>624</v>
      </c>
      <c r="G8053" s="1">
        <v>38656</v>
      </c>
      <c r="H8053" s="1">
        <v>38610</v>
      </c>
      <c r="I8053" t="s">
        <v>12</v>
      </c>
      <c r="J8053" t="s">
        <v>18823</v>
      </c>
    </row>
    <row r="8054" spans="1:10" x14ac:dyDescent="0.25">
      <c r="A8054">
        <v>3308887</v>
      </c>
      <c r="B8054" t="s">
        <v>8522</v>
      </c>
      <c r="C8054" t="str">
        <f>"9781591403241"</f>
        <v>9781591403241</v>
      </c>
      <c r="D8054" t="str">
        <f>"9781591403265"</f>
        <v>9781591403265</v>
      </c>
      <c r="E8054" t="s">
        <v>624</v>
      </c>
      <c r="F8054" t="s">
        <v>624</v>
      </c>
      <c r="G8054" s="1">
        <v>38353</v>
      </c>
      <c r="H8054" s="1">
        <v>38630</v>
      </c>
      <c r="I8054" t="s">
        <v>12</v>
      </c>
      <c r="J8054" t="s">
        <v>18824</v>
      </c>
    </row>
    <row r="8055" spans="1:10" x14ac:dyDescent="0.25">
      <c r="A8055">
        <v>3308894</v>
      </c>
      <c r="B8055" t="s">
        <v>8523</v>
      </c>
      <c r="C8055" t="str">
        <f>"9781591407089"</f>
        <v>9781591407089</v>
      </c>
      <c r="D8055" t="str">
        <f>"9781591407102"</f>
        <v>9781591407102</v>
      </c>
      <c r="E8055" t="s">
        <v>624</v>
      </c>
      <c r="F8055" t="s">
        <v>624</v>
      </c>
      <c r="G8055" s="1">
        <v>38656</v>
      </c>
      <c r="H8055" s="1">
        <v>38651</v>
      </c>
      <c r="I8055" t="s">
        <v>12</v>
      </c>
      <c r="J8055" t="s">
        <v>18825</v>
      </c>
    </row>
    <row r="8056" spans="1:10" x14ac:dyDescent="0.25">
      <c r="A8056">
        <v>3308900</v>
      </c>
      <c r="B8056" t="s">
        <v>8524</v>
      </c>
      <c r="C8056" t="str">
        <f>"9781591409021"</f>
        <v>9781591409021</v>
      </c>
      <c r="D8056" t="str">
        <f>"9781591409045"</f>
        <v>9781591409045</v>
      </c>
      <c r="E8056" t="s">
        <v>624</v>
      </c>
      <c r="F8056" t="s">
        <v>624</v>
      </c>
      <c r="G8056" s="1">
        <v>38686</v>
      </c>
      <c r="H8056" s="1">
        <v>38672</v>
      </c>
      <c r="I8056" t="s">
        <v>12</v>
      </c>
      <c r="J8056" t="s">
        <v>18826</v>
      </c>
    </row>
    <row r="8057" spans="1:10" x14ac:dyDescent="0.25">
      <c r="A8057">
        <v>3308901</v>
      </c>
      <c r="B8057" t="s">
        <v>8525</v>
      </c>
      <c r="C8057" t="str">
        <f>"9781591406990"</f>
        <v>9781591406990</v>
      </c>
      <c r="D8057" t="str">
        <f>"9781591407010"</f>
        <v>9781591407010</v>
      </c>
      <c r="E8057" t="s">
        <v>624</v>
      </c>
      <c r="F8057" t="s">
        <v>624</v>
      </c>
      <c r="G8057" s="1">
        <v>38353</v>
      </c>
      <c r="H8057" s="1">
        <v>38672</v>
      </c>
      <c r="I8057" t="s">
        <v>12</v>
      </c>
      <c r="J8057" t="s">
        <v>18827</v>
      </c>
    </row>
    <row r="8058" spans="1:10" x14ac:dyDescent="0.25">
      <c r="A8058">
        <v>3308902</v>
      </c>
      <c r="B8058" t="s">
        <v>8526</v>
      </c>
      <c r="C8058" t="str">
        <f>"9781591406495"</f>
        <v>9781591406495</v>
      </c>
      <c r="D8058" t="str">
        <f>"9781591406518"</f>
        <v>9781591406518</v>
      </c>
      <c r="E8058" t="s">
        <v>624</v>
      </c>
      <c r="F8058" t="s">
        <v>624</v>
      </c>
      <c r="G8058" s="1">
        <v>38686</v>
      </c>
      <c r="H8058" s="1">
        <v>38672</v>
      </c>
      <c r="I8058" t="s">
        <v>12</v>
      </c>
      <c r="J8058" t="s">
        <v>18828</v>
      </c>
    </row>
    <row r="8059" spans="1:10" x14ac:dyDescent="0.25">
      <c r="A8059">
        <v>3308903</v>
      </c>
      <c r="B8059" t="s">
        <v>8527</v>
      </c>
      <c r="C8059" t="str">
        <f>"9781591406426"</f>
        <v>9781591406426</v>
      </c>
      <c r="D8059" t="str">
        <f>"9781591406457"</f>
        <v>9781591406457</v>
      </c>
      <c r="E8059" t="s">
        <v>624</v>
      </c>
      <c r="F8059" t="s">
        <v>624</v>
      </c>
      <c r="G8059" s="1">
        <v>38717</v>
      </c>
      <c r="H8059" s="1">
        <v>38687</v>
      </c>
      <c r="I8059" t="s">
        <v>12</v>
      </c>
      <c r="J8059" t="s">
        <v>18829</v>
      </c>
    </row>
    <row r="8060" spans="1:10" x14ac:dyDescent="0.25">
      <c r="A8060">
        <v>3308905</v>
      </c>
      <c r="B8060" t="s">
        <v>8528</v>
      </c>
      <c r="C8060" t="str">
        <f>"9781591408222"</f>
        <v>9781591408222</v>
      </c>
      <c r="D8060" t="str">
        <f>"9781591408239"</f>
        <v>9781591408239</v>
      </c>
      <c r="E8060" t="s">
        <v>624</v>
      </c>
      <c r="F8060" t="s">
        <v>624</v>
      </c>
      <c r="G8060" s="1">
        <v>38503</v>
      </c>
      <c r="H8060" s="1">
        <v>38687</v>
      </c>
      <c r="I8060" t="s">
        <v>12</v>
      </c>
      <c r="J8060" t="s">
        <v>18830</v>
      </c>
    </row>
    <row r="8061" spans="1:10" x14ac:dyDescent="0.25">
      <c r="A8061">
        <v>3308907</v>
      </c>
      <c r="B8061" t="s">
        <v>8529</v>
      </c>
      <c r="C8061" t="str">
        <f>"9781591407386"</f>
        <v>9781591407386</v>
      </c>
      <c r="D8061" t="str">
        <f>"9781591407409"</f>
        <v>9781591407409</v>
      </c>
      <c r="E8061" t="s">
        <v>624</v>
      </c>
      <c r="F8061" t="s">
        <v>624</v>
      </c>
      <c r="G8061" s="1">
        <v>38353</v>
      </c>
      <c r="H8061" s="1">
        <v>38687</v>
      </c>
      <c r="I8061" t="s">
        <v>12</v>
      </c>
      <c r="J8061" t="s">
        <v>18831</v>
      </c>
    </row>
    <row r="8062" spans="1:10" x14ac:dyDescent="0.25">
      <c r="A8062">
        <v>3308909</v>
      </c>
      <c r="B8062" t="s">
        <v>8530</v>
      </c>
      <c r="C8062" t="str">
        <f>"9781591407447"</f>
        <v>9781591407447</v>
      </c>
      <c r="D8062" t="str">
        <f>"9781591407461"</f>
        <v>9781591407461</v>
      </c>
      <c r="E8062" t="s">
        <v>624</v>
      </c>
      <c r="F8062" t="s">
        <v>624</v>
      </c>
      <c r="G8062" s="1">
        <v>38717</v>
      </c>
      <c r="H8062" s="1">
        <v>38705</v>
      </c>
      <c r="I8062" t="s">
        <v>12</v>
      </c>
      <c r="J8062" t="s">
        <v>18832</v>
      </c>
    </row>
    <row r="8063" spans="1:10" x14ac:dyDescent="0.25">
      <c r="A8063">
        <v>3308915</v>
      </c>
      <c r="B8063" t="s">
        <v>8531</v>
      </c>
      <c r="C8063" t="str">
        <f>"9781591408819"</f>
        <v>9781591408819</v>
      </c>
      <c r="D8063" t="str">
        <f>"9781591408833"</f>
        <v>9781591408833</v>
      </c>
      <c r="E8063" t="s">
        <v>624</v>
      </c>
      <c r="F8063" t="s">
        <v>624</v>
      </c>
      <c r="G8063" s="1">
        <v>38717</v>
      </c>
      <c r="H8063" s="1">
        <v>38741</v>
      </c>
      <c r="I8063" t="s">
        <v>12</v>
      </c>
      <c r="J8063" t="s">
        <v>18833</v>
      </c>
    </row>
    <row r="8064" spans="1:10" x14ac:dyDescent="0.25">
      <c r="A8064">
        <v>3308916</v>
      </c>
      <c r="B8064" t="s">
        <v>8532</v>
      </c>
      <c r="C8064" t="str">
        <f>"9781591407416"</f>
        <v>9781591407416</v>
      </c>
      <c r="D8064" t="str">
        <f>"9781591407430"</f>
        <v>9781591407430</v>
      </c>
      <c r="E8064" t="s">
        <v>624</v>
      </c>
      <c r="F8064" t="s">
        <v>624</v>
      </c>
      <c r="G8064" s="1">
        <v>39023</v>
      </c>
      <c r="H8064" s="1">
        <v>38741</v>
      </c>
      <c r="I8064" t="s">
        <v>12</v>
      </c>
      <c r="J8064" t="s">
        <v>18834</v>
      </c>
    </row>
    <row r="8065" spans="1:10" x14ac:dyDescent="0.25">
      <c r="A8065">
        <v>3308917</v>
      </c>
      <c r="B8065" t="s">
        <v>8533</v>
      </c>
      <c r="C8065" t="str">
        <f>"9781591408543"</f>
        <v>9781591408543</v>
      </c>
      <c r="D8065" t="str">
        <f>"9781591408567"</f>
        <v>9781591408567</v>
      </c>
      <c r="E8065" t="s">
        <v>624</v>
      </c>
      <c r="F8065" t="s">
        <v>624</v>
      </c>
      <c r="G8065" s="1">
        <v>38353</v>
      </c>
      <c r="H8065" s="1">
        <v>38741</v>
      </c>
      <c r="I8065" t="s">
        <v>12</v>
      </c>
      <c r="J8065" t="s">
        <v>18835</v>
      </c>
    </row>
    <row r="8066" spans="1:10" x14ac:dyDescent="0.25">
      <c r="A8066">
        <v>3308922</v>
      </c>
      <c r="B8066" t="s">
        <v>8534</v>
      </c>
      <c r="C8066" t="str">
        <f>"9781591407232"</f>
        <v>9781591407232</v>
      </c>
      <c r="D8066" t="str">
        <f>"9781591407256"</f>
        <v>9781591407256</v>
      </c>
      <c r="E8066" t="s">
        <v>624</v>
      </c>
      <c r="F8066" t="s">
        <v>624</v>
      </c>
      <c r="G8066" s="1">
        <v>38353</v>
      </c>
      <c r="H8066" s="1">
        <v>38741</v>
      </c>
      <c r="I8066" t="s">
        <v>12</v>
      </c>
      <c r="J8066" t="s">
        <v>18836</v>
      </c>
    </row>
    <row r="8067" spans="1:10" x14ac:dyDescent="0.25">
      <c r="A8067">
        <v>3308923</v>
      </c>
      <c r="B8067" t="s">
        <v>8535</v>
      </c>
      <c r="C8067" t="str">
        <f>"9781591409656"</f>
        <v>9781591409656</v>
      </c>
      <c r="D8067" t="str">
        <f>"9781591409670"</f>
        <v>9781591409670</v>
      </c>
      <c r="E8067" t="s">
        <v>624</v>
      </c>
      <c r="F8067" t="s">
        <v>624</v>
      </c>
      <c r="G8067" s="1">
        <v>39023</v>
      </c>
      <c r="H8067" s="1">
        <v>38741</v>
      </c>
      <c r="I8067" t="s">
        <v>12</v>
      </c>
      <c r="J8067" t="s">
        <v>18837</v>
      </c>
    </row>
    <row r="8068" spans="1:10" x14ac:dyDescent="0.25">
      <c r="A8068">
        <v>3308965</v>
      </c>
      <c r="B8068" t="s">
        <v>8536</v>
      </c>
      <c r="C8068" t="str">
        <f>"9781591405627"</f>
        <v>9781591405627</v>
      </c>
      <c r="D8068" t="str">
        <f>"9781591407980"</f>
        <v>9781591407980</v>
      </c>
      <c r="E8068" t="s">
        <v>624</v>
      </c>
      <c r="F8068" t="s">
        <v>624</v>
      </c>
      <c r="G8068" s="1">
        <v>38717</v>
      </c>
      <c r="H8068" s="1">
        <v>38929</v>
      </c>
      <c r="I8068" t="s">
        <v>12</v>
      </c>
      <c r="J8068" t="s">
        <v>18838</v>
      </c>
    </row>
    <row r="8069" spans="1:10" x14ac:dyDescent="0.25">
      <c r="A8069">
        <v>3308966</v>
      </c>
      <c r="B8069" t="s">
        <v>8537</v>
      </c>
      <c r="C8069" t="str">
        <f>"9781591404941"</f>
        <v>9781591404941</v>
      </c>
      <c r="D8069" t="str">
        <f>"9781591404965"</f>
        <v>9781591404965</v>
      </c>
      <c r="E8069" t="s">
        <v>624</v>
      </c>
      <c r="F8069" t="s">
        <v>624</v>
      </c>
      <c r="G8069" s="1">
        <v>38717</v>
      </c>
      <c r="H8069" s="1">
        <v>38929</v>
      </c>
      <c r="I8069" t="s">
        <v>12</v>
      </c>
      <c r="J8069" t="s">
        <v>18839</v>
      </c>
    </row>
    <row r="8070" spans="1:10" x14ac:dyDescent="0.25">
      <c r="A8070">
        <v>3308968</v>
      </c>
      <c r="B8070" t="s">
        <v>8538</v>
      </c>
      <c r="C8070" t="str">
        <f>"9781591405603"</f>
        <v>9781591405603</v>
      </c>
      <c r="D8070" t="str">
        <f>"9781591407959"</f>
        <v>9781591407959</v>
      </c>
      <c r="E8070" t="s">
        <v>624</v>
      </c>
      <c r="F8070" t="s">
        <v>624</v>
      </c>
      <c r="G8070" s="1">
        <v>38702</v>
      </c>
      <c r="H8070" s="1">
        <v>38929</v>
      </c>
      <c r="I8070" t="s">
        <v>12</v>
      </c>
      <c r="J8070" t="s">
        <v>18840</v>
      </c>
    </row>
    <row r="8071" spans="1:10" x14ac:dyDescent="0.25">
      <c r="A8071">
        <v>3308970</v>
      </c>
      <c r="B8071" t="s">
        <v>8539</v>
      </c>
      <c r="C8071" t="str">
        <f>"9781591405757"</f>
        <v>9781591405757</v>
      </c>
      <c r="D8071" t="str">
        <f>"9781591407911"</f>
        <v>9781591407911</v>
      </c>
      <c r="E8071" t="s">
        <v>624</v>
      </c>
      <c r="F8071" t="s">
        <v>624</v>
      </c>
      <c r="G8071" s="1">
        <v>38688</v>
      </c>
      <c r="H8071" s="1">
        <v>38929</v>
      </c>
      <c r="I8071" t="s">
        <v>12</v>
      </c>
      <c r="J8071" t="s">
        <v>18841</v>
      </c>
    </row>
    <row r="8072" spans="1:10" x14ac:dyDescent="0.25">
      <c r="A8072">
        <v>3308971</v>
      </c>
      <c r="B8072" t="s">
        <v>8540</v>
      </c>
      <c r="C8072" t="str">
        <f>"9781591405733"</f>
        <v>9781591405733</v>
      </c>
      <c r="D8072" t="str">
        <f>"9781591405740"</f>
        <v>9781591405740</v>
      </c>
      <c r="E8072" t="s">
        <v>624</v>
      </c>
      <c r="F8072" t="s">
        <v>624</v>
      </c>
      <c r="G8072" s="1">
        <v>38686</v>
      </c>
      <c r="H8072" s="1">
        <v>38929</v>
      </c>
      <c r="I8072" t="s">
        <v>12</v>
      </c>
      <c r="J8072" t="s">
        <v>18842</v>
      </c>
    </row>
    <row r="8073" spans="1:10" x14ac:dyDescent="0.25">
      <c r="A8073">
        <v>3308972</v>
      </c>
      <c r="B8073" t="s">
        <v>8541</v>
      </c>
      <c r="C8073" t="str">
        <f>"9781591405535"</f>
        <v>9781591405535</v>
      </c>
      <c r="D8073" t="str">
        <f>"9781591407942"</f>
        <v>9781591407942</v>
      </c>
      <c r="E8073" t="s">
        <v>624</v>
      </c>
      <c r="F8073" t="s">
        <v>624</v>
      </c>
      <c r="G8073" s="1">
        <v>38692</v>
      </c>
      <c r="H8073" s="1">
        <v>38929</v>
      </c>
      <c r="I8073" t="s">
        <v>12</v>
      </c>
      <c r="J8073" t="s">
        <v>18843</v>
      </c>
    </row>
    <row r="8074" spans="1:10" x14ac:dyDescent="0.25">
      <c r="A8074">
        <v>3308973</v>
      </c>
      <c r="B8074" t="s">
        <v>8542</v>
      </c>
      <c r="C8074" t="str">
        <f>"9781591405610"</f>
        <v>9781591405610</v>
      </c>
      <c r="D8074" t="str">
        <f>"9781591407966"</f>
        <v>9781591407966</v>
      </c>
      <c r="E8074" t="s">
        <v>624</v>
      </c>
      <c r="F8074" t="s">
        <v>624</v>
      </c>
      <c r="G8074" s="1">
        <v>38688</v>
      </c>
      <c r="H8074" s="1">
        <v>38929</v>
      </c>
      <c r="I8074" t="s">
        <v>12</v>
      </c>
      <c r="J8074" t="s">
        <v>18844</v>
      </c>
    </row>
    <row r="8075" spans="1:10" x14ac:dyDescent="0.25">
      <c r="A8075">
        <v>3308974</v>
      </c>
      <c r="B8075" t="s">
        <v>8543</v>
      </c>
      <c r="C8075" t="str">
        <f>"9781591405573"</f>
        <v>9781591405573</v>
      </c>
      <c r="D8075" t="str">
        <f>"9781591405597"</f>
        <v>9781591405597</v>
      </c>
      <c r="E8075" t="s">
        <v>624</v>
      </c>
      <c r="F8075" t="s">
        <v>624</v>
      </c>
      <c r="G8075" s="1">
        <v>38534</v>
      </c>
      <c r="H8075" s="1">
        <v>38929</v>
      </c>
      <c r="I8075" t="s">
        <v>12</v>
      </c>
      <c r="J8075" t="s">
        <v>18845</v>
      </c>
    </row>
    <row r="8076" spans="1:10" x14ac:dyDescent="0.25">
      <c r="A8076">
        <v>3308977</v>
      </c>
      <c r="B8076" t="s">
        <v>8544</v>
      </c>
      <c r="C8076" t="str">
        <f>"9781591405566"</f>
        <v>9781591405566</v>
      </c>
      <c r="D8076" t="str">
        <f>"9781591405580"</f>
        <v>9781591405580</v>
      </c>
      <c r="E8076" t="s">
        <v>624</v>
      </c>
      <c r="F8076" t="s">
        <v>624</v>
      </c>
      <c r="G8076" s="1">
        <v>38472</v>
      </c>
      <c r="H8076" s="1">
        <v>38929</v>
      </c>
      <c r="I8076" t="s">
        <v>12</v>
      </c>
      <c r="J8076" t="s">
        <v>18846</v>
      </c>
    </row>
    <row r="8077" spans="1:10" x14ac:dyDescent="0.25">
      <c r="A8077">
        <v>3308979</v>
      </c>
      <c r="B8077" t="s">
        <v>8545</v>
      </c>
      <c r="C8077" t="str">
        <f>"9781591408666"</f>
        <v>9781591408666</v>
      </c>
      <c r="D8077" t="str">
        <f>"9781591408680"</f>
        <v>9781591408680</v>
      </c>
      <c r="E8077" t="s">
        <v>624</v>
      </c>
      <c r="F8077" t="s">
        <v>624</v>
      </c>
      <c r="G8077" s="1">
        <v>38919</v>
      </c>
      <c r="H8077" s="1">
        <v>38943</v>
      </c>
      <c r="I8077" t="s">
        <v>12</v>
      </c>
      <c r="J8077" t="s">
        <v>18847</v>
      </c>
    </row>
    <row r="8078" spans="1:10" x14ac:dyDescent="0.25">
      <c r="A8078">
        <v>3308982</v>
      </c>
      <c r="B8078" t="s">
        <v>8546</v>
      </c>
      <c r="C8078" t="str">
        <f>"9781591408901"</f>
        <v>9781591408901</v>
      </c>
      <c r="D8078" t="str">
        <f>"9781591408918"</f>
        <v>9781591408918</v>
      </c>
      <c r="E8078" t="s">
        <v>624</v>
      </c>
      <c r="F8078" t="s">
        <v>624</v>
      </c>
      <c r="G8078" s="1">
        <v>38947</v>
      </c>
      <c r="H8078" s="1">
        <v>38943</v>
      </c>
      <c r="I8078" t="s">
        <v>12</v>
      </c>
      <c r="J8078" t="s">
        <v>18848</v>
      </c>
    </row>
    <row r="8079" spans="1:10" x14ac:dyDescent="0.25">
      <c r="A8079">
        <v>3308983</v>
      </c>
      <c r="B8079" t="s">
        <v>8547</v>
      </c>
      <c r="C8079" t="str">
        <f>"9781599044149"</f>
        <v>9781599044149</v>
      </c>
      <c r="D8079" t="str">
        <f>"9781599044163"</f>
        <v>9781599044163</v>
      </c>
      <c r="E8079" t="s">
        <v>624</v>
      </c>
      <c r="F8079" t="s">
        <v>624</v>
      </c>
      <c r="G8079" s="1">
        <v>39031</v>
      </c>
      <c r="H8079" s="1">
        <v>38959</v>
      </c>
      <c r="I8079" t="s">
        <v>12</v>
      </c>
      <c r="J8079" t="s">
        <v>18849</v>
      </c>
    </row>
    <row r="8080" spans="1:10" x14ac:dyDescent="0.25">
      <c r="A8080">
        <v>3308984</v>
      </c>
      <c r="B8080" t="s">
        <v>8548</v>
      </c>
      <c r="C8080" t="str">
        <f>""</f>
        <v/>
      </c>
      <c r="D8080" t="str">
        <f>"9781599040202"</f>
        <v>9781599040202</v>
      </c>
      <c r="E8080" t="s">
        <v>624</v>
      </c>
      <c r="F8080" t="s">
        <v>624</v>
      </c>
      <c r="G8080" s="1">
        <v>39066</v>
      </c>
      <c r="H8080" s="1">
        <v>38959</v>
      </c>
      <c r="I8080" t="s">
        <v>12</v>
      </c>
      <c r="J8080" t="s">
        <v>18850</v>
      </c>
    </row>
    <row r="8081" spans="1:10" x14ac:dyDescent="0.25">
      <c r="A8081">
        <v>3308985</v>
      </c>
      <c r="B8081" t="s">
        <v>8549</v>
      </c>
      <c r="C8081" t="str">
        <f>"9781591406709"</f>
        <v>9781591406709</v>
      </c>
      <c r="D8081" t="str">
        <f>"9781591406723"</f>
        <v>9781591406723</v>
      </c>
      <c r="E8081" t="s">
        <v>624</v>
      </c>
      <c r="F8081" t="s">
        <v>624</v>
      </c>
      <c r="G8081" s="1">
        <v>39023</v>
      </c>
      <c r="H8081" s="1">
        <v>38959</v>
      </c>
      <c r="I8081" t="s">
        <v>12</v>
      </c>
      <c r="J8081" t="s">
        <v>18851</v>
      </c>
    </row>
    <row r="8082" spans="1:10" x14ac:dyDescent="0.25">
      <c r="A8082">
        <v>3308986</v>
      </c>
      <c r="B8082" t="s">
        <v>8550</v>
      </c>
      <c r="C8082" t="str">
        <f>"9781591406556"</f>
        <v>9781591406556</v>
      </c>
      <c r="D8082" t="str">
        <f>"9781591406570"</f>
        <v>9781591406570</v>
      </c>
      <c r="E8082" t="s">
        <v>624</v>
      </c>
      <c r="F8082" t="s">
        <v>624</v>
      </c>
      <c r="G8082" s="1">
        <v>39031</v>
      </c>
      <c r="H8082" s="1">
        <v>38959</v>
      </c>
      <c r="I8082" t="s">
        <v>12</v>
      </c>
      <c r="J8082" t="s">
        <v>18852</v>
      </c>
    </row>
    <row r="8083" spans="1:10" x14ac:dyDescent="0.25">
      <c r="A8083">
        <v>3309003</v>
      </c>
      <c r="B8083" t="s">
        <v>8551</v>
      </c>
      <c r="C8083" t="str">
        <f>"9781599043494"</f>
        <v>9781599043494</v>
      </c>
      <c r="D8083" t="str">
        <f>"9781599043517"</f>
        <v>9781599043517</v>
      </c>
      <c r="E8083" t="s">
        <v>624</v>
      </c>
      <c r="F8083" t="s">
        <v>624</v>
      </c>
      <c r="G8083" s="1">
        <v>39056</v>
      </c>
      <c r="H8083" s="1">
        <v>39022</v>
      </c>
      <c r="I8083" t="s">
        <v>12</v>
      </c>
      <c r="J8083" t="s">
        <v>18853</v>
      </c>
    </row>
    <row r="8084" spans="1:10" x14ac:dyDescent="0.25">
      <c r="A8084">
        <v>3309007</v>
      </c>
      <c r="B8084" t="s">
        <v>8552</v>
      </c>
      <c r="C8084" t="str">
        <f>"9781599041261"</f>
        <v>9781599041261</v>
      </c>
      <c r="D8084" t="str">
        <f>"9781599041285"</f>
        <v>9781599041285</v>
      </c>
      <c r="E8084" t="s">
        <v>624</v>
      </c>
      <c r="F8084" t="s">
        <v>624</v>
      </c>
      <c r="G8084" s="1">
        <v>38990</v>
      </c>
      <c r="H8084" s="1">
        <v>39048</v>
      </c>
      <c r="I8084" t="s">
        <v>12</v>
      </c>
      <c r="J8084" t="s">
        <v>18854</v>
      </c>
    </row>
    <row r="8085" spans="1:10" x14ac:dyDescent="0.25">
      <c r="A8085">
        <v>3309008</v>
      </c>
      <c r="B8085" t="s">
        <v>8553</v>
      </c>
      <c r="C8085" t="str">
        <f>"9781599042282"</f>
        <v>9781599042282</v>
      </c>
      <c r="D8085" t="str">
        <f>"9781599042305"</f>
        <v>9781599042305</v>
      </c>
      <c r="E8085" t="s">
        <v>624</v>
      </c>
      <c r="F8085" t="s">
        <v>624</v>
      </c>
      <c r="G8085" s="1">
        <v>39129</v>
      </c>
      <c r="H8085" s="1">
        <v>39048</v>
      </c>
      <c r="I8085" t="s">
        <v>12</v>
      </c>
      <c r="J8085" t="s">
        <v>18855</v>
      </c>
    </row>
    <row r="8086" spans="1:10" x14ac:dyDescent="0.25">
      <c r="A8086">
        <v>3309009</v>
      </c>
      <c r="B8086" t="s">
        <v>8554</v>
      </c>
      <c r="C8086" t="str">
        <f>"9781599041742"</f>
        <v>9781599041742</v>
      </c>
      <c r="D8086" t="str">
        <f>"9781599041766"</f>
        <v>9781599041766</v>
      </c>
      <c r="E8086" t="s">
        <v>624</v>
      </c>
      <c r="F8086" t="s">
        <v>624</v>
      </c>
      <c r="G8086" s="1">
        <v>38990</v>
      </c>
      <c r="H8086" s="1">
        <v>39048</v>
      </c>
      <c r="I8086" t="s">
        <v>12</v>
      </c>
      <c r="J8086" t="s">
        <v>18856</v>
      </c>
    </row>
    <row r="8087" spans="1:10" x14ac:dyDescent="0.25">
      <c r="A8087">
        <v>3309010</v>
      </c>
      <c r="B8087" t="s">
        <v>8555</v>
      </c>
      <c r="C8087" t="str">
        <f>"9781599041803"</f>
        <v>9781599041803</v>
      </c>
      <c r="D8087" t="str">
        <f>"9781599041827"</f>
        <v>9781599041827</v>
      </c>
      <c r="E8087" t="s">
        <v>624</v>
      </c>
      <c r="F8087" t="s">
        <v>624</v>
      </c>
      <c r="G8087" s="1">
        <v>39021</v>
      </c>
      <c r="H8087" s="1">
        <v>39048</v>
      </c>
      <c r="I8087" t="s">
        <v>12</v>
      </c>
      <c r="J8087" t="s">
        <v>18857</v>
      </c>
    </row>
    <row r="8088" spans="1:10" x14ac:dyDescent="0.25">
      <c r="A8088">
        <v>3309011</v>
      </c>
      <c r="B8088" t="s">
        <v>8556</v>
      </c>
      <c r="C8088" t="str">
        <f>"9781599043586"</f>
        <v>9781599043586</v>
      </c>
      <c r="D8088" t="str">
        <f>"9781599043609"</f>
        <v>9781599043609</v>
      </c>
      <c r="E8088" t="s">
        <v>624</v>
      </c>
      <c r="F8088" t="s">
        <v>624</v>
      </c>
      <c r="G8088" s="1">
        <v>39021</v>
      </c>
      <c r="H8088" s="1">
        <v>39048</v>
      </c>
      <c r="I8088" t="s">
        <v>12</v>
      </c>
      <c r="J8088" t="s">
        <v>18858</v>
      </c>
    </row>
    <row r="8089" spans="1:10" x14ac:dyDescent="0.25">
      <c r="A8089">
        <v>3309012</v>
      </c>
      <c r="B8089" t="s">
        <v>8557</v>
      </c>
      <c r="C8089" t="str">
        <f>"9781591406785"</f>
        <v>9781591406785</v>
      </c>
      <c r="D8089" t="str">
        <f>"9781591406808"</f>
        <v>9781591406808</v>
      </c>
      <c r="E8089" t="s">
        <v>624</v>
      </c>
      <c r="F8089" t="s">
        <v>624</v>
      </c>
      <c r="G8089" s="1">
        <v>38960</v>
      </c>
      <c r="H8089" s="1">
        <v>39048</v>
      </c>
      <c r="I8089" t="s">
        <v>12</v>
      </c>
      <c r="J8089" t="s">
        <v>18859</v>
      </c>
    </row>
    <row r="8090" spans="1:10" x14ac:dyDescent="0.25">
      <c r="A8090">
        <v>3309013</v>
      </c>
      <c r="B8090" t="s">
        <v>8558</v>
      </c>
      <c r="C8090" t="str">
        <f>"9781599040608"</f>
        <v>9781599040608</v>
      </c>
      <c r="D8090" t="str">
        <f>"9781599040622"</f>
        <v>9781599040622</v>
      </c>
      <c r="E8090" t="s">
        <v>624</v>
      </c>
      <c r="F8090" t="s">
        <v>624</v>
      </c>
      <c r="G8090" s="1">
        <v>39126</v>
      </c>
      <c r="H8090" s="1">
        <v>39048</v>
      </c>
      <c r="I8090" t="s">
        <v>12</v>
      </c>
      <c r="J8090" t="s">
        <v>18860</v>
      </c>
    </row>
    <row r="8091" spans="1:10" x14ac:dyDescent="0.25">
      <c r="A8091">
        <v>3309014</v>
      </c>
      <c r="B8091" t="s">
        <v>8559</v>
      </c>
      <c r="C8091" t="str">
        <f>"9781599041957"</f>
        <v>9781599041957</v>
      </c>
      <c r="D8091" t="str">
        <f>"9781599041971"</f>
        <v>9781599041971</v>
      </c>
      <c r="E8091" t="s">
        <v>624</v>
      </c>
      <c r="F8091" t="s">
        <v>624</v>
      </c>
      <c r="G8091" s="1">
        <v>39126</v>
      </c>
      <c r="H8091" s="1">
        <v>39048</v>
      </c>
      <c r="I8091" t="s">
        <v>12</v>
      </c>
      <c r="J8091" t="s">
        <v>18861</v>
      </c>
    </row>
    <row r="8092" spans="1:10" x14ac:dyDescent="0.25">
      <c r="A8092">
        <v>3309015</v>
      </c>
      <c r="B8092" t="s">
        <v>8560</v>
      </c>
      <c r="C8092" t="str">
        <f>"9781599042466"</f>
        <v>9781599042466</v>
      </c>
      <c r="D8092" t="str">
        <f>"9781599042480"</f>
        <v>9781599042480</v>
      </c>
      <c r="E8092" t="s">
        <v>624</v>
      </c>
      <c r="F8092" t="s">
        <v>624</v>
      </c>
      <c r="G8092" s="1">
        <v>39122</v>
      </c>
      <c r="H8092" s="1">
        <v>39048</v>
      </c>
      <c r="I8092" t="s">
        <v>12</v>
      </c>
      <c r="J8092" t="s">
        <v>18862</v>
      </c>
    </row>
    <row r="8093" spans="1:10" x14ac:dyDescent="0.25">
      <c r="A8093">
        <v>3309016</v>
      </c>
      <c r="B8093" t="s">
        <v>8561</v>
      </c>
      <c r="C8093" t="str">
        <f>"9781599042589"</f>
        <v>9781599042589</v>
      </c>
      <c r="D8093" t="str">
        <f>"9781599042602"</f>
        <v>9781599042602</v>
      </c>
      <c r="E8093" t="s">
        <v>624</v>
      </c>
      <c r="F8093" t="s">
        <v>624</v>
      </c>
      <c r="G8093" s="1">
        <v>39021</v>
      </c>
      <c r="H8093" s="1">
        <v>39048</v>
      </c>
      <c r="I8093" t="s">
        <v>12</v>
      </c>
      <c r="J8093" t="s">
        <v>18863</v>
      </c>
    </row>
    <row r="8094" spans="1:10" x14ac:dyDescent="0.25">
      <c r="A8094">
        <v>3309017</v>
      </c>
      <c r="B8094" t="s">
        <v>8562</v>
      </c>
      <c r="C8094" t="str">
        <f>"9781599042497"</f>
        <v>9781599042497</v>
      </c>
      <c r="D8094" t="str">
        <f>"9781599042510"</f>
        <v>9781599042510</v>
      </c>
      <c r="E8094" t="s">
        <v>624</v>
      </c>
      <c r="F8094" t="s">
        <v>624</v>
      </c>
      <c r="G8094" s="1">
        <v>39021</v>
      </c>
      <c r="H8094" s="1">
        <v>39048</v>
      </c>
      <c r="I8094" t="s">
        <v>12</v>
      </c>
      <c r="J8094" t="s">
        <v>18864</v>
      </c>
    </row>
    <row r="8095" spans="1:10" x14ac:dyDescent="0.25">
      <c r="A8095">
        <v>3309018</v>
      </c>
      <c r="B8095" t="s">
        <v>8563</v>
      </c>
      <c r="C8095" t="str">
        <f>"9781599040240"</f>
        <v>9781599040240</v>
      </c>
      <c r="D8095" t="str">
        <f>"9781599040264"</f>
        <v>9781599040264</v>
      </c>
      <c r="E8095" t="s">
        <v>624</v>
      </c>
      <c r="F8095" t="s">
        <v>624</v>
      </c>
      <c r="G8095" s="1">
        <v>38990</v>
      </c>
      <c r="H8095" s="1">
        <v>39048</v>
      </c>
      <c r="I8095" t="s">
        <v>12</v>
      </c>
      <c r="J8095" t="s">
        <v>18865</v>
      </c>
    </row>
    <row r="8096" spans="1:10" x14ac:dyDescent="0.25">
      <c r="A8096">
        <v>3309019</v>
      </c>
      <c r="B8096" t="s">
        <v>8564</v>
      </c>
      <c r="C8096" t="str">
        <f>"9781599040752"</f>
        <v>9781599040752</v>
      </c>
      <c r="D8096" t="str">
        <f>"9781599040776"</f>
        <v>9781599040776</v>
      </c>
      <c r="E8096" t="s">
        <v>624</v>
      </c>
      <c r="F8096" t="s">
        <v>624</v>
      </c>
      <c r="G8096" s="1">
        <v>39021</v>
      </c>
      <c r="H8096" s="1">
        <v>39048</v>
      </c>
      <c r="I8096" t="s">
        <v>12</v>
      </c>
      <c r="J8096" t="s">
        <v>18866</v>
      </c>
    </row>
    <row r="8097" spans="1:10" x14ac:dyDescent="0.25">
      <c r="A8097">
        <v>3309020</v>
      </c>
      <c r="B8097" t="s">
        <v>8565</v>
      </c>
      <c r="C8097" t="str">
        <f>"9781599040547"</f>
        <v>9781599040547</v>
      </c>
      <c r="D8097" t="str">
        <f>"9781599040561"</f>
        <v>9781599040561</v>
      </c>
      <c r="E8097" t="s">
        <v>624</v>
      </c>
      <c r="F8097" t="s">
        <v>624</v>
      </c>
      <c r="G8097" s="1">
        <v>39021</v>
      </c>
      <c r="H8097" s="1">
        <v>39048</v>
      </c>
      <c r="I8097" t="s">
        <v>12</v>
      </c>
      <c r="J8097" t="s">
        <v>18867</v>
      </c>
    </row>
    <row r="8098" spans="1:10" x14ac:dyDescent="0.25">
      <c r="A8098">
        <v>3309021</v>
      </c>
      <c r="B8098" t="s">
        <v>8566</v>
      </c>
      <c r="C8098" t="str">
        <f>"9781591409502"</f>
        <v>9781591409502</v>
      </c>
      <c r="D8098" t="str">
        <f>"9781591409526"</f>
        <v>9781591409526</v>
      </c>
      <c r="E8098" t="s">
        <v>624</v>
      </c>
      <c r="F8098" t="s">
        <v>624</v>
      </c>
      <c r="G8098" s="1">
        <v>39129</v>
      </c>
      <c r="H8098" s="1">
        <v>39048</v>
      </c>
      <c r="I8098" t="s">
        <v>12</v>
      </c>
      <c r="J8098" t="s">
        <v>18868</v>
      </c>
    </row>
    <row r="8099" spans="1:10" x14ac:dyDescent="0.25">
      <c r="A8099">
        <v>3309022</v>
      </c>
      <c r="B8099" t="s">
        <v>8567</v>
      </c>
      <c r="C8099" t="str">
        <f>"9781599044200"</f>
        <v>9781599044200</v>
      </c>
      <c r="D8099" t="str">
        <f>"9781599044224"</f>
        <v>9781599044224</v>
      </c>
      <c r="E8099" t="s">
        <v>624</v>
      </c>
      <c r="F8099" t="s">
        <v>624</v>
      </c>
      <c r="G8099" s="1">
        <v>38990</v>
      </c>
      <c r="H8099" s="1">
        <v>39048</v>
      </c>
      <c r="I8099" t="s">
        <v>12</v>
      </c>
      <c r="J8099" t="s">
        <v>18869</v>
      </c>
    </row>
    <row r="8100" spans="1:10" x14ac:dyDescent="0.25">
      <c r="A8100">
        <v>3309023</v>
      </c>
      <c r="B8100" t="s">
        <v>8568</v>
      </c>
      <c r="C8100" t="str">
        <f>"9781599044231"</f>
        <v>9781599044231</v>
      </c>
      <c r="D8100" t="str">
        <f>"9781599044255"</f>
        <v>9781599044255</v>
      </c>
      <c r="E8100" t="s">
        <v>624</v>
      </c>
      <c r="F8100" t="s">
        <v>624</v>
      </c>
      <c r="G8100" s="1">
        <v>39121</v>
      </c>
      <c r="H8100" s="1">
        <v>39048</v>
      </c>
      <c r="I8100" t="s">
        <v>12</v>
      </c>
      <c r="J8100" t="s">
        <v>18870</v>
      </c>
    </row>
    <row r="8101" spans="1:10" x14ac:dyDescent="0.25">
      <c r="A8101">
        <v>3309024</v>
      </c>
      <c r="B8101" t="s">
        <v>8569</v>
      </c>
      <c r="C8101" t="str">
        <f>"9781599043371"</f>
        <v>9781599043371</v>
      </c>
      <c r="D8101" t="str">
        <f>"9781599043395"</f>
        <v>9781599043395</v>
      </c>
      <c r="E8101" t="s">
        <v>624</v>
      </c>
      <c r="F8101" t="s">
        <v>624</v>
      </c>
      <c r="G8101" s="1">
        <v>38990</v>
      </c>
      <c r="H8101" s="1">
        <v>39048</v>
      </c>
      <c r="I8101" t="s">
        <v>12</v>
      </c>
      <c r="J8101" t="s">
        <v>18871</v>
      </c>
    </row>
    <row r="8102" spans="1:10" x14ac:dyDescent="0.25">
      <c r="A8102">
        <v>3309025</v>
      </c>
      <c r="B8102" t="s">
        <v>8570</v>
      </c>
      <c r="C8102" t="str">
        <f>"9781599041209"</f>
        <v>9781599041209</v>
      </c>
      <c r="D8102" t="str">
        <f>"9781599041223"</f>
        <v>9781599041223</v>
      </c>
      <c r="E8102" t="s">
        <v>624</v>
      </c>
      <c r="F8102" t="s">
        <v>624</v>
      </c>
      <c r="G8102" s="1">
        <v>38990</v>
      </c>
      <c r="H8102" s="1">
        <v>39048</v>
      </c>
      <c r="I8102" t="s">
        <v>12</v>
      </c>
      <c r="J8102" t="s">
        <v>18872</v>
      </c>
    </row>
    <row r="8103" spans="1:10" x14ac:dyDescent="0.25">
      <c r="A8103">
        <v>3309026</v>
      </c>
      <c r="B8103" t="s">
        <v>8571</v>
      </c>
      <c r="C8103" t="str">
        <f>"9781599043043"</f>
        <v>9781599043043</v>
      </c>
      <c r="D8103" t="str">
        <f>"9781599043067"</f>
        <v>9781599043067</v>
      </c>
      <c r="E8103" t="s">
        <v>624</v>
      </c>
      <c r="F8103" t="s">
        <v>624</v>
      </c>
      <c r="G8103" s="1">
        <v>39129</v>
      </c>
      <c r="H8103" s="1">
        <v>39048</v>
      </c>
      <c r="I8103" t="s">
        <v>12</v>
      </c>
      <c r="J8103" t="s">
        <v>18873</v>
      </c>
    </row>
    <row r="8104" spans="1:10" x14ac:dyDescent="0.25">
      <c r="A8104">
        <v>3309027</v>
      </c>
      <c r="B8104" t="s">
        <v>8572</v>
      </c>
      <c r="C8104" t="str">
        <f>"9781599043166"</f>
        <v>9781599043166</v>
      </c>
      <c r="D8104" t="str">
        <f>"9781599043180"</f>
        <v>9781599043180</v>
      </c>
      <c r="E8104" t="s">
        <v>624</v>
      </c>
      <c r="F8104" t="s">
        <v>624</v>
      </c>
      <c r="G8104" s="1">
        <v>39021</v>
      </c>
      <c r="H8104" s="1">
        <v>39048</v>
      </c>
      <c r="I8104" t="s">
        <v>12</v>
      </c>
      <c r="J8104" t="s">
        <v>18874</v>
      </c>
    </row>
    <row r="8105" spans="1:10" x14ac:dyDescent="0.25">
      <c r="A8105">
        <v>3309028</v>
      </c>
      <c r="B8105" t="s">
        <v>8573</v>
      </c>
      <c r="C8105" t="str">
        <f>"9781599040967"</f>
        <v>9781599040967</v>
      </c>
      <c r="D8105" t="str">
        <f>"9781599040981"</f>
        <v>9781599040981</v>
      </c>
      <c r="E8105" t="s">
        <v>624</v>
      </c>
      <c r="F8105" t="s">
        <v>624</v>
      </c>
      <c r="G8105" s="1">
        <v>39021</v>
      </c>
      <c r="H8105" s="1">
        <v>39048</v>
      </c>
      <c r="I8105" t="s">
        <v>12</v>
      </c>
      <c r="J8105" t="s">
        <v>18875</v>
      </c>
    </row>
    <row r="8106" spans="1:10" x14ac:dyDescent="0.25">
      <c r="A8106">
        <v>3309029</v>
      </c>
      <c r="B8106" t="s">
        <v>8574</v>
      </c>
      <c r="C8106" t="str">
        <f>"9781599041681"</f>
        <v>9781599041681</v>
      </c>
      <c r="D8106" t="str">
        <f>"9781599041704"</f>
        <v>9781599041704</v>
      </c>
      <c r="E8106" t="s">
        <v>624</v>
      </c>
      <c r="F8106" t="s">
        <v>624</v>
      </c>
      <c r="G8106" s="1">
        <v>39021</v>
      </c>
      <c r="H8106" s="1">
        <v>39048</v>
      </c>
      <c r="I8106" t="s">
        <v>12</v>
      </c>
      <c r="J8106" t="s">
        <v>18876</v>
      </c>
    </row>
    <row r="8107" spans="1:10" x14ac:dyDescent="0.25">
      <c r="A8107">
        <v>3309030</v>
      </c>
      <c r="B8107" t="s">
        <v>8575</v>
      </c>
      <c r="C8107" t="str">
        <f>"9781599040271"</f>
        <v>9781599040271</v>
      </c>
      <c r="D8107" t="str">
        <f>"9781599040295"</f>
        <v>9781599040295</v>
      </c>
      <c r="E8107" t="s">
        <v>624</v>
      </c>
      <c r="F8107" t="s">
        <v>624</v>
      </c>
      <c r="G8107" s="1">
        <v>39121</v>
      </c>
      <c r="H8107" s="1">
        <v>39048</v>
      </c>
      <c r="I8107" t="s">
        <v>12</v>
      </c>
      <c r="J8107" t="s">
        <v>18877</v>
      </c>
    </row>
    <row r="8108" spans="1:10" x14ac:dyDescent="0.25">
      <c r="A8108">
        <v>3309031</v>
      </c>
      <c r="B8108" t="s">
        <v>8576</v>
      </c>
      <c r="C8108" t="str">
        <f>"9781599041179"</f>
        <v>9781599041179</v>
      </c>
      <c r="D8108" t="str">
        <f>"9781599041193"</f>
        <v>9781599041193</v>
      </c>
      <c r="E8108" t="s">
        <v>624</v>
      </c>
      <c r="F8108" t="s">
        <v>624</v>
      </c>
      <c r="G8108" s="1">
        <v>39082</v>
      </c>
      <c r="H8108" s="1">
        <v>39121</v>
      </c>
      <c r="I8108" t="s">
        <v>12</v>
      </c>
      <c r="J8108" t="s">
        <v>18878</v>
      </c>
    </row>
    <row r="8109" spans="1:10" x14ac:dyDescent="0.25">
      <c r="A8109">
        <v>3309032</v>
      </c>
      <c r="B8109" t="s">
        <v>8577</v>
      </c>
      <c r="C8109" t="str">
        <f>"9781599043104"</f>
        <v>9781599043104</v>
      </c>
      <c r="D8109" t="str">
        <f>"9781599043128"</f>
        <v>9781599043128</v>
      </c>
      <c r="E8109" t="s">
        <v>624</v>
      </c>
      <c r="F8109" t="s">
        <v>624</v>
      </c>
      <c r="G8109" s="1">
        <v>39082</v>
      </c>
      <c r="H8109" s="1">
        <v>39121</v>
      </c>
      <c r="I8109" t="s">
        <v>12</v>
      </c>
      <c r="J8109" t="s">
        <v>18879</v>
      </c>
    </row>
    <row r="8110" spans="1:10" x14ac:dyDescent="0.25">
      <c r="A8110">
        <v>3309033</v>
      </c>
      <c r="B8110" t="s">
        <v>8578</v>
      </c>
      <c r="C8110" t="str">
        <f>"9781599041926"</f>
        <v>9781599041926</v>
      </c>
      <c r="D8110" t="str">
        <f>"9781599041940"</f>
        <v>9781599041940</v>
      </c>
      <c r="E8110" t="s">
        <v>624</v>
      </c>
      <c r="F8110" t="s">
        <v>624</v>
      </c>
      <c r="G8110" s="1">
        <v>39082</v>
      </c>
      <c r="H8110" s="1">
        <v>39121</v>
      </c>
      <c r="I8110" t="s">
        <v>12</v>
      </c>
      <c r="J8110" t="s">
        <v>18880</v>
      </c>
    </row>
    <row r="8111" spans="1:10" x14ac:dyDescent="0.25">
      <c r="A8111">
        <v>3309034</v>
      </c>
      <c r="B8111" t="s">
        <v>8579</v>
      </c>
      <c r="C8111" t="str">
        <f>"9781599041865"</f>
        <v>9781599041865</v>
      </c>
      <c r="D8111" t="str">
        <f>"9781599041889"</f>
        <v>9781599041889</v>
      </c>
      <c r="E8111" t="s">
        <v>624</v>
      </c>
      <c r="F8111" t="s">
        <v>624</v>
      </c>
      <c r="G8111" s="1">
        <v>39082</v>
      </c>
      <c r="H8111" s="1">
        <v>39121</v>
      </c>
      <c r="I8111" t="s">
        <v>12</v>
      </c>
      <c r="J8111" t="s">
        <v>18881</v>
      </c>
    </row>
    <row r="8112" spans="1:10" x14ac:dyDescent="0.25">
      <c r="A8112">
        <v>3309036</v>
      </c>
      <c r="B8112" t="s">
        <v>8580</v>
      </c>
      <c r="C8112" t="str">
        <f>"9781599041834"</f>
        <v>9781599041834</v>
      </c>
      <c r="D8112" t="str">
        <f>"9781599041858"</f>
        <v>9781599041858</v>
      </c>
      <c r="E8112" t="s">
        <v>624</v>
      </c>
      <c r="F8112" t="s">
        <v>624</v>
      </c>
      <c r="G8112" s="1">
        <v>39082</v>
      </c>
      <c r="H8112" s="1">
        <v>39121</v>
      </c>
      <c r="I8112" t="s">
        <v>12</v>
      </c>
      <c r="J8112" t="s">
        <v>18882</v>
      </c>
    </row>
    <row r="8113" spans="1:10" x14ac:dyDescent="0.25">
      <c r="A8113">
        <v>3309038</v>
      </c>
      <c r="B8113" t="s">
        <v>8581</v>
      </c>
      <c r="C8113" t="str">
        <f>"9781599042770"</f>
        <v>9781599042770</v>
      </c>
      <c r="D8113" t="str">
        <f>"9781599042794"</f>
        <v>9781599042794</v>
      </c>
      <c r="E8113" t="s">
        <v>624</v>
      </c>
      <c r="F8113" t="s">
        <v>624</v>
      </c>
      <c r="G8113" s="1">
        <v>39052</v>
      </c>
      <c r="H8113" s="1">
        <v>39121</v>
      </c>
      <c r="I8113" t="s">
        <v>12</v>
      </c>
      <c r="J8113" t="s">
        <v>18883</v>
      </c>
    </row>
    <row r="8114" spans="1:10" x14ac:dyDescent="0.25">
      <c r="A8114">
        <v>3309039</v>
      </c>
      <c r="B8114" t="s">
        <v>8582</v>
      </c>
      <c r="C8114" t="str">
        <f>"9781599042657"</f>
        <v>9781599042657</v>
      </c>
      <c r="D8114" t="str">
        <f>"9781599042671"</f>
        <v>9781599042671</v>
      </c>
      <c r="E8114" t="s">
        <v>624</v>
      </c>
      <c r="F8114" t="s">
        <v>624</v>
      </c>
      <c r="G8114" s="1">
        <v>39082</v>
      </c>
      <c r="H8114" s="1">
        <v>39121</v>
      </c>
      <c r="I8114" t="s">
        <v>12</v>
      </c>
      <c r="J8114" t="s">
        <v>18884</v>
      </c>
    </row>
    <row r="8115" spans="1:10" x14ac:dyDescent="0.25">
      <c r="A8115">
        <v>3309040</v>
      </c>
      <c r="B8115" t="s">
        <v>8583</v>
      </c>
      <c r="C8115" t="str">
        <f>"9781599040639"</f>
        <v>9781599040639</v>
      </c>
      <c r="D8115" t="str">
        <f>"9781599040653"</f>
        <v>9781599040653</v>
      </c>
      <c r="E8115" t="s">
        <v>624</v>
      </c>
      <c r="F8115" t="s">
        <v>624</v>
      </c>
      <c r="G8115" s="1">
        <v>39113</v>
      </c>
      <c r="H8115" s="1">
        <v>39121</v>
      </c>
      <c r="I8115" t="s">
        <v>12</v>
      </c>
      <c r="J8115" t="s">
        <v>18885</v>
      </c>
    </row>
    <row r="8116" spans="1:10" x14ac:dyDescent="0.25">
      <c r="A8116">
        <v>3309041</v>
      </c>
      <c r="B8116" t="s">
        <v>8584</v>
      </c>
      <c r="C8116" t="str">
        <f>"9781591409410"</f>
        <v>9781591409410</v>
      </c>
      <c r="D8116" t="str">
        <f>"9781591409434"</f>
        <v>9781591409434</v>
      </c>
      <c r="E8116" t="s">
        <v>624</v>
      </c>
      <c r="F8116" t="s">
        <v>624</v>
      </c>
      <c r="G8116" s="1">
        <v>39021</v>
      </c>
      <c r="H8116" s="1">
        <v>39121</v>
      </c>
      <c r="I8116" t="s">
        <v>12</v>
      </c>
      <c r="J8116" t="s">
        <v>18886</v>
      </c>
    </row>
    <row r="8117" spans="1:10" x14ac:dyDescent="0.25">
      <c r="A8117">
        <v>3309042</v>
      </c>
      <c r="B8117" t="s">
        <v>8585</v>
      </c>
      <c r="C8117" t="str">
        <f>"9781599042749"</f>
        <v>9781599042749</v>
      </c>
      <c r="D8117" t="str">
        <f>"9781599042763"</f>
        <v>9781599042763</v>
      </c>
      <c r="E8117" t="s">
        <v>624</v>
      </c>
      <c r="F8117" t="s">
        <v>624</v>
      </c>
      <c r="G8117" s="1">
        <v>39082</v>
      </c>
      <c r="H8117" s="1">
        <v>39121</v>
      </c>
      <c r="I8117" t="s">
        <v>12</v>
      </c>
      <c r="J8117" t="s">
        <v>18887</v>
      </c>
    </row>
    <row r="8118" spans="1:10" x14ac:dyDescent="0.25">
      <c r="A8118">
        <v>3309043</v>
      </c>
      <c r="B8118" t="s">
        <v>8586</v>
      </c>
      <c r="C8118" t="str">
        <f>"9781599043432"</f>
        <v>9781599043432</v>
      </c>
      <c r="D8118" t="str">
        <f>"9781599043456"</f>
        <v>9781599043456</v>
      </c>
      <c r="E8118" t="s">
        <v>624</v>
      </c>
      <c r="F8118" t="s">
        <v>624</v>
      </c>
      <c r="G8118" s="1">
        <v>39051</v>
      </c>
      <c r="H8118" s="1">
        <v>39121</v>
      </c>
      <c r="I8118" t="s">
        <v>12</v>
      </c>
      <c r="J8118" t="s">
        <v>18888</v>
      </c>
    </row>
    <row r="8119" spans="1:10" x14ac:dyDescent="0.25">
      <c r="A8119">
        <v>3309044</v>
      </c>
      <c r="B8119" t="s">
        <v>8587</v>
      </c>
      <c r="C8119" t="str">
        <f>"9781599040578"</f>
        <v>9781599040578</v>
      </c>
      <c r="D8119" t="str">
        <f>"9781599040592"</f>
        <v>9781599040592</v>
      </c>
      <c r="E8119" t="s">
        <v>624</v>
      </c>
      <c r="F8119" t="s">
        <v>624</v>
      </c>
      <c r="G8119" s="1">
        <v>39051</v>
      </c>
      <c r="H8119" s="1">
        <v>39121</v>
      </c>
      <c r="I8119" t="s">
        <v>12</v>
      </c>
      <c r="J8119" t="s">
        <v>18889</v>
      </c>
    </row>
    <row r="8120" spans="1:10" x14ac:dyDescent="0.25">
      <c r="A8120">
        <v>3309045</v>
      </c>
      <c r="B8120" t="s">
        <v>8588</v>
      </c>
      <c r="C8120" t="str">
        <f>"9781599042862"</f>
        <v>9781599042862</v>
      </c>
      <c r="D8120" t="str">
        <f>"9781599042886"</f>
        <v>9781599042886</v>
      </c>
      <c r="E8120" t="s">
        <v>624</v>
      </c>
      <c r="F8120" t="s">
        <v>624</v>
      </c>
      <c r="G8120" s="1">
        <v>39066</v>
      </c>
      <c r="H8120" s="1">
        <v>39121</v>
      </c>
      <c r="I8120" t="s">
        <v>12</v>
      </c>
      <c r="J8120" t="s">
        <v>18890</v>
      </c>
    </row>
    <row r="8121" spans="1:10" x14ac:dyDescent="0.25">
      <c r="A8121">
        <v>3309046</v>
      </c>
      <c r="B8121" t="s">
        <v>8589</v>
      </c>
      <c r="C8121" t="str">
        <f>"9781591408789"</f>
        <v>9781591408789</v>
      </c>
      <c r="D8121" t="str">
        <f>"9781591408802"</f>
        <v>9781591408802</v>
      </c>
      <c r="E8121" t="s">
        <v>624</v>
      </c>
      <c r="F8121" t="s">
        <v>624</v>
      </c>
      <c r="G8121" s="1">
        <v>39082</v>
      </c>
      <c r="H8121" s="1">
        <v>39121</v>
      </c>
      <c r="I8121" t="s">
        <v>12</v>
      </c>
      <c r="J8121" t="s">
        <v>18891</v>
      </c>
    </row>
    <row r="8122" spans="1:10" x14ac:dyDescent="0.25">
      <c r="A8122">
        <v>3309047</v>
      </c>
      <c r="B8122" t="s">
        <v>8590</v>
      </c>
      <c r="C8122" t="str">
        <f>"9781599041650"</f>
        <v>9781599041650</v>
      </c>
      <c r="D8122" t="str">
        <f>"9781599041674"</f>
        <v>9781599041674</v>
      </c>
      <c r="E8122" t="s">
        <v>624</v>
      </c>
      <c r="F8122" t="s">
        <v>624</v>
      </c>
      <c r="G8122" s="1">
        <v>39082</v>
      </c>
      <c r="H8122" s="1">
        <v>39121</v>
      </c>
      <c r="I8122" t="s">
        <v>12</v>
      </c>
      <c r="J8122" t="s">
        <v>18892</v>
      </c>
    </row>
    <row r="8123" spans="1:10" x14ac:dyDescent="0.25">
      <c r="A8123">
        <v>3309048</v>
      </c>
      <c r="B8123" t="s">
        <v>8591</v>
      </c>
      <c r="C8123" t="str">
        <f>"9781599043647"</f>
        <v>9781599043647</v>
      </c>
      <c r="D8123" t="str">
        <f>"9781599043661"</f>
        <v>9781599043661</v>
      </c>
      <c r="E8123" t="s">
        <v>624</v>
      </c>
      <c r="F8123" t="s">
        <v>624</v>
      </c>
      <c r="G8123" s="1">
        <v>39021</v>
      </c>
      <c r="H8123" s="1">
        <v>39121</v>
      </c>
      <c r="I8123" t="s">
        <v>12</v>
      </c>
      <c r="J8123" t="s">
        <v>18893</v>
      </c>
    </row>
    <row r="8124" spans="1:10" x14ac:dyDescent="0.25">
      <c r="A8124">
        <v>3309050</v>
      </c>
      <c r="B8124" t="s">
        <v>8592</v>
      </c>
      <c r="C8124" t="str">
        <f>"9781599042718"</f>
        <v>9781599042718</v>
      </c>
      <c r="D8124" t="str">
        <f>"9781599042732"</f>
        <v>9781599042732</v>
      </c>
      <c r="E8124" t="s">
        <v>624</v>
      </c>
      <c r="F8124" t="s">
        <v>624</v>
      </c>
      <c r="G8124" s="1">
        <v>39021</v>
      </c>
      <c r="H8124" s="1">
        <v>39121</v>
      </c>
      <c r="I8124" t="s">
        <v>12</v>
      </c>
      <c r="J8124" t="s">
        <v>18894</v>
      </c>
    </row>
    <row r="8125" spans="1:10" x14ac:dyDescent="0.25">
      <c r="A8125">
        <v>3309052</v>
      </c>
      <c r="B8125" t="s">
        <v>8593</v>
      </c>
      <c r="C8125" t="str">
        <f>"9781599043401"</f>
        <v>9781599043401</v>
      </c>
      <c r="D8125" t="str">
        <f>"9781599043425"</f>
        <v>9781599043425</v>
      </c>
      <c r="E8125" t="s">
        <v>624</v>
      </c>
      <c r="F8125" t="s">
        <v>624</v>
      </c>
      <c r="G8125" s="1">
        <v>39021</v>
      </c>
      <c r="H8125" s="1">
        <v>39121</v>
      </c>
      <c r="I8125" t="s">
        <v>12</v>
      </c>
      <c r="J8125" t="s">
        <v>18895</v>
      </c>
    </row>
    <row r="8126" spans="1:10" x14ac:dyDescent="0.25">
      <c r="A8126">
        <v>3309053</v>
      </c>
      <c r="B8126" t="s">
        <v>8594</v>
      </c>
      <c r="C8126" t="str">
        <f>"9781591406587"</f>
        <v>9781591406587</v>
      </c>
      <c r="D8126" t="str">
        <f>"9781591406600"</f>
        <v>9781591406600</v>
      </c>
      <c r="E8126" t="s">
        <v>624</v>
      </c>
      <c r="F8126" t="s">
        <v>624</v>
      </c>
      <c r="G8126" s="1">
        <v>39220</v>
      </c>
      <c r="H8126" s="1">
        <v>39121</v>
      </c>
      <c r="I8126" t="s">
        <v>12</v>
      </c>
      <c r="J8126" t="s">
        <v>18896</v>
      </c>
    </row>
    <row r="8127" spans="1:10" x14ac:dyDescent="0.25">
      <c r="A8127">
        <v>3309054</v>
      </c>
      <c r="B8127" t="s">
        <v>8595</v>
      </c>
      <c r="C8127" t="str">
        <f>"9781599040486"</f>
        <v>9781599040486</v>
      </c>
      <c r="D8127" t="str">
        <f>"9781599040509"</f>
        <v>9781599040509</v>
      </c>
      <c r="E8127" t="s">
        <v>624</v>
      </c>
      <c r="F8127" t="s">
        <v>624</v>
      </c>
      <c r="G8127" s="1">
        <v>39021</v>
      </c>
      <c r="H8127" s="1">
        <v>39121</v>
      </c>
      <c r="I8127" t="s">
        <v>12</v>
      </c>
      <c r="J8127" t="s">
        <v>18897</v>
      </c>
    </row>
    <row r="8128" spans="1:10" x14ac:dyDescent="0.25">
      <c r="A8128">
        <v>3309055</v>
      </c>
      <c r="B8128" t="s">
        <v>8596</v>
      </c>
      <c r="C8128" t="str">
        <f>"9781599042688"</f>
        <v>9781599042688</v>
      </c>
      <c r="D8128" t="str">
        <f>"9781599042701"</f>
        <v>9781599042701</v>
      </c>
      <c r="E8128" t="s">
        <v>624</v>
      </c>
      <c r="F8128" t="s">
        <v>624</v>
      </c>
      <c r="G8128" s="1">
        <v>39021</v>
      </c>
      <c r="H8128" s="1">
        <v>39121</v>
      </c>
      <c r="I8128" t="s">
        <v>12</v>
      </c>
      <c r="J8128" t="s">
        <v>18898</v>
      </c>
    </row>
    <row r="8129" spans="1:10" x14ac:dyDescent="0.25">
      <c r="A8129">
        <v>3309056</v>
      </c>
      <c r="B8129" t="s">
        <v>8597</v>
      </c>
      <c r="C8129" t="str">
        <f>"9781599043289"</f>
        <v>9781599043289</v>
      </c>
      <c r="D8129" t="str">
        <f>"9781599043302"</f>
        <v>9781599043302</v>
      </c>
      <c r="E8129" t="s">
        <v>624</v>
      </c>
      <c r="F8129" t="s">
        <v>624</v>
      </c>
      <c r="G8129" s="1">
        <v>39283</v>
      </c>
      <c r="H8129" s="1">
        <v>39121</v>
      </c>
      <c r="I8129" t="s">
        <v>12</v>
      </c>
      <c r="J8129" t="s">
        <v>18899</v>
      </c>
    </row>
    <row r="8130" spans="1:10" x14ac:dyDescent="0.25">
      <c r="A8130">
        <v>3309058</v>
      </c>
      <c r="B8130" t="s">
        <v>8598</v>
      </c>
      <c r="C8130" t="str">
        <f>"9781591409687"</f>
        <v>9781591409687</v>
      </c>
      <c r="D8130" t="str">
        <f>"9781591409700"</f>
        <v>9781591409700</v>
      </c>
      <c r="E8130" t="s">
        <v>624</v>
      </c>
      <c r="F8130" t="s">
        <v>624</v>
      </c>
      <c r="G8130" s="1">
        <v>39113</v>
      </c>
      <c r="H8130" s="1">
        <v>39121</v>
      </c>
      <c r="I8130" t="s">
        <v>12</v>
      </c>
      <c r="J8130" t="s">
        <v>18900</v>
      </c>
    </row>
    <row r="8131" spans="1:10" x14ac:dyDescent="0.25">
      <c r="A8131">
        <v>3309059</v>
      </c>
      <c r="B8131" t="s">
        <v>8599</v>
      </c>
      <c r="C8131" t="str">
        <f>"9781599042619"</f>
        <v>9781599042619</v>
      </c>
      <c r="D8131" t="str">
        <f>"9781599042633"</f>
        <v>9781599042633</v>
      </c>
      <c r="E8131" t="s">
        <v>624</v>
      </c>
      <c r="F8131" t="s">
        <v>624</v>
      </c>
      <c r="G8131" s="1">
        <v>39082</v>
      </c>
      <c r="H8131" s="1">
        <v>39121</v>
      </c>
      <c r="I8131" t="s">
        <v>12</v>
      </c>
      <c r="J8131" t="s">
        <v>18901</v>
      </c>
    </row>
    <row r="8132" spans="1:10" x14ac:dyDescent="0.25">
      <c r="A8132">
        <v>3309060</v>
      </c>
      <c r="B8132" t="s">
        <v>8600</v>
      </c>
      <c r="C8132" t="str">
        <f>"9781599041537"</f>
        <v>9781599041537</v>
      </c>
      <c r="D8132" t="str">
        <f>"9781599041551"</f>
        <v>9781599041551</v>
      </c>
      <c r="E8132" t="s">
        <v>624</v>
      </c>
      <c r="F8132" t="s">
        <v>624</v>
      </c>
      <c r="G8132" s="1">
        <v>39212</v>
      </c>
      <c r="H8132" s="1">
        <v>39121</v>
      </c>
      <c r="I8132" t="s">
        <v>12</v>
      </c>
      <c r="J8132" t="s">
        <v>18902</v>
      </c>
    </row>
    <row r="8133" spans="1:10" x14ac:dyDescent="0.25">
      <c r="A8133">
        <v>3309061</v>
      </c>
      <c r="B8133" t="s">
        <v>8601</v>
      </c>
      <c r="C8133" t="str">
        <f>"9781599040660"</f>
        <v>9781599040660</v>
      </c>
      <c r="D8133" t="str">
        <f>"9781599040684"</f>
        <v>9781599040684</v>
      </c>
      <c r="E8133" t="s">
        <v>624</v>
      </c>
      <c r="F8133" t="s">
        <v>624</v>
      </c>
      <c r="G8133" s="1">
        <v>39051</v>
      </c>
      <c r="H8133" s="1">
        <v>39121</v>
      </c>
      <c r="I8133" t="s">
        <v>12</v>
      </c>
      <c r="J8133" t="s">
        <v>18903</v>
      </c>
    </row>
    <row r="8134" spans="1:10" x14ac:dyDescent="0.25">
      <c r="A8134">
        <v>3309062</v>
      </c>
      <c r="B8134" t="s">
        <v>8602</v>
      </c>
      <c r="C8134" t="str">
        <f>"9781591409328"</f>
        <v>9781591409328</v>
      </c>
      <c r="D8134" t="str">
        <f>"9781591409342"</f>
        <v>9781591409342</v>
      </c>
      <c r="E8134" t="s">
        <v>624</v>
      </c>
      <c r="F8134" t="s">
        <v>624</v>
      </c>
      <c r="G8134" s="1">
        <v>39082</v>
      </c>
      <c r="H8134" s="1">
        <v>39121</v>
      </c>
      <c r="I8134" t="s">
        <v>12</v>
      </c>
      <c r="J8134" t="s">
        <v>18904</v>
      </c>
    </row>
    <row r="8135" spans="1:10" x14ac:dyDescent="0.25">
      <c r="A8135">
        <v>3309063</v>
      </c>
      <c r="B8135" t="s">
        <v>8603</v>
      </c>
      <c r="C8135" t="str">
        <f>"9781599043852"</f>
        <v>9781599043852</v>
      </c>
      <c r="D8135" t="str">
        <f>"9781599043869"</f>
        <v>9781599043869</v>
      </c>
      <c r="E8135" t="s">
        <v>624</v>
      </c>
      <c r="F8135" t="s">
        <v>624</v>
      </c>
      <c r="G8135" s="1">
        <v>39051</v>
      </c>
      <c r="H8135" s="1">
        <v>39121</v>
      </c>
      <c r="I8135" t="s">
        <v>12</v>
      </c>
      <c r="J8135" t="s">
        <v>18905</v>
      </c>
    </row>
    <row r="8136" spans="1:10" x14ac:dyDescent="0.25">
      <c r="A8136">
        <v>3309064</v>
      </c>
      <c r="B8136" t="s">
        <v>8604</v>
      </c>
      <c r="C8136" t="str">
        <f>"9781599042374"</f>
        <v>9781599042374</v>
      </c>
      <c r="D8136" t="str">
        <f>"9781599042398"</f>
        <v>9781599042398</v>
      </c>
      <c r="E8136" t="s">
        <v>624</v>
      </c>
      <c r="F8136" t="s">
        <v>624</v>
      </c>
      <c r="G8136" s="1">
        <v>39283</v>
      </c>
      <c r="H8136" s="1">
        <v>39121</v>
      </c>
      <c r="I8136" t="s">
        <v>12</v>
      </c>
      <c r="J8136" t="s">
        <v>18906</v>
      </c>
    </row>
    <row r="8137" spans="1:10" x14ac:dyDescent="0.25">
      <c r="A8137">
        <v>3309066</v>
      </c>
      <c r="B8137" t="s">
        <v>8605</v>
      </c>
      <c r="C8137" t="str">
        <f>"9781599040691"</f>
        <v>9781599040691</v>
      </c>
      <c r="D8137" t="str">
        <f>"9781599040714"</f>
        <v>9781599040714</v>
      </c>
      <c r="E8137" t="s">
        <v>624</v>
      </c>
      <c r="F8137" t="s">
        <v>624</v>
      </c>
      <c r="G8137" s="1">
        <v>39283</v>
      </c>
      <c r="H8137" s="1">
        <v>39121</v>
      </c>
      <c r="I8137" t="s">
        <v>12</v>
      </c>
      <c r="J8137" t="s">
        <v>18907</v>
      </c>
    </row>
    <row r="8138" spans="1:10" x14ac:dyDescent="0.25">
      <c r="A8138">
        <v>3309067</v>
      </c>
      <c r="B8138" t="s">
        <v>8606</v>
      </c>
      <c r="C8138" t="str">
        <f>"9781599041025"</f>
        <v>9781599041025</v>
      </c>
      <c r="D8138" t="str">
        <f>"9781599041049"</f>
        <v>9781599041049</v>
      </c>
      <c r="E8138" t="s">
        <v>624</v>
      </c>
      <c r="F8138" t="s">
        <v>624</v>
      </c>
      <c r="G8138" s="1">
        <v>38718</v>
      </c>
      <c r="H8138" s="1">
        <v>39121</v>
      </c>
      <c r="I8138" t="s">
        <v>12</v>
      </c>
      <c r="J8138" t="s">
        <v>18908</v>
      </c>
    </row>
    <row r="8139" spans="1:10" x14ac:dyDescent="0.25">
      <c r="A8139">
        <v>3309070</v>
      </c>
      <c r="B8139" t="s">
        <v>8607</v>
      </c>
      <c r="C8139" t="str">
        <f>"9781599043906"</f>
        <v>9781599043906</v>
      </c>
      <c r="D8139" t="str">
        <f>"9781599043920"</f>
        <v>9781599043920</v>
      </c>
      <c r="E8139" t="s">
        <v>624</v>
      </c>
      <c r="F8139" t="s">
        <v>624</v>
      </c>
      <c r="G8139" s="1">
        <v>39083</v>
      </c>
      <c r="H8139" s="1">
        <v>39189</v>
      </c>
      <c r="I8139" t="s">
        <v>12</v>
      </c>
      <c r="J8139" t="s">
        <v>18909</v>
      </c>
    </row>
    <row r="8140" spans="1:10" x14ac:dyDescent="0.25">
      <c r="A8140">
        <v>3309071</v>
      </c>
      <c r="B8140" t="s">
        <v>8608</v>
      </c>
      <c r="C8140" t="str">
        <f>"9781599042138"</f>
        <v>9781599042138</v>
      </c>
      <c r="D8140" t="str">
        <f>"9781599042152"</f>
        <v>9781599042152</v>
      </c>
      <c r="E8140" t="s">
        <v>624</v>
      </c>
      <c r="F8140" t="s">
        <v>624</v>
      </c>
      <c r="G8140" s="1">
        <v>39083</v>
      </c>
      <c r="H8140" s="1">
        <v>39189</v>
      </c>
      <c r="I8140" t="s">
        <v>12</v>
      </c>
      <c r="J8140" t="s">
        <v>18910</v>
      </c>
    </row>
    <row r="8141" spans="1:10" x14ac:dyDescent="0.25">
      <c r="A8141">
        <v>3309072</v>
      </c>
      <c r="B8141" t="s">
        <v>8609</v>
      </c>
      <c r="C8141" t="str">
        <f>"9781599043197"</f>
        <v>9781599043197</v>
      </c>
      <c r="D8141" t="str">
        <f>"9781599043210"</f>
        <v>9781599043210</v>
      </c>
      <c r="E8141" t="s">
        <v>624</v>
      </c>
      <c r="F8141" t="s">
        <v>624</v>
      </c>
      <c r="G8141" s="1">
        <v>39083</v>
      </c>
      <c r="H8141" s="1">
        <v>39189</v>
      </c>
      <c r="I8141" t="s">
        <v>12</v>
      </c>
      <c r="J8141" t="s">
        <v>18911</v>
      </c>
    </row>
    <row r="8142" spans="1:10" x14ac:dyDescent="0.25">
      <c r="A8142">
        <v>3309073</v>
      </c>
      <c r="B8142" t="s">
        <v>8610</v>
      </c>
      <c r="C8142" t="str">
        <f>"9781599041568"</f>
        <v>9781599041568</v>
      </c>
      <c r="D8142" t="str">
        <f>"9781599041582"</f>
        <v>9781599041582</v>
      </c>
      <c r="E8142" t="s">
        <v>624</v>
      </c>
      <c r="F8142" t="s">
        <v>624</v>
      </c>
      <c r="G8142" s="1">
        <v>39283</v>
      </c>
      <c r="H8142" s="1">
        <v>39189</v>
      </c>
      <c r="I8142" t="s">
        <v>12</v>
      </c>
      <c r="J8142" t="s">
        <v>18912</v>
      </c>
    </row>
    <row r="8143" spans="1:10" x14ac:dyDescent="0.25">
      <c r="A8143">
        <v>3309074</v>
      </c>
      <c r="B8143" t="s">
        <v>8611</v>
      </c>
      <c r="C8143" t="str">
        <f>"9781599040516"</f>
        <v>9781599040516</v>
      </c>
      <c r="D8143" t="str">
        <f>"9781599040530"</f>
        <v>9781599040530</v>
      </c>
      <c r="E8143" t="s">
        <v>624</v>
      </c>
      <c r="F8143" t="s">
        <v>624</v>
      </c>
      <c r="G8143" s="1">
        <v>39357</v>
      </c>
      <c r="H8143" s="1">
        <v>39189</v>
      </c>
      <c r="I8143" t="s">
        <v>12</v>
      </c>
      <c r="J8143" t="s">
        <v>18913</v>
      </c>
    </row>
    <row r="8144" spans="1:10" x14ac:dyDescent="0.25">
      <c r="A8144">
        <v>3309075</v>
      </c>
      <c r="B8144" t="s">
        <v>8612</v>
      </c>
      <c r="C8144" t="str">
        <f>"9781599041773"</f>
        <v>9781599041773</v>
      </c>
      <c r="D8144" t="str">
        <f>"9781599041797"</f>
        <v>9781599041797</v>
      </c>
      <c r="E8144" t="s">
        <v>624</v>
      </c>
      <c r="F8144" t="s">
        <v>624</v>
      </c>
      <c r="G8144" s="1">
        <v>39141</v>
      </c>
      <c r="H8144" s="1">
        <v>39189</v>
      </c>
      <c r="I8144" t="s">
        <v>12</v>
      </c>
      <c r="J8144" t="s">
        <v>18914</v>
      </c>
    </row>
    <row r="8145" spans="1:10" x14ac:dyDescent="0.25">
      <c r="A8145">
        <v>3309076</v>
      </c>
      <c r="B8145" t="s">
        <v>8613</v>
      </c>
      <c r="C8145" t="str">
        <f>"9781599044293"</f>
        <v>9781599044293</v>
      </c>
      <c r="D8145" t="str">
        <f>"9781599044316"</f>
        <v>9781599044316</v>
      </c>
      <c r="E8145" t="s">
        <v>624</v>
      </c>
      <c r="F8145" t="s">
        <v>624</v>
      </c>
      <c r="G8145" s="1">
        <v>39374</v>
      </c>
      <c r="H8145" s="1">
        <v>39189</v>
      </c>
      <c r="I8145" t="s">
        <v>12</v>
      </c>
      <c r="J8145" t="s">
        <v>18915</v>
      </c>
    </row>
    <row r="8146" spans="1:10" x14ac:dyDescent="0.25">
      <c r="A8146">
        <v>3309077</v>
      </c>
      <c r="B8146" t="s">
        <v>8614</v>
      </c>
      <c r="C8146" t="str">
        <f>"9781599042077"</f>
        <v>9781599042077</v>
      </c>
      <c r="D8146" t="str">
        <f>"9781599042091"</f>
        <v>9781599042091</v>
      </c>
      <c r="E8146" t="s">
        <v>624</v>
      </c>
      <c r="F8146" t="s">
        <v>624</v>
      </c>
      <c r="G8146" s="1">
        <v>39281</v>
      </c>
      <c r="H8146" s="1">
        <v>39189</v>
      </c>
      <c r="I8146" t="s">
        <v>12</v>
      </c>
      <c r="J8146" t="s">
        <v>18916</v>
      </c>
    </row>
    <row r="8147" spans="1:10" x14ac:dyDescent="0.25">
      <c r="A8147">
        <v>3309078</v>
      </c>
      <c r="B8147" t="s">
        <v>8615</v>
      </c>
      <c r="C8147" t="str">
        <f>"9781599044835"</f>
        <v>9781599044835</v>
      </c>
      <c r="D8147" t="str">
        <f>"9781599044859"</f>
        <v>9781599044859</v>
      </c>
      <c r="E8147" t="s">
        <v>624</v>
      </c>
      <c r="F8147" t="s">
        <v>624</v>
      </c>
      <c r="G8147" s="1">
        <v>39141</v>
      </c>
      <c r="H8147" s="1">
        <v>39189</v>
      </c>
      <c r="I8147" t="s">
        <v>12</v>
      </c>
      <c r="J8147" t="s">
        <v>18917</v>
      </c>
    </row>
    <row r="8148" spans="1:10" x14ac:dyDescent="0.25">
      <c r="A8148">
        <v>3309079</v>
      </c>
      <c r="B8148" t="s">
        <v>8616</v>
      </c>
      <c r="C8148" t="str">
        <f>"9781591409564"</f>
        <v>9781591409564</v>
      </c>
      <c r="D8148" t="str">
        <f>"9781591409588"</f>
        <v>9781591409588</v>
      </c>
      <c r="E8148" t="s">
        <v>624</v>
      </c>
      <c r="F8148" t="s">
        <v>624</v>
      </c>
      <c r="G8148" s="1">
        <v>39293</v>
      </c>
      <c r="H8148" s="1">
        <v>39189</v>
      </c>
      <c r="I8148" t="s">
        <v>12</v>
      </c>
      <c r="J8148" t="s">
        <v>18918</v>
      </c>
    </row>
    <row r="8149" spans="1:10" x14ac:dyDescent="0.25">
      <c r="A8149">
        <v>3309080</v>
      </c>
      <c r="B8149" t="s">
        <v>8617</v>
      </c>
      <c r="C8149" t="str">
        <f>"9781599042169"</f>
        <v>9781599042169</v>
      </c>
      <c r="D8149" t="str">
        <f>"9781599042183"</f>
        <v>9781599042183</v>
      </c>
      <c r="E8149" t="s">
        <v>624</v>
      </c>
      <c r="F8149" t="s">
        <v>624</v>
      </c>
      <c r="G8149" s="1">
        <v>39083</v>
      </c>
      <c r="H8149" s="1">
        <v>39189</v>
      </c>
      <c r="I8149" t="s">
        <v>12</v>
      </c>
      <c r="J8149" t="s">
        <v>18919</v>
      </c>
    </row>
    <row r="8150" spans="1:10" x14ac:dyDescent="0.25">
      <c r="A8150">
        <v>3309081</v>
      </c>
      <c r="B8150" t="s">
        <v>8618</v>
      </c>
      <c r="C8150" t="str">
        <f>"9781599041056"</f>
        <v>9781599041056</v>
      </c>
      <c r="D8150" t="str">
        <f>"9781599041070"</f>
        <v>9781599041070</v>
      </c>
      <c r="E8150" t="s">
        <v>624</v>
      </c>
      <c r="F8150" t="s">
        <v>624</v>
      </c>
      <c r="G8150" s="1">
        <v>39357</v>
      </c>
      <c r="H8150" s="1">
        <v>39189</v>
      </c>
      <c r="I8150" t="s">
        <v>12</v>
      </c>
      <c r="J8150" t="s">
        <v>18920</v>
      </c>
    </row>
    <row r="8151" spans="1:10" x14ac:dyDescent="0.25">
      <c r="A8151">
        <v>3309082</v>
      </c>
      <c r="B8151" t="s">
        <v>8619</v>
      </c>
      <c r="C8151" t="str">
        <f>"9781591408024"</f>
        <v>9781591408024</v>
      </c>
      <c r="D8151" t="str">
        <f>"9781591408048"</f>
        <v>9781591408048</v>
      </c>
      <c r="E8151" t="s">
        <v>624</v>
      </c>
      <c r="F8151" t="s">
        <v>624</v>
      </c>
      <c r="G8151" s="1">
        <v>39290</v>
      </c>
      <c r="H8151" s="1">
        <v>39189</v>
      </c>
      <c r="I8151" t="s">
        <v>12</v>
      </c>
      <c r="J8151" t="s">
        <v>18921</v>
      </c>
    </row>
    <row r="8152" spans="1:10" x14ac:dyDescent="0.25">
      <c r="A8152">
        <v>3309083</v>
      </c>
      <c r="B8152" t="s">
        <v>8620</v>
      </c>
      <c r="C8152" t="str">
        <f>"9781599044774"</f>
        <v>9781599044774</v>
      </c>
      <c r="D8152" t="str">
        <f>"9781599044798"</f>
        <v>9781599044798</v>
      </c>
      <c r="E8152" t="s">
        <v>624</v>
      </c>
      <c r="F8152" t="s">
        <v>624</v>
      </c>
      <c r="G8152" s="1">
        <v>39172</v>
      </c>
      <c r="H8152" s="1">
        <v>39189</v>
      </c>
      <c r="I8152" t="s">
        <v>12</v>
      </c>
      <c r="J8152" t="s">
        <v>18922</v>
      </c>
    </row>
    <row r="8153" spans="1:10" x14ac:dyDescent="0.25">
      <c r="A8153">
        <v>3309084</v>
      </c>
      <c r="B8153" t="s">
        <v>8621</v>
      </c>
      <c r="C8153" t="str">
        <f>"9781599042046"</f>
        <v>9781599042046</v>
      </c>
      <c r="D8153" t="str">
        <f>"9781599042060"</f>
        <v>9781599042060</v>
      </c>
      <c r="E8153" t="s">
        <v>624</v>
      </c>
      <c r="F8153" t="s">
        <v>624</v>
      </c>
      <c r="G8153" s="1">
        <v>39293</v>
      </c>
      <c r="H8153" s="1">
        <v>39189</v>
      </c>
      <c r="I8153" t="s">
        <v>12</v>
      </c>
      <c r="J8153" t="s">
        <v>18923</v>
      </c>
    </row>
    <row r="8154" spans="1:10" x14ac:dyDescent="0.25">
      <c r="A8154">
        <v>3309085</v>
      </c>
      <c r="B8154" t="s">
        <v>8622</v>
      </c>
      <c r="C8154" t="str">
        <f>"9781599041322"</f>
        <v>9781599041322</v>
      </c>
      <c r="D8154" t="str">
        <f>"9781599041346"</f>
        <v>9781599041346</v>
      </c>
      <c r="E8154" t="s">
        <v>624</v>
      </c>
      <c r="F8154" t="s">
        <v>624</v>
      </c>
      <c r="G8154" s="1">
        <v>39266</v>
      </c>
      <c r="H8154" s="1">
        <v>39189</v>
      </c>
      <c r="I8154" t="s">
        <v>12</v>
      </c>
      <c r="J8154" t="s">
        <v>18924</v>
      </c>
    </row>
    <row r="8155" spans="1:10" x14ac:dyDescent="0.25">
      <c r="A8155">
        <v>3309086</v>
      </c>
      <c r="B8155" t="s">
        <v>8623</v>
      </c>
      <c r="C8155" t="str">
        <f>"9781599040813"</f>
        <v>9781599040813</v>
      </c>
      <c r="D8155" t="str">
        <f>"9781599040837"</f>
        <v>9781599040837</v>
      </c>
      <c r="E8155" t="s">
        <v>624</v>
      </c>
      <c r="F8155" t="s">
        <v>624</v>
      </c>
      <c r="G8155" s="1">
        <v>39083</v>
      </c>
      <c r="H8155" s="1">
        <v>39189</v>
      </c>
      <c r="I8155" t="s">
        <v>12</v>
      </c>
      <c r="J8155" t="s">
        <v>18925</v>
      </c>
    </row>
    <row r="8156" spans="1:10" x14ac:dyDescent="0.25">
      <c r="A8156">
        <v>3309087</v>
      </c>
      <c r="B8156" t="s">
        <v>8624</v>
      </c>
      <c r="C8156" t="str">
        <f>"9781591409892"</f>
        <v>9781591409892</v>
      </c>
      <c r="D8156" t="str">
        <f>"9781591409908"</f>
        <v>9781591409908</v>
      </c>
      <c r="E8156" t="s">
        <v>624</v>
      </c>
      <c r="F8156" t="s">
        <v>624</v>
      </c>
      <c r="G8156" s="1">
        <v>39357</v>
      </c>
      <c r="H8156" s="1">
        <v>39213</v>
      </c>
      <c r="I8156" t="s">
        <v>12</v>
      </c>
      <c r="J8156" t="s">
        <v>18926</v>
      </c>
    </row>
    <row r="8157" spans="1:10" x14ac:dyDescent="0.25">
      <c r="A8157">
        <v>3309088</v>
      </c>
      <c r="B8157" t="s">
        <v>8625</v>
      </c>
      <c r="C8157" t="str">
        <f>"9781599040455"</f>
        <v>9781599040455</v>
      </c>
      <c r="D8157" t="str">
        <f>"9781599040479"</f>
        <v>9781599040479</v>
      </c>
      <c r="E8157" t="s">
        <v>624</v>
      </c>
      <c r="F8157" t="s">
        <v>624</v>
      </c>
      <c r="G8157" s="1">
        <v>39083</v>
      </c>
      <c r="H8157" s="1">
        <v>39212</v>
      </c>
      <c r="I8157" t="s">
        <v>12</v>
      </c>
      <c r="J8157" t="s">
        <v>18927</v>
      </c>
    </row>
    <row r="8158" spans="1:10" x14ac:dyDescent="0.25">
      <c r="A8158">
        <v>3309089</v>
      </c>
      <c r="B8158" t="s">
        <v>8626</v>
      </c>
      <c r="C8158" t="str">
        <f>"9781599043340"</f>
        <v>9781599043340</v>
      </c>
      <c r="D8158" t="str">
        <f>"9781599043364"</f>
        <v>9781599043364</v>
      </c>
      <c r="E8158" t="s">
        <v>624</v>
      </c>
      <c r="F8158" t="s">
        <v>624</v>
      </c>
      <c r="G8158" s="1">
        <v>39202</v>
      </c>
      <c r="H8158" s="1">
        <v>39212</v>
      </c>
      <c r="I8158" t="s">
        <v>12</v>
      </c>
      <c r="J8158" t="s">
        <v>18928</v>
      </c>
    </row>
    <row r="8159" spans="1:10" x14ac:dyDescent="0.25">
      <c r="A8159">
        <v>3309090</v>
      </c>
      <c r="B8159" t="s">
        <v>8627</v>
      </c>
      <c r="C8159" t="str">
        <f>"9781599042190"</f>
        <v>9781599042190</v>
      </c>
      <c r="D8159" t="str">
        <f>"9781599042213"</f>
        <v>9781599042213</v>
      </c>
      <c r="E8159" t="s">
        <v>624</v>
      </c>
      <c r="F8159" t="s">
        <v>624</v>
      </c>
      <c r="G8159" s="1">
        <v>39357</v>
      </c>
      <c r="H8159" s="1">
        <v>39212</v>
      </c>
      <c r="I8159" t="s">
        <v>12</v>
      </c>
      <c r="J8159" t="s">
        <v>18929</v>
      </c>
    </row>
    <row r="8160" spans="1:10" x14ac:dyDescent="0.25">
      <c r="A8160">
        <v>3309091</v>
      </c>
      <c r="B8160" t="s">
        <v>8628</v>
      </c>
      <c r="C8160" t="str">
        <f>"9781599042527"</f>
        <v>9781599042527</v>
      </c>
      <c r="D8160" t="str">
        <f>"9781599042541"</f>
        <v>9781599042541</v>
      </c>
      <c r="E8160" t="s">
        <v>624</v>
      </c>
      <c r="F8160" t="s">
        <v>624</v>
      </c>
      <c r="G8160" s="1">
        <v>39083</v>
      </c>
      <c r="H8160" s="1">
        <v>39212</v>
      </c>
      <c r="I8160" t="s">
        <v>12</v>
      </c>
      <c r="J8160" t="s">
        <v>18930</v>
      </c>
    </row>
    <row r="8161" spans="1:10" x14ac:dyDescent="0.25">
      <c r="A8161">
        <v>3309092</v>
      </c>
      <c r="B8161" t="s">
        <v>8629</v>
      </c>
      <c r="C8161" t="str">
        <f>""</f>
        <v/>
      </c>
      <c r="D8161" t="str">
        <f>"9781599049106"</f>
        <v>9781599049106</v>
      </c>
      <c r="E8161" t="s">
        <v>624</v>
      </c>
      <c r="F8161" t="s">
        <v>624</v>
      </c>
      <c r="G8161" s="1">
        <v>39083</v>
      </c>
      <c r="H8161" s="1">
        <v>39212</v>
      </c>
      <c r="I8161" t="s">
        <v>12</v>
      </c>
      <c r="J8161" t="s">
        <v>18931</v>
      </c>
    </row>
    <row r="8162" spans="1:10" x14ac:dyDescent="0.25">
      <c r="A8162">
        <v>3309093</v>
      </c>
      <c r="B8162" t="s">
        <v>8630</v>
      </c>
      <c r="C8162" t="str">
        <f>"9781599041599"</f>
        <v>9781599041599</v>
      </c>
      <c r="D8162" t="str">
        <f>"9781599041612"</f>
        <v>9781599041612</v>
      </c>
      <c r="E8162" t="s">
        <v>624</v>
      </c>
      <c r="F8162" t="s">
        <v>624</v>
      </c>
      <c r="G8162" s="1">
        <v>39357</v>
      </c>
      <c r="H8162" s="1">
        <v>39212</v>
      </c>
      <c r="I8162" t="s">
        <v>12</v>
      </c>
      <c r="J8162" t="s">
        <v>18932</v>
      </c>
    </row>
    <row r="8163" spans="1:10" x14ac:dyDescent="0.25">
      <c r="A8163">
        <v>3309094</v>
      </c>
      <c r="B8163" t="s">
        <v>8631</v>
      </c>
      <c r="C8163" t="str">
        <f>"9781599041087"</f>
        <v>9781599041087</v>
      </c>
      <c r="D8163" t="str">
        <f>"9781599041100"</f>
        <v>9781599041100</v>
      </c>
      <c r="E8163" t="s">
        <v>624</v>
      </c>
      <c r="F8163" t="s">
        <v>624</v>
      </c>
      <c r="G8163" s="1">
        <v>39083</v>
      </c>
      <c r="H8163" s="1">
        <v>39212</v>
      </c>
      <c r="I8163" t="s">
        <v>12</v>
      </c>
      <c r="J8163" t="s">
        <v>18933</v>
      </c>
    </row>
    <row r="8164" spans="1:10" x14ac:dyDescent="0.25">
      <c r="A8164">
        <v>3309095</v>
      </c>
      <c r="B8164" t="s">
        <v>8632</v>
      </c>
      <c r="C8164" t="str">
        <f>"9781599041292"</f>
        <v>9781599041292</v>
      </c>
      <c r="D8164" t="str">
        <f>"9781599041315"</f>
        <v>9781599041315</v>
      </c>
      <c r="E8164" t="s">
        <v>624</v>
      </c>
      <c r="F8164" t="s">
        <v>624</v>
      </c>
      <c r="G8164" s="1">
        <v>39083</v>
      </c>
      <c r="H8164" s="1">
        <v>39212</v>
      </c>
      <c r="I8164" t="s">
        <v>12</v>
      </c>
      <c r="J8164" t="s">
        <v>18934</v>
      </c>
    </row>
    <row r="8165" spans="1:10" x14ac:dyDescent="0.25">
      <c r="A8165">
        <v>3309096</v>
      </c>
      <c r="B8165" t="s">
        <v>8633</v>
      </c>
      <c r="C8165" t="str">
        <f>"9781599042923"</f>
        <v>9781599042923</v>
      </c>
      <c r="D8165" t="str">
        <f>"9781599042947"</f>
        <v>9781599042947</v>
      </c>
      <c r="E8165" t="s">
        <v>624</v>
      </c>
      <c r="F8165" t="s">
        <v>624</v>
      </c>
      <c r="G8165" s="1">
        <v>39380</v>
      </c>
      <c r="H8165" s="1">
        <v>39212</v>
      </c>
      <c r="I8165" t="s">
        <v>12</v>
      </c>
      <c r="J8165" t="s">
        <v>18935</v>
      </c>
    </row>
    <row r="8166" spans="1:10" x14ac:dyDescent="0.25">
      <c r="A8166">
        <v>3309097</v>
      </c>
      <c r="B8166" t="s">
        <v>8634</v>
      </c>
      <c r="C8166" t="str">
        <f>"9781599041414"</f>
        <v>9781599041414</v>
      </c>
      <c r="D8166" t="str">
        <f>"9781599041438"</f>
        <v>9781599041438</v>
      </c>
      <c r="E8166" t="s">
        <v>624</v>
      </c>
      <c r="F8166" t="s">
        <v>624</v>
      </c>
      <c r="G8166" s="1">
        <v>39357</v>
      </c>
      <c r="H8166" s="1">
        <v>39212</v>
      </c>
      <c r="I8166" t="s">
        <v>12</v>
      </c>
      <c r="J8166" t="s">
        <v>18936</v>
      </c>
    </row>
    <row r="8167" spans="1:10" x14ac:dyDescent="0.25">
      <c r="A8167">
        <v>3309098</v>
      </c>
      <c r="B8167" t="s">
        <v>8635</v>
      </c>
      <c r="C8167" t="str">
        <f>"9781599042893"</f>
        <v>9781599042893</v>
      </c>
      <c r="D8167" t="str">
        <f>"9781599042916"</f>
        <v>9781599042916</v>
      </c>
      <c r="E8167" t="s">
        <v>624</v>
      </c>
      <c r="F8167" t="s">
        <v>624</v>
      </c>
      <c r="G8167" s="1">
        <v>39357</v>
      </c>
      <c r="H8167" s="1">
        <v>39212</v>
      </c>
      <c r="I8167" t="s">
        <v>12</v>
      </c>
      <c r="J8167" t="s">
        <v>18937</v>
      </c>
    </row>
    <row r="8168" spans="1:10" x14ac:dyDescent="0.25">
      <c r="A8168">
        <v>3309099</v>
      </c>
      <c r="B8168" t="s">
        <v>8636</v>
      </c>
      <c r="C8168" t="str">
        <f>"9781599042558"</f>
        <v>9781599042558</v>
      </c>
      <c r="D8168" t="str">
        <f>"9781599042572"</f>
        <v>9781599042572</v>
      </c>
      <c r="E8168" t="s">
        <v>624</v>
      </c>
      <c r="F8168" t="s">
        <v>624</v>
      </c>
      <c r="G8168" s="1">
        <v>39357</v>
      </c>
      <c r="H8168" s="1">
        <v>39212</v>
      </c>
      <c r="I8168" t="s">
        <v>12</v>
      </c>
      <c r="J8168" t="s">
        <v>18938</v>
      </c>
    </row>
    <row r="8169" spans="1:10" x14ac:dyDescent="0.25">
      <c r="A8169">
        <v>3309100</v>
      </c>
      <c r="B8169" t="s">
        <v>8637</v>
      </c>
      <c r="C8169" t="str">
        <f>"9781599045498"</f>
        <v>9781599045498</v>
      </c>
      <c r="D8169" t="str">
        <f>"9781599045511"</f>
        <v>9781599045511</v>
      </c>
      <c r="E8169" t="s">
        <v>624</v>
      </c>
      <c r="F8169" t="s">
        <v>624</v>
      </c>
      <c r="G8169" s="1">
        <v>39380</v>
      </c>
      <c r="H8169" s="1">
        <v>39212</v>
      </c>
      <c r="I8169" t="s">
        <v>12</v>
      </c>
      <c r="J8169" t="s">
        <v>18939</v>
      </c>
    </row>
    <row r="8170" spans="1:10" x14ac:dyDescent="0.25">
      <c r="A8170">
        <v>3309101</v>
      </c>
      <c r="B8170" t="s">
        <v>8638</v>
      </c>
      <c r="C8170" t="str">
        <f>"9781599043227"</f>
        <v>9781599043227</v>
      </c>
      <c r="D8170" t="str">
        <f>"9781599043241"</f>
        <v>9781599043241</v>
      </c>
      <c r="E8170" t="s">
        <v>624</v>
      </c>
      <c r="F8170" t="s">
        <v>624</v>
      </c>
      <c r="G8170" s="1">
        <v>39083</v>
      </c>
      <c r="H8170" s="1">
        <v>39212</v>
      </c>
      <c r="I8170" t="s">
        <v>12</v>
      </c>
      <c r="J8170" t="s">
        <v>18940</v>
      </c>
    </row>
    <row r="8171" spans="1:10" x14ac:dyDescent="0.25">
      <c r="A8171">
        <v>3309102</v>
      </c>
      <c r="B8171" t="s">
        <v>8639</v>
      </c>
      <c r="C8171" t="str">
        <f>"9781591408840"</f>
        <v>9781591408840</v>
      </c>
      <c r="D8171" t="str">
        <f>"9781591408864"</f>
        <v>9781591408864</v>
      </c>
      <c r="E8171" t="s">
        <v>624</v>
      </c>
      <c r="F8171" t="s">
        <v>624</v>
      </c>
      <c r="G8171" s="1">
        <v>39380</v>
      </c>
      <c r="H8171" s="1">
        <v>39212</v>
      </c>
      <c r="I8171" t="s">
        <v>12</v>
      </c>
      <c r="J8171" t="s">
        <v>18941</v>
      </c>
    </row>
    <row r="8172" spans="1:10" x14ac:dyDescent="0.25">
      <c r="A8172">
        <v>3309103</v>
      </c>
      <c r="B8172" t="s">
        <v>8640</v>
      </c>
      <c r="C8172" t="str">
        <f>"9781599049274"</f>
        <v>9781599049274</v>
      </c>
      <c r="D8172" t="str">
        <f>"9781599049281"</f>
        <v>9781599049281</v>
      </c>
      <c r="E8172" t="s">
        <v>624</v>
      </c>
      <c r="F8172" t="s">
        <v>624</v>
      </c>
      <c r="G8172" s="1">
        <v>39380</v>
      </c>
      <c r="H8172" s="1">
        <v>39212</v>
      </c>
      <c r="I8172" t="s">
        <v>12</v>
      </c>
      <c r="J8172" t="s">
        <v>18942</v>
      </c>
    </row>
    <row r="8173" spans="1:10" x14ac:dyDescent="0.25">
      <c r="A8173">
        <v>3309104</v>
      </c>
      <c r="B8173" t="s">
        <v>8641</v>
      </c>
      <c r="C8173" t="str">
        <f>"9781599042800"</f>
        <v>9781599042800</v>
      </c>
      <c r="D8173" t="str">
        <f>"9781599042824"</f>
        <v>9781599042824</v>
      </c>
      <c r="E8173" t="s">
        <v>624</v>
      </c>
      <c r="F8173" t="s">
        <v>624</v>
      </c>
      <c r="G8173" s="1">
        <v>39083</v>
      </c>
      <c r="H8173" s="1">
        <v>39212</v>
      </c>
      <c r="I8173" t="s">
        <v>12</v>
      </c>
      <c r="J8173" t="s">
        <v>18943</v>
      </c>
    </row>
    <row r="8174" spans="1:10" x14ac:dyDescent="0.25">
      <c r="A8174">
        <v>3309168</v>
      </c>
      <c r="B8174" t="s">
        <v>8642</v>
      </c>
      <c r="C8174" t="str">
        <f>"9781599042435"</f>
        <v>9781599042435</v>
      </c>
      <c r="D8174" t="str">
        <f>"9781599042459"</f>
        <v>9781599042459</v>
      </c>
      <c r="E8174" t="s">
        <v>624</v>
      </c>
      <c r="F8174" t="s">
        <v>624</v>
      </c>
      <c r="G8174" s="1">
        <v>39233</v>
      </c>
      <c r="H8174" s="1">
        <v>39273</v>
      </c>
      <c r="I8174" t="s">
        <v>12</v>
      </c>
      <c r="J8174" t="s">
        <v>18944</v>
      </c>
    </row>
    <row r="8175" spans="1:10" x14ac:dyDescent="0.25">
      <c r="A8175">
        <v>3309169</v>
      </c>
      <c r="B8175" t="s">
        <v>8643</v>
      </c>
      <c r="C8175" t="str">
        <f>"9781591408871"</f>
        <v>9781591408871</v>
      </c>
      <c r="D8175" t="str">
        <f>"9781591408895"</f>
        <v>9781591408895</v>
      </c>
      <c r="E8175" t="s">
        <v>624</v>
      </c>
      <c r="F8175" t="s">
        <v>624</v>
      </c>
      <c r="G8175" s="1">
        <v>39340</v>
      </c>
      <c r="H8175" s="1">
        <v>39273</v>
      </c>
      <c r="I8175" t="s">
        <v>12</v>
      </c>
      <c r="J8175" t="s">
        <v>18945</v>
      </c>
    </row>
    <row r="8176" spans="1:10" x14ac:dyDescent="0.25">
      <c r="A8176">
        <v>3309170</v>
      </c>
      <c r="B8176" t="s">
        <v>8644</v>
      </c>
      <c r="C8176" t="str">
        <f>"9781599041230"</f>
        <v>9781599041230</v>
      </c>
      <c r="D8176" t="str">
        <f>"9781599041254"</f>
        <v>9781599041254</v>
      </c>
      <c r="E8176" t="s">
        <v>624</v>
      </c>
      <c r="F8176" t="s">
        <v>624</v>
      </c>
      <c r="G8176" s="1">
        <v>39380</v>
      </c>
      <c r="H8176" s="1">
        <v>39273</v>
      </c>
      <c r="I8176" t="s">
        <v>12</v>
      </c>
      <c r="J8176" t="s">
        <v>18946</v>
      </c>
    </row>
    <row r="8177" spans="1:10" x14ac:dyDescent="0.25">
      <c r="A8177">
        <v>3309171</v>
      </c>
      <c r="B8177" t="s">
        <v>8645</v>
      </c>
      <c r="C8177" t="str">
        <f>"9781599040394"</f>
        <v>9781599040394</v>
      </c>
      <c r="D8177" t="str">
        <f>"9781599040417"</f>
        <v>9781599040417</v>
      </c>
      <c r="E8177" t="s">
        <v>624</v>
      </c>
      <c r="F8177" t="s">
        <v>624</v>
      </c>
      <c r="G8177" s="1">
        <v>39371</v>
      </c>
      <c r="H8177" s="1">
        <v>39273</v>
      </c>
      <c r="I8177" t="s">
        <v>12</v>
      </c>
      <c r="J8177" t="s">
        <v>18947</v>
      </c>
    </row>
    <row r="8178" spans="1:10" x14ac:dyDescent="0.25">
      <c r="A8178">
        <v>3309173</v>
      </c>
      <c r="B8178" t="s">
        <v>8646</v>
      </c>
      <c r="C8178" t="str">
        <f>"9781599040783"</f>
        <v>9781599040783</v>
      </c>
      <c r="D8178" t="str">
        <f>"9781599040806"</f>
        <v>9781599040806</v>
      </c>
      <c r="E8178" t="s">
        <v>624</v>
      </c>
      <c r="F8178" t="s">
        <v>624</v>
      </c>
      <c r="G8178" s="1">
        <v>39380</v>
      </c>
      <c r="H8178" s="1">
        <v>39273</v>
      </c>
      <c r="I8178" t="s">
        <v>12</v>
      </c>
      <c r="J8178" t="s">
        <v>18948</v>
      </c>
    </row>
    <row r="8179" spans="1:10" x14ac:dyDescent="0.25">
      <c r="A8179">
        <v>3309174</v>
      </c>
      <c r="B8179" t="s">
        <v>8647</v>
      </c>
      <c r="C8179" t="str">
        <f>"9781591409878"</f>
        <v>9781591409878</v>
      </c>
      <c r="D8179" t="str">
        <f>"9781591409885"</f>
        <v>9781591409885</v>
      </c>
      <c r="E8179" t="s">
        <v>624</v>
      </c>
      <c r="F8179" t="s">
        <v>624</v>
      </c>
      <c r="G8179" s="1">
        <v>39371</v>
      </c>
      <c r="H8179" s="1">
        <v>39300</v>
      </c>
      <c r="I8179" t="s">
        <v>12</v>
      </c>
      <c r="J8179" t="s">
        <v>18949</v>
      </c>
    </row>
    <row r="8180" spans="1:10" x14ac:dyDescent="0.25">
      <c r="A8180">
        <v>3309175</v>
      </c>
      <c r="B8180" t="s">
        <v>8648</v>
      </c>
      <c r="C8180" t="str">
        <f>"9781591409991"</f>
        <v>9781591409991</v>
      </c>
      <c r="D8180" t="str">
        <f>"9781591408925"</f>
        <v>9781591408925</v>
      </c>
      <c r="E8180" t="s">
        <v>624</v>
      </c>
      <c r="F8180" t="s">
        <v>624</v>
      </c>
      <c r="G8180" s="1">
        <v>39202</v>
      </c>
      <c r="H8180" s="1">
        <v>39300</v>
      </c>
      <c r="I8180" t="s">
        <v>12</v>
      </c>
      <c r="J8180" t="s">
        <v>18950</v>
      </c>
    </row>
    <row r="8181" spans="1:10" x14ac:dyDescent="0.25">
      <c r="A8181">
        <v>3309176</v>
      </c>
      <c r="B8181" t="s">
        <v>8649</v>
      </c>
      <c r="C8181" t="str">
        <f>"9781591409915"</f>
        <v>9781591409915</v>
      </c>
      <c r="D8181" t="str">
        <f>"9781591409922"</f>
        <v>9781591409922</v>
      </c>
      <c r="E8181" t="s">
        <v>624</v>
      </c>
      <c r="F8181" t="s">
        <v>624</v>
      </c>
      <c r="G8181" s="1">
        <v>39378</v>
      </c>
      <c r="H8181" s="1">
        <v>39300</v>
      </c>
      <c r="I8181" t="s">
        <v>12</v>
      </c>
      <c r="J8181" t="s">
        <v>18951</v>
      </c>
    </row>
    <row r="8182" spans="1:10" x14ac:dyDescent="0.25">
      <c r="A8182">
        <v>3309177</v>
      </c>
      <c r="B8182" t="s">
        <v>8650</v>
      </c>
      <c r="C8182" t="str">
        <f>"9781599043135"</f>
        <v>9781599043135</v>
      </c>
      <c r="D8182" t="str">
        <f>"9781599043159"</f>
        <v>9781599043159</v>
      </c>
      <c r="E8182" t="s">
        <v>624</v>
      </c>
      <c r="F8182" t="s">
        <v>624</v>
      </c>
      <c r="G8182" s="1">
        <v>39083</v>
      </c>
      <c r="H8182" s="1">
        <v>39300</v>
      </c>
      <c r="I8182" t="s">
        <v>12</v>
      </c>
      <c r="J8182" t="s">
        <v>18952</v>
      </c>
    </row>
    <row r="8183" spans="1:10" x14ac:dyDescent="0.25">
      <c r="A8183">
        <v>3309178</v>
      </c>
      <c r="B8183" t="s">
        <v>8651</v>
      </c>
      <c r="C8183" t="str">
        <f>"9781599042107"</f>
        <v>9781599042107</v>
      </c>
      <c r="D8183" t="str">
        <f>"9781599042121"</f>
        <v>9781599042121</v>
      </c>
      <c r="E8183" t="s">
        <v>624</v>
      </c>
      <c r="F8183" t="s">
        <v>624</v>
      </c>
      <c r="G8183" s="1">
        <v>39374</v>
      </c>
      <c r="H8183" s="1">
        <v>39300</v>
      </c>
      <c r="I8183" t="s">
        <v>12</v>
      </c>
      <c r="J8183" t="s">
        <v>18953</v>
      </c>
    </row>
    <row r="8184" spans="1:10" x14ac:dyDescent="0.25">
      <c r="A8184">
        <v>3309179</v>
      </c>
      <c r="B8184" t="s">
        <v>8652</v>
      </c>
      <c r="C8184" t="str">
        <f>"9781599041148"</f>
        <v>9781599041148</v>
      </c>
      <c r="D8184" t="str">
        <f>"9781599041162"</f>
        <v>9781599041162</v>
      </c>
      <c r="E8184" t="s">
        <v>624</v>
      </c>
      <c r="F8184" t="s">
        <v>624</v>
      </c>
      <c r="G8184" s="1">
        <v>39233</v>
      </c>
      <c r="H8184" s="1">
        <v>39300</v>
      </c>
      <c r="I8184" t="s">
        <v>12</v>
      </c>
      <c r="J8184" t="s">
        <v>18954</v>
      </c>
    </row>
    <row r="8185" spans="1:10" x14ac:dyDescent="0.25">
      <c r="A8185">
        <v>3309180</v>
      </c>
      <c r="B8185" t="s">
        <v>8653</v>
      </c>
      <c r="C8185" t="str">
        <f>"9781599041711"</f>
        <v>9781599041711</v>
      </c>
      <c r="D8185" t="str">
        <f>"9781599041735"</f>
        <v>9781599041735</v>
      </c>
      <c r="E8185" t="s">
        <v>624</v>
      </c>
      <c r="F8185" t="s">
        <v>624</v>
      </c>
      <c r="G8185" s="1">
        <v>39380</v>
      </c>
      <c r="H8185" s="1">
        <v>39300</v>
      </c>
      <c r="I8185" t="s">
        <v>12</v>
      </c>
      <c r="J8185" t="s">
        <v>18955</v>
      </c>
    </row>
    <row r="8186" spans="1:10" x14ac:dyDescent="0.25">
      <c r="A8186">
        <v>3309181</v>
      </c>
      <c r="B8186" t="s">
        <v>8654</v>
      </c>
      <c r="C8186" t="str">
        <f>"9781599040905"</f>
        <v>9781599040905</v>
      </c>
      <c r="D8186" t="str">
        <f>"9781599040929"</f>
        <v>9781599040929</v>
      </c>
      <c r="E8186" t="s">
        <v>624</v>
      </c>
      <c r="F8186" t="s">
        <v>624</v>
      </c>
      <c r="G8186" s="1">
        <v>39156</v>
      </c>
      <c r="H8186" s="1">
        <v>39300</v>
      </c>
      <c r="I8186" t="s">
        <v>12</v>
      </c>
      <c r="J8186" t="s">
        <v>18956</v>
      </c>
    </row>
    <row r="8187" spans="1:10" x14ac:dyDescent="0.25">
      <c r="A8187">
        <v>3309183</v>
      </c>
      <c r="B8187" t="s">
        <v>8655</v>
      </c>
      <c r="C8187" t="str">
        <f>"9781599047836"</f>
        <v>9781599047836</v>
      </c>
      <c r="D8187" t="str">
        <f>"9781599047850"</f>
        <v>9781599047850</v>
      </c>
      <c r="E8187" t="s">
        <v>624</v>
      </c>
      <c r="F8187" t="s">
        <v>624</v>
      </c>
      <c r="G8187" s="1">
        <v>39295</v>
      </c>
      <c r="H8187" s="1">
        <v>39319</v>
      </c>
      <c r="I8187" t="s">
        <v>12</v>
      </c>
      <c r="J8187" t="s">
        <v>18957</v>
      </c>
    </row>
    <row r="8188" spans="1:10" x14ac:dyDescent="0.25">
      <c r="A8188">
        <v>3309184</v>
      </c>
      <c r="B8188" t="s">
        <v>8656</v>
      </c>
      <c r="C8188" t="str">
        <f>"9781599046488"</f>
        <v>9781599046488</v>
      </c>
      <c r="D8188" t="str">
        <f>"9781599046501"</f>
        <v>9781599046501</v>
      </c>
      <c r="E8188" t="s">
        <v>624</v>
      </c>
      <c r="F8188" t="s">
        <v>624</v>
      </c>
      <c r="G8188" s="1">
        <v>39340</v>
      </c>
      <c r="H8188" s="1">
        <v>39319</v>
      </c>
      <c r="I8188" t="s">
        <v>12</v>
      </c>
      <c r="J8188" t="s">
        <v>18958</v>
      </c>
    </row>
    <row r="8189" spans="1:10" x14ac:dyDescent="0.25">
      <c r="A8189">
        <v>3309185</v>
      </c>
      <c r="B8189" t="s">
        <v>8657</v>
      </c>
      <c r="C8189" t="str">
        <f>"9781599045795"</f>
        <v>9781599045795</v>
      </c>
      <c r="D8189" t="str">
        <f>"9781599045818"</f>
        <v>9781599045818</v>
      </c>
      <c r="E8189" t="s">
        <v>624</v>
      </c>
      <c r="F8189" t="s">
        <v>624</v>
      </c>
      <c r="G8189" s="1">
        <v>39340</v>
      </c>
      <c r="H8189" s="1">
        <v>39319</v>
      </c>
      <c r="I8189" t="s">
        <v>12</v>
      </c>
      <c r="J8189" t="s">
        <v>18959</v>
      </c>
    </row>
    <row r="8190" spans="1:10" x14ac:dyDescent="0.25">
      <c r="A8190">
        <v>3309186</v>
      </c>
      <c r="B8190" t="s">
        <v>8658</v>
      </c>
      <c r="C8190" t="str">
        <f>"9781599043319"</f>
        <v>9781599043319</v>
      </c>
      <c r="D8190" t="str">
        <f>"9781599043333"</f>
        <v>9781599043333</v>
      </c>
      <c r="E8190" t="s">
        <v>624</v>
      </c>
      <c r="F8190" t="s">
        <v>624</v>
      </c>
      <c r="G8190" s="1">
        <v>39401</v>
      </c>
      <c r="H8190" s="1">
        <v>39319</v>
      </c>
      <c r="I8190" t="s">
        <v>12</v>
      </c>
      <c r="J8190" t="s">
        <v>18960</v>
      </c>
    </row>
    <row r="8191" spans="1:10" x14ac:dyDescent="0.25">
      <c r="A8191">
        <v>3309187</v>
      </c>
      <c r="B8191" t="s">
        <v>8659</v>
      </c>
      <c r="C8191" t="str">
        <f>"9781599049335"</f>
        <v>9781599049335</v>
      </c>
      <c r="D8191" t="str">
        <f>"9781599049342"</f>
        <v>9781599049342</v>
      </c>
      <c r="E8191" t="s">
        <v>624</v>
      </c>
      <c r="F8191" t="s">
        <v>624</v>
      </c>
      <c r="G8191" s="1">
        <v>39417</v>
      </c>
      <c r="H8191" s="1">
        <v>39319</v>
      </c>
      <c r="I8191" t="s">
        <v>12</v>
      </c>
      <c r="J8191" t="s">
        <v>18961</v>
      </c>
    </row>
    <row r="8192" spans="1:10" x14ac:dyDescent="0.25">
      <c r="A8192">
        <v>3309188</v>
      </c>
      <c r="B8192" t="s">
        <v>8660</v>
      </c>
      <c r="C8192" t="str">
        <f>"9781599047355"</f>
        <v>9781599047355</v>
      </c>
      <c r="D8192" t="str">
        <f>"9781599047379"</f>
        <v>9781599047379</v>
      </c>
      <c r="E8192" t="s">
        <v>624</v>
      </c>
      <c r="F8192" t="s">
        <v>624</v>
      </c>
      <c r="G8192" s="1">
        <v>39462</v>
      </c>
      <c r="H8192" s="1">
        <v>39319</v>
      </c>
      <c r="I8192" t="s">
        <v>12</v>
      </c>
      <c r="J8192" t="s">
        <v>18962</v>
      </c>
    </row>
    <row r="8193" spans="1:10" x14ac:dyDescent="0.25">
      <c r="A8193">
        <v>3309189</v>
      </c>
      <c r="B8193" t="s">
        <v>8661</v>
      </c>
      <c r="C8193" t="str">
        <f>"9781599045344"</f>
        <v>9781599045344</v>
      </c>
      <c r="D8193" t="str">
        <f>"9781599045368"</f>
        <v>9781599045368</v>
      </c>
      <c r="E8193" t="s">
        <v>624</v>
      </c>
      <c r="F8193" t="s">
        <v>624</v>
      </c>
      <c r="G8193" s="1">
        <v>39401</v>
      </c>
      <c r="H8193" s="1">
        <v>39319</v>
      </c>
      <c r="I8193" t="s">
        <v>12</v>
      </c>
      <c r="J8193" t="s">
        <v>18963</v>
      </c>
    </row>
    <row r="8194" spans="1:10" x14ac:dyDescent="0.25">
      <c r="A8194">
        <v>3309190</v>
      </c>
      <c r="B8194" t="s">
        <v>8662</v>
      </c>
      <c r="C8194" t="str">
        <f>"9781599045139"</f>
        <v>9781599045139</v>
      </c>
      <c r="D8194" t="str">
        <f>"9781599045153"</f>
        <v>9781599045153</v>
      </c>
      <c r="E8194" t="s">
        <v>624</v>
      </c>
      <c r="F8194" t="s">
        <v>624</v>
      </c>
      <c r="G8194" s="1">
        <v>39370</v>
      </c>
      <c r="H8194" s="1">
        <v>39319</v>
      </c>
      <c r="I8194" t="s">
        <v>12</v>
      </c>
      <c r="J8194" t="s">
        <v>18964</v>
      </c>
    </row>
    <row r="8195" spans="1:10" x14ac:dyDescent="0.25">
      <c r="A8195">
        <v>3309192</v>
      </c>
      <c r="B8195" t="s">
        <v>8663</v>
      </c>
      <c r="C8195" t="str">
        <f>"9781599049373"</f>
        <v>9781599049373</v>
      </c>
      <c r="D8195" t="str">
        <f>"9781599049380"</f>
        <v>9781599049380</v>
      </c>
      <c r="E8195" t="s">
        <v>624</v>
      </c>
      <c r="F8195" t="s">
        <v>624</v>
      </c>
      <c r="G8195" s="1">
        <v>39264</v>
      </c>
      <c r="H8195" s="1">
        <v>39352</v>
      </c>
      <c r="I8195" t="s">
        <v>12</v>
      </c>
      <c r="J8195" t="s">
        <v>18965</v>
      </c>
    </row>
    <row r="8196" spans="1:10" x14ac:dyDescent="0.25">
      <c r="A8196">
        <v>3309193</v>
      </c>
      <c r="B8196" t="s">
        <v>8664</v>
      </c>
      <c r="C8196" t="str">
        <f>"9781599044958"</f>
        <v>9781599044958</v>
      </c>
      <c r="D8196" t="str">
        <f>"9781599044972"</f>
        <v>9781599044972</v>
      </c>
      <c r="E8196" t="s">
        <v>624</v>
      </c>
      <c r="F8196" t="s">
        <v>624</v>
      </c>
      <c r="G8196" s="1">
        <v>39295</v>
      </c>
      <c r="H8196" s="1">
        <v>39386</v>
      </c>
      <c r="I8196" t="s">
        <v>12</v>
      </c>
      <c r="J8196" t="s">
        <v>18966</v>
      </c>
    </row>
    <row r="8197" spans="1:10" x14ac:dyDescent="0.25">
      <c r="A8197">
        <v>3309194</v>
      </c>
      <c r="B8197" t="s">
        <v>8665</v>
      </c>
      <c r="C8197" t="str">
        <f>"9781599041629"</f>
        <v>9781599041629</v>
      </c>
      <c r="D8197" t="str">
        <f>"9781599041643"</f>
        <v>9781599041643</v>
      </c>
      <c r="E8197" t="s">
        <v>624</v>
      </c>
      <c r="F8197" t="s">
        <v>624</v>
      </c>
      <c r="G8197" s="1">
        <v>39431</v>
      </c>
      <c r="H8197" s="1">
        <v>39386</v>
      </c>
      <c r="I8197" t="s">
        <v>12</v>
      </c>
      <c r="J8197" t="s">
        <v>18967</v>
      </c>
    </row>
    <row r="8198" spans="1:10" x14ac:dyDescent="0.25">
      <c r="A8198">
        <v>3309195</v>
      </c>
      <c r="B8198" t="s">
        <v>8666</v>
      </c>
      <c r="C8198" t="str">
        <f>"9781599046129"</f>
        <v>9781599046129</v>
      </c>
      <c r="D8198" t="str">
        <f>"9781599046143"</f>
        <v>9781599046143</v>
      </c>
      <c r="E8198" t="s">
        <v>624</v>
      </c>
      <c r="F8198" t="s">
        <v>624</v>
      </c>
      <c r="G8198" s="1">
        <v>39326</v>
      </c>
      <c r="H8198" s="1">
        <v>39386</v>
      </c>
      <c r="I8198" t="s">
        <v>12</v>
      </c>
      <c r="J8198" t="s">
        <v>18968</v>
      </c>
    </row>
    <row r="8199" spans="1:10" x14ac:dyDescent="0.25">
      <c r="A8199">
        <v>3309196</v>
      </c>
      <c r="B8199" t="s">
        <v>8667</v>
      </c>
      <c r="C8199" t="str">
        <f>"9781599045528"</f>
        <v>9781599045528</v>
      </c>
      <c r="D8199" t="str">
        <f>"9781599045542"</f>
        <v>9781599045542</v>
      </c>
      <c r="E8199" t="s">
        <v>624</v>
      </c>
      <c r="F8199" t="s">
        <v>624</v>
      </c>
      <c r="G8199" s="1">
        <v>39401</v>
      </c>
      <c r="H8199" s="1">
        <v>39386</v>
      </c>
      <c r="I8199" t="s">
        <v>12</v>
      </c>
      <c r="J8199" t="s">
        <v>18969</v>
      </c>
    </row>
    <row r="8200" spans="1:10" x14ac:dyDescent="0.25">
      <c r="A8200">
        <v>3309197</v>
      </c>
      <c r="B8200" t="s">
        <v>8668</v>
      </c>
      <c r="C8200" t="str">
        <f>"9781599041353"</f>
        <v>9781599041353</v>
      </c>
      <c r="D8200" t="str">
        <f>"9781599041377"</f>
        <v>9781599041377</v>
      </c>
      <c r="E8200" t="s">
        <v>624</v>
      </c>
      <c r="F8200" t="s">
        <v>624</v>
      </c>
      <c r="G8200" s="1">
        <v>39355</v>
      </c>
      <c r="H8200" s="1">
        <v>39386</v>
      </c>
      <c r="I8200" t="s">
        <v>12</v>
      </c>
      <c r="J8200" t="s">
        <v>18970</v>
      </c>
    </row>
    <row r="8201" spans="1:10" x14ac:dyDescent="0.25">
      <c r="A8201">
        <v>3309198</v>
      </c>
      <c r="B8201" t="s">
        <v>8669</v>
      </c>
      <c r="C8201" t="str">
        <f>"9781599043791"</f>
        <v>9781599043791</v>
      </c>
      <c r="D8201" t="str">
        <f>"9781599043814"</f>
        <v>9781599043814</v>
      </c>
      <c r="E8201" t="s">
        <v>624</v>
      </c>
      <c r="F8201" t="s">
        <v>624</v>
      </c>
      <c r="G8201" s="1">
        <v>39326</v>
      </c>
      <c r="H8201" s="1">
        <v>39386</v>
      </c>
      <c r="I8201" t="s">
        <v>12</v>
      </c>
      <c r="J8201" t="s">
        <v>18971</v>
      </c>
    </row>
    <row r="8202" spans="1:10" x14ac:dyDescent="0.25">
      <c r="A8202">
        <v>3309199</v>
      </c>
      <c r="B8202" t="s">
        <v>8670</v>
      </c>
      <c r="C8202" t="str">
        <f>"9781599049182"</f>
        <v>9781599049182</v>
      </c>
      <c r="D8202" t="str">
        <f>"9781599049205"</f>
        <v>9781599049205</v>
      </c>
      <c r="E8202" t="s">
        <v>624</v>
      </c>
      <c r="F8202" t="s">
        <v>624</v>
      </c>
      <c r="G8202" s="1">
        <v>39401</v>
      </c>
      <c r="H8202" s="1">
        <v>39386</v>
      </c>
      <c r="I8202" t="s">
        <v>12</v>
      </c>
      <c r="J8202" t="s">
        <v>18972</v>
      </c>
    </row>
    <row r="8203" spans="1:10" x14ac:dyDescent="0.25">
      <c r="A8203">
        <v>3309200</v>
      </c>
      <c r="B8203" t="s">
        <v>8671</v>
      </c>
      <c r="C8203" t="str">
        <f>"9781599045580"</f>
        <v>9781599045580</v>
      </c>
      <c r="D8203" t="str">
        <f>"9781599045603"</f>
        <v>9781599045603</v>
      </c>
      <c r="E8203" t="s">
        <v>624</v>
      </c>
      <c r="F8203" t="s">
        <v>624</v>
      </c>
      <c r="G8203" s="1">
        <v>39401</v>
      </c>
      <c r="H8203" s="1">
        <v>39386</v>
      </c>
      <c r="I8203" t="s">
        <v>12</v>
      </c>
      <c r="J8203" t="s">
        <v>18973</v>
      </c>
    </row>
    <row r="8204" spans="1:10" x14ac:dyDescent="0.25">
      <c r="A8204">
        <v>3309201</v>
      </c>
      <c r="B8204" t="s">
        <v>8672</v>
      </c>
      <c r="C8204" t="str">
        <f>"9781591409939"</f>
        <v>9781591409939</v>
      </c>
      <c r="D8204" t="str">
        <f>"9781591409946"</f>
        <v>9781591409946</v>
      </c>
      <c r="E8204" t="s">
        <v>624</v>
      </c>
      <c r="F8204" t="s">
        <v>624</v>
      </c>
      <c r="G8204" s="1">
        <v>39431</v>
      </c>
      <c r="H8204" s="1">
        <v>39421</v>
      </c>
      <c r="I8204" t="s">
        <v>12</v>
      </c>
      <c r="J8204" t="s">
        <v>18974</v>
      </c>
    </row>
    <row r="8205" spans="1:10" x14ac:dyDescent="0.25">
      <c r="A8205">
        <v>3309202</v>
      </c>
      <c r="B8205" t="s">
        <v>8673</v>
      </c>
      <c r="C8205" t="str">
        <f>"9781599046181"</f>
        <v>9781599046181</v>
      </c>
      <c r="D8205" t="str">
        <f>"9781599046204"</f>
        <v>9781599046204</v>
      </c>
      <c r="E8205" t="s">
        <v>624</v>
      </c>
      <c r="F8205" t="s">
        <v>624</v>
      </c>
      <c r="G8205" s="1">
        <v>39370</v>
      </c>
      <c r="H8205" s="1">
        <v>39421</v>
      </c>
      <c r="I8205" t="s">
        <v>12</v>
      </c>
      <c r="J8205" t="s">
        <v>18975</v>
      </c>
    </row>
    <row r="8206" spans="1:10" x14ac:dyDescent="0.25">
      <c r="A8206">
        <v>3309203</v>
      </c>
      <c r="B8206" t="s">
        <v>8674</v>
      </c>
      <c r="C8206" t="str">
        <f>"9781599046242"</f>
        <v>9781599046242</v>
      </c>
      <c r="D8206" t="str">
        <f>"9781599046266"</f>
        <v>9781599046266</v>
      </c>
      <c r="E8206" t="s">
        <v>624</v>
      </c>
      <c r="F8206" t="s">
        <v>624</v>
      </c>
      <c r="G8206" s="1">
        <v>39370</v>
      </c>
      <c r="H8206" s="1">
        <v>39421</v>
      </c>
      <c r="I8206" t="s">
        <v>12</v>
      </c>
      <c r="J8206" t="s">
        <v>18976</v>
      </c>
    </row>
    <row r="8207" spans="1:10" x14ac:dyDescent="0.25">
      <c r="A8207">
        <v>3309204</v>
      </c>
      <c r="B8207" t="s">
        <v>8675</v>
      </c>
      <c r="C8207" t="str">
        <f>"9781599046631"</f>
        <v>9781599046631</v>
      </c>
      <c r="D8207" t="str">
        <f>"9781599046655"</f>
        <v>9781599046655</v>
      </c>
      <c r="E8207" t="s">
        <v>624</v>
      </c>
      <c r="F8207" t="s">
        <v>624</v>
      </c>
      <c r="G8207" s="1">
        <v>39401</v>
      </c>
      <c r="H8207" s="1">
        <v>39421</v>
      </c>
      <c r="I8207" t="s">
        <v>12</v>
      </c>
      <c r="J8207" t="s">
        <v>18977</v>
      </c>
    </row>
    <row r="8208" spans="1:10" x14ac:dyDescent="0.25">
      <c r="A8208">
        <v>3309205</v>
      </c>
      <c r="B8208" t="s">
        <v>8676</v>
      </c>
      <c r="C8208" t="str">
        <f>"9781599046549"</f>
        <v>9781599046549</v>
      </c>
      <c r="D8208" t="str">
        <f>"9781599046563"</f>
        <v>9781599046563</v>
      </c>
      <c r="E8208" t="s">
        <v>624</v>
      </c>
      <c r="F8208" t="s">
        <v>624</v>
      </c>
      <c r="G8208" s="1">
        <v>39401</v>
      </c>
      <c r="H8208" s="1">
        <v>39421</v>
      </c>
      <c r="I8208" t="s">
        <v>12</v>
      </c>
      <c r="J8208" t="s">
        <v>18978</v>
      </c>
    </row>
    <row r="8209" spans="1:10" x14ac:dyDescent="0.25">
      <c r="A8209">
        <v>3309206</v>
      </c>
      <c r="B8209" t="s">
        <v>8677</v>
      </c>
      <c r="C8209" t="str">
        <f>"9781599048659"</f>
        <v>9781599048659</v>
      </c>
      <c r="D8209" t="str">
        <f>"9781599048666"</f>
        <v>9781599048666</v>
      </c>
      <c r="E8209" t="s">
        <v>624</v>
      </c>
      <c r="F8209" t="s">
        <v>624</v>
      </c>
      <c r="G8209" s="1">
        <v>39493</v>
      </c>
      <c r="H8209" s="1">
        <v>39421</v>
      </c>
      <c r="I8209" t="s">
        <v>12</v>
      </c>
      <c r="J8209" t="s">
        <v>18979</v>
      </c>
    </row>
    <row r="8210" spans="1:10" x14ac:dyDescent="0.25">
      <c r="A8210">
        <v>3309207</v>
      </c>
      <c r="B8210" t="s">
        <v>8678</v>
      </c>
      <c r="C8210" t="str">
        <f>"9781599041988"</f>
        <v>9781599041988</v>
      </c>
      <c r="D8210" t="str">
        <f>"9781599042008"</f>
        <v>9781599042008</v>
      </c>
      <c r="E8210" t="s">
        <v>624</v>
      </c>
      <c r="F8210" t="s">
        <v>624</v>
      </c>
      <c r="G8210" s="1">
        <v>39401</v>
      </c>
      <c r="H8210" s="1">
        <v>39421</v>
      </c>
      <c r="I8210" t="s">
        <v>12</v>
      </c>
      <c r="J8210" t="s">
        <v>18980</v>
      </c>
    </row>
    <row r="8211" spans="1:10" x14ac:dyDescent="0.25">
      <c r="A8211">
        <v>3309208</v>
      </c>
      <c r="B8211" t="s">
        <v>8679</v>
      </c>
      <c r="C8211" t="str">
        <f>"9781599045221"</f>
        <v>9781599045221</v>
      </c>
      <c r="D8211" t="str">
        <f>"9781599045245"</f>
        <v>9781599045245</v>
      </c>
      <c r="E8211" t="s">
        <v>624</v>
      </c>
      <c r="F8211" t="s">
        <v>624</v>
      </c>
      <c r="G8211" s="1">
        <v>39401</v>
      </c>
      <c r="H8211" s="1">
        <v>39725</v>
      </c>
      <c r="I8211" t="s">
        <v>12</v>
      </c>
      <c r="J8211" t="s">
        <v>18981</v>
      </c>
    </row>
    <row r="8212" spans="1:10" x14ac:dyDescent="0.25">
      <c r="A8212">
        <v>3309209</v>
      </c>
      <c r="B8212" t="s">
        <v>8680</v>
      </c>
      <c r="C8212" t="str">
        <f>"9781599049243"</f>
        <v>9781599049243</v>
      </c>
      <c r="D8212" t="str">
        <f>"9781599049267"</f>
        <v>9781599049267</v>
      </c>
      <c r="E8212" t="s">
        <v>624</v>
      </c>
      <c r="F8212" t="s">
        <v>624</v>
      </c>
      <c r="G8212" s="1">
        <v>39522</v>
      </c>
      <c r="H8212" s="1">
        <v>39421</v>
      </c>
      <c r="I8212" t="s">
        <v>12</v>
      </c>
      <c r="J8212" t="s">
        <v>18982</v>
      </c>
    </row>
    <row r="8213" spans="1:10" x14ac:dyDescent="0.25">
      <c r="A8213">
        <v>3309210</v>
      </c>
      <c r="B8213" t="s">
        <v>8681</v>
      </c>
      <c r="C8213" t="str">
        <f>"9781599043876"</f>
        <v>9781599043876</v>
      </c>
      <c r="D8213" t="str">
        <f>"9781599043890"</f>
        <v>9781599043890</v>
      </c>
      <c r="E8213" t="s">
        <v>624</v>
      </c>
      <c r="F8213" t="s">
        <v>624</v>
      </c>
      <c r="G8213" s="1">
        <v>39493</v>
      </c>
      <c r="H8213" s="1">
        <v>39421</v>
      </c>
      <c r="I8213" t="s">
        <v>12</v>
      </c>
      <c r="J8213" t="s">
        <v>18983</v>
      </c>
    </row>
    <row r="8214" spans="1:10" x14ac:dyDescent="0.25">
      <c r="A8214">
        <v>3309211</v>
      </c>
      <c r="B8214" t="s">
        <v>8682</v>
      </c>
      <c r="C8214" t="str">
        <f>"9781599046303"</f>
        <v>9781599046303</v>
      </c>
      <c r="D8214" t="str">
        <f>"9781599046327"</f>
        <v>9781599046327</v>
      </c>
      <c r="E8214" t="s">
        <v>624</v>
      </c>
      <c r="F8214" t="s">
        <v>624</v>
      </c>
      <c r="G8214" s="1">
        <v>39431</v>
      </c>
      <c r="H8214" s="1">
        <v>39421</v>
      </c>
      <c r="I8214" t="s">
        <v>12</v>
      </c>
      <c r="J8214" t="s">
        <v>18984</v>
      </c>
    </row>
    <row r="8215" spans="1:10" x14ac:dyDescent="0.25">
      <c r="A8215">
        <v>3309212</v>
      </c>
      <c r="B8215" t="s">
        <v>8683</v>
      </c>
      <c r="C8215" t="str">
        <f>"9781599045283"</f>
        <v>9781599045283</v>
      </c>
      <c r="D8215" t="str">
        <f>"9781599045306"</f>
        <v>9781599045306</v>
      </c>
      <c r="E8215" t="s">
        <v>624</v>
      </c>
      <c r="F8215" t="s">
        <v>624</v>
      </c>
      <c r="G8215" s="1">
        <v>39431</v>
      </c>
      <c r="H8215" s="1">
        <v>39421</v>
      </c>
      <c r="I8215" t="s">
        <v>12</v>
      </c>
      <c r="J8215" t="s">
        <v>18985</v>
      </c>
    </row>
    <row r="8216" spans="1:10" x14ac:dyDescent="0.25">
      <c r="A8216">
        <v>3309213</v>
      </c>
      <c r="B8216" t="s">
        <v>8684</v>
      </c>
      <c r="C8216" t="str">
        <f>"9781599041506"</f>
        <v>9781599041506</v>
      </c>
      <c r="D8216" t="str">
        <f>"9781599041520"</f>
        <v>9781599041520</v>
      </c>
      <c r="E8216" t="s">
        <v>624</v>
      </c>
      <c r="F8216" t="s">
        <v>624</v>
      </c>
      <c r="G8216" s="1">
        <v>39386</v>
      </c>
      <c r="H8216" s="1">
        <v>39421</v>
      </c>
      <c r="I8216" t="s">
        <v>12</v>
      </c>
      <c r="J8216" t="s">
        <v>18986</v>
      </c>
    </row>
    <row r="8217" spans="1:10" x14ac:dyDescent="0.25">
      <c r="A8217">
        <v>3309214</v>
      </c>
      <c r="B8217" t="s">
        <v>8685</v>
      </c>
      <c r="C8217" t="str">
        <f>"9781599046754"</f>
        <v>9781599046754</v>
      </c>
      <c r="D8217" t="str">
        <f>"9781599046778"</f>
        <v>9781599046778</v>
      </c>
      <c r="E8217" t="s">
        <v>624</v>
      </c>
      <c r="F8217" t="s">
        <v>624</v>
      </c>
      <c r="G8217" s="1">
        <v>39386</v>
      </c>
      <c r="H8217" s="1">
        <v>39421</v>
      </c>
      <c r="I8217" t="s">
        <v>12</v>
      </c>
      <c r="J8217" t="s">
        <v>18987</v>
      </c>
    </row>
    <row r="8218" spans="1:10" x14ac:dyDescent="0.25">
      <c r="A8218">
        <v>3309223</v>
      </c>
      <c r="B8218" t="s">
        <v>8686</v>
      </c>
      <c r="C8218" t="str">
        <f>"9781605665948"</f>
        <v>9781605665948</v>
      </c>
      <c r="D8218" t="str">
        <f>""</f>
        <v/>
      </c>
      <c r="E8218" t="s">
        <v>624</v>
      </c>
      <c r="F8218" t="s">
        <v>624</v>
      </c>
      <c r="G8218" s="1">
        <v>39264</v>
      </c>
      <c r="H8218" s="1">
        <v>39421</v>
      </c>
      <c r="I8218" t="s">
        <v>4869</v>
      </c>
      <c r="J8218" t="s">
        <v>18988</v>
      </c>
    </row>
    <row r="8219" spans="1:10" x14ac:dyDescent="0.25">
      <c r="A8219">
        <v>3309230</v>
      </c>
      <c r="B8219" t="s">
        <v>8687</v>
      </c>
      <c r="C8219" t="str">
        <f>"9781599046457"</f>
        <v>9781599046457</v>
      </c>
      <c r="D8219" t="str">
        <f>"9781599046471"</f>
        <v>9781599046471</v>
      </c>
      <c r="E8219" t="s">
        <v>624</v>
      </c>
      <c r="F8219" t="s">
        <v>624</v>
      </c>
      <c r="G8219" s="1">
        <v>39431</v>
      </c>
      <c r="H8219" s="1">
        <v>39421</v>
      </c>
      <c r="I8219" t="s">
        <v>12</v>
      </c>
      <c r="J8219" t="s">
        <v>18989</v>
      </c>
    </row>
    <row r="8220" spans="1:10" x14ac:dyDescent="0.25">
      <c r="A8220">
        <v>3309231</v>
      </c>
      <c r="B8220" t="s">
        <v>8688</v>
      </c>
      <c r="C8220" t="str">
        <f>"9781599046334"</f>
        <v>9781599046334</v>
      </c>
      <c r="D8220" t="str">
        <f>"9781599046358"</f>
        <v>9781599046358</v>
      </c>
      <c r="E8220" t="s">
        <v>624</v>
      </c>
      <c r="F8220" t="s">
        <v>624</v>
      </c>
      <c r="G8220" s="1">
        <v>39462</v>
      </c>
      <c r="H8220" s="1">
        <v>39421</v>
      </c>
      <c r="I8220" t="s">
        <v>12</v>
      </c>
      <c r="J8220" t="s">
        <v>18990</v>
      </c>
    </row>
    <row r="8221" spans="1:10" x14ac:dyDescent="0.25">
      <c r="A8221">
        <v>3309234</v>
      </c>
      <c r="B8221" t="s">
        <v>8689</v>
      </c>
      <c r="C8221" t="str">
        <f>"9781599045825"</f>
        <v>9781599045825</v>
      </c>
      <c r="D8221" t="str">
        <f>"9781599045849"</f>
        <v>9781599045849</v>
      </c>
      <c r="E8221" t="s">
        <v>624</v>
      </c>
      <c r="F8221" t="s">
        <v>624</v>
      </c>
      <c r="G8221" s="1">
        <v>39431</v>
      </c>
      <c r="H8221" s="1">
        <v>39421</v>
      </c>
      <c r="I8221" t="s">
        <v>12</v>
      </c>
      <c r="J8221" t="s">
        <v>18991</v>
      </c>
    </row>
    <row r="8222" spans="1:10" x14ac:dyDescent="0.25">
      <c r="A8222">
        <v>3309236</v>
      </c>
      <c r="B8222" t="s">
        <v>8690</v>
      </c>
      <c r="C8222" t="str">
        <f>"9781599049397"</f>
        <v>9781599049397</v>
      </c>
      <c r="D8222" t="str">
        <f>"9781599049403"</f>
        <v>9781599049403</v>
      </c>
      <c r="E8222" t="s">
        <v>624</v>
      </c>
      <c r="F8222" t="s">
        <v>624</v>
      </c>
      <c r="G8222" s="1">
        <v>39295</v>
      </c>
      <c r="H8222" s="1">
        <v>39717</v>
      </c>
      <c r="I8222" t="s">
        <v>12</v>
      </c>
      <c r="J8222" t="s">
        <v>18992</v>
      </c>
    </row>
    <row r="8223" spans="1:10" x14ac:dyDescent="0.25">
      <c r="A8223">
        <v>3309237</v>
      </c>
      <c r="B8223" t="s">
        <v>8691</v>
      </c>
      <c r="C8223" t="str">
        <f>"9781599043739"</f>
        <v>9781599043739</v>
      </c>
      <c r="D8223" t="str">
        <f>"9781599043753"</f>
        <v>9781599043753</v>
      </c>
      <c r="E8223" t="s">
        <v>624</v>
      </c>
      <c r="F8223" t="s">
        <v>624</v>
      </c>
      <c r="G8223" s="1">
        <v>39401</v>
      </c>
      <c r="H8223" s="1">
        <v>39421</v>
      </c>
      <c r="I8223" t="s">
        <v>12</v>
      </c>
      <c r="J8223" t="s">
        <v>18993</v>
      </c>
    </row>
    <row r="8224" spans="1:10" x14ac:dyDescent="0.25">
      <c r="A8224">
        <v>3309238</v>
      </c>
      <c r="B8224" t="s">
        <v>8692</v>
      </c>
      <c r="C8224" t="str">
        <f>"9781599047232"</f>
        <v>9781599047232</v>
      </c>
      <c r="D8224" t="str">
        <f>"9781599047256"</f>
        <v>9781599047256</v>
      </c>
      <c r="E8224" t="s">
        <v>624</v>
      </c>
      <c r="F8224" t="s">
        <v>624</v>
      </c>
      <c r="G8224" s="1">
        <v>39401</v>
      </c>
      <c r="H8224" s="1">
        <v>39421</v>
      </c>
      <c r="I8224" t="s">
        <v>12</v>
      </c>
      <c r="J8224" t="s">
        <v>18994</v>
      </c>
    </row>
    <row r="8225" spans="1:10" x14ac:dyDescent="0.25">
      <c r="A8225">
        <v>3309239</v>
      </c>
      <c r="B8225" t="s">
        <v>8693</v>
      </c>
      <c r="C8225" t="str">
        <f>"9781599045436"</f>
        <v>9781599045436</v>
      </c>
      <c r="D8225" t="str">
        <f>"9781599045450"</f>
        <v>9781599045450</v>
      </c>
      <c r="E8225" t="s">
        <v>624</v>
      </c>
      <c r="F8225" t="s">
        <v>624</v>
      </c>
      <c r="G8225" s="1">
        <v>39401</v>
      </c>
      <c r="H8225" s="1">
        <v>39421</v>
      </c>
      <c r="I8225" t="s">
        <v>12</v>
      </c>
      <c r="J8225" t="s">
        <v>18995</v>
      </c>
    </row>
    <row r="8226" spans="1:10" x14ac:dyDescent="0.25">
      <c r="A8226">
        <v>3309241</v>
      </c>
      <c r="B8226" t="s">
        <v>8694</v>
      </c>
      <c r="C8226" t="str">
        <f>"9781599045252"</f>
        <v>9781599045252</v>
      </c>
      <c r="D8226" t="str">
        <f>"9781599045276"</f>
        <v>9781599045276</v>
      </c>
      <c r="E8226" t="s">
        <v>624</v>
      </c>
      <c r="F8226" t="s">
        <v>624</v>
      </c>
      <c r="G8226" s="1">
        <v>39416</v>
      </c>
      <c r="H8226" s="1">
        <v>39471</v>
      </c>
      <c r="I8226" t="s">
        <v>12</v>
      </c>
      <c r="J8226" t="s">
        <v>18996</v>
      </c>
    </row>
    <row r="8227" spans="1:10" x14ac:dyDescent="0.25">
      <c r="A8227">
        <v>3309242</v>
      </c>
      <c r="B8227" t="s">
        <v>8695</v>
      </c>
      <c r="C8227" t="str">
        <f>"9781599049588"</f>
        <v>9781599049588</v>
      </c>
      <c r="D8227" t="str">
        <f>"9781599049595"</f>
        <v>9781599049595</v>
      </c>
      <c r="E8227" t="s">
        <v>624</v>
      </c>
      <c r="F8227" t="s">
        <v>624</v>
      </c>
      <c r="G8227" s="1">
        <v>39416</v>
      </c>
      <c r="H8227" s="1">
        <v>39471</v>
      </c>
      <c r="I8227" t="s">
        <v>12</v>
      </c>
      <c r="J8227" t="s">
        <v>18997</v>
      </c>
    </row>
    <row r="8228" spans="1:10" x14ac:dyDescent="0.25">
      <c r="A8228">
        <v>3309243</v>
      </c>
      <c r="B8228" t="s">
        <v>8696</v>
      </c>
      <c r="C8228" t="str">
        <f>"9781599047294"</f>
        <v>9781599047294</v>
      </c>
      <c r="D8228" t="str">
        <f>"9781599047317"</f>
        <v>9781599047317</v>
      </c>
      <c r="E8228" t="s">
        <v>624</v>
      </c>
      <c r="F8228" t="s">
        <v>624</v>
      </c>
      <c r="G8228" s="1">
        <v>39447</v>
      </c>
      <c r="H8228" s="1">
        <v>39471</v>
      </c>
      <c r="I8228" t="s">
        <v>12</v>
      </c>
      <c r="J8228" t="s">
        <v>18998</v>
      </c>
    </row>
    <row r="8229" spans="1:10" x14ac:dyDescent="0.25">
      <c r="A8229">
        <v>3309245</v>
      </c>
      <c r="B8229" t="s">
        <v>8697</v>
      </c>
      <c r="C8229" t="str">
        <f>"9781599046365"</f>
        <v>9781599046365</v>
      </c>
      <c r="D8229" t="str">
        <f>"9781599046389"</f>
        <v>9781599046389</v>
      </c>
      <c r="E8229" t="s">
        <v>624</v>
      </c>
      <c r="F8229" t="s">
        <v>624</v>
      </c>
      <c r="G8229" s="1">
        <v>39447</v>
      </c>
      <c r="H8229" s="1">
        <v>39471</v>
      </c>
      <c r="I8229" t="s">
        <v>12</v>
      </c>
      <c r="J8229" t="s">
        <v>18999</v>
      </c>
    </row>
    <row r="8230" spans="1:10" x14ac:dyDescent="0.25">
      <c r="A8230">
        <v>3309247</v>
      </c>
      <c r="B8230" t="s">
        <v>8698</v>
      </c>
      <c r="C8230" t="str">
        <f>"9781599048253"</f>
        <v>9781599048253</v>
      </c>
      <c r="D8230" t="str">
        <f>"9781599048277"</f>
        <v>9781599048277</v>
      </c>
      <c r="E8230" t="s">
        <v>624</v>
      </c>
      <c r="F8230" t="s">
        <v>624</v>
      </c>
      <c r="G8230" s="1">
        <v>39416</v>
      </c>
      <c r="H8230" s="1">
        <v>39471</v>
      </c>
      <c r="I8230" t="s">
        <v>12</v>
      </c>
      <c r="J8230" t="s">
        <v>19000</v>
      </c>
    </row>
    <row r="8231" spans="1:10" x14ac:dyDescent="0.25">
      <c r="A8231">
        <v>3309248</v>
      </c>
      <c r="B8231" t="s">
        <v>8699</v>
      </c>
      <c r="C8231" t="str">
        <f>"9781599048284"</f>
        <v>9781599048284</v>
      </c>
      <c r="D8231" t="str">
        <f>"9781599048307"</f>
        <v>9781599048307</v>
      </c>
      <c r="E8231" t="s">
        <v>624</v>
      </c>
      <c r="F8231" t="s">
        <v>624</v>
      </c>
      <c r="G8231" s="1">
        <v>39447</v>
      </c>
      <c r="H8231" s="1">
        <v>39471</v>
      </c>
      <c r="I8231" t="s">
        <v>12</v>
      </c>
      <c r="J8231" t="s">
        <v>19001</v>
      </c>
    </row>
    <row r="8232" spans="1:10" x14ac:dyDescent="0.25">
      <c r="A8232">
        <v>3309249</v>
      </c>
      <c r="B8232" t="s">
        <v>8700</v>
      </c>
      <c r="C8232" t="str">
        <f>"9781599048314"</f>
        <v>9781599048314</v>
      </c>
      <c r="D8232" t="str">
        <f>"9781599048338"</f>
        <v>9781599048338</v>
      </c>
      <c r="E8232" t="s">
        <v>624</v>
      </c>
      <c r="F8232" t="s">
        <v>624</v>
      </c>
      <c r="G8232" s="1">
        <v>39416</v>
      </c>
      <c r="H8232" s="1">
        <v>39471</v>
      </c>
      <c r="I8232" t="s">
        <v>12</v>
      </c>
      <c r="J8232" t="s">
        <v>19002</v>
      </c>
    </row>
    <row r="8233" spans="1:10" x14ac:dyDescent="0.25">
      <c r="A8233">
        <v>3309250</v>
      </c>
      <c r="B8233" t="s">
        <v>8701</v>
      </c>
      <c r="C8233" t="str">
        <f>"9781599042954"</f>
        <v>9781599042954</v>
      </c>
      <c r="D8233" t="str">
        <f>"9781599042978"</f>
        <v>9781599042978</v>
      </c>
      <c r="E8233" t="s">
        <v>624</v>
      </c>
      <c r="F8233" t="s">
        <v>624</v>
      </c>
      <c r="G8233" s="1">
        <v>39416</v>
      </c>
      <c r="H8233" s="1">
        <v>39471</v>
      </c>
      <c r="I8233" t="s">
        <v>12</v>
      </c>
      <c r="J8233" t="s">
        <v>19003</v>
      </c>
    </row>
    <row r="8234" spans="1:10" x14ac:dyDescent="0.25">
      <c r="A8234">
        <v>3309251</v>
      </c>
      <c r="B8234" t="s">
        <v>8702</v>
      </c>
      <c r="C8234" t="str">
        <f>"9781599048222"</f>
        <v>9781599048222</v>
      </c>
      <c r="D8234" t="str">
        <f>"9781599048246"</f>
        <v>9781599048246</v>
      </c>
      <c r="E8234" t="s">
        <v>624</v>
      </c>
      <c r="F8234" t="s">
        <v>624</v>
      </c>
      <c r="G8234" s="1">
        <v>39447</v>
      </c>
      <c r="H8234" s="1">
        <v>39471</v>
      </c>
      <c r="I8234" t="s">
        <v>12</v>
      </c>
      <c r="J8234" t="s">
        <v>19004</v>
      </c>
    </row>
    <row r="8235" spans="1:10" x14ac:dyDescent="0.25">
      <c r="A8235">
        <v>3309252</v>
      </c>
      <c r="B8235" t="s">
        <v>8703</v>
      </c>
      <c r="C8235" t="str">
        <f>"9781599040004"</f>
        <v>9781599040004</v>
      </c>
      <c r="D8235" t="str">
        <f>"9781599040011"</f>
        <v>9781599040011</v>
      </c>
      <c r="E8235" t="s">
        <v>624</v>
      </c>
      <c r="F8235" t="s">
        <v>624</v>
      </c>
      <c r="G8235" s="1">
        <v>39447</v>
      </c>
      <c r="H8235" s="1">
        <v>39471</v>
      </c>
      <c r="I8235" t="s">
        <v>12</v>
      </c>
      <c r="J8235" t="s">
        <v>19005</v>
      </c>
    </row>
    <row r="8236" spans="1:10" x14ac:dyDescent="0.25">
      <c r="A8236">
        <v>3309254</v>
      </c>
      <c r="B8236" t="s">
        <v>8704</v>
      </c>
      <c r="C8236" t="str">
        <f>"9781599044866"</f>
        <v>9781599044866</v>
      </c>
      <c r="D8236" t="str">
        <f>"9781599044880"</f>
        <v>9781599044880</v>
      </c>
      <c r="E8236" t="s">
        <v>624</v>
      </c>
      <c r="F8236" t="s">
        <v>624</v>
      </c>
      <c r="G8236" s="1">
        <v>39416</v>
      </c>
      <c r="H8236" s="1">
        <v>39471</v>
      </c>
      <c r="I8236" t="s">
        <v>12</v>
      </c>
      <c r="J8236" t="s">
        <v>19006</v>
      </c>
    </row>
    <row r="8237" spans="1:10" x14ac:dyDescent="0.25">
      <c r="A8237">
        <v>3309255</v>
      </c>
      <c r="B8237" t="s">
        <v>8705</v>
      </c>
      <c r="C8237" t="str">
        <f>"9781599049229"</f>
        <v>9781599049229</v>
      </c>
      <c r="D8237" t="str">
        <f>"9781599049250"</f>
        <v>9781599049250</v>
      </c>
      <c r="E8237" t="s">
        <v>624</v>
      </c>
      <c r="F8237" t="s">
        <v>624</v>
      </c>
      <c r="G8237" s="1">
        <v>39416</v>
      </c>
      <c r="H8237" s="1">
        <v>39471</v>
      </c>
      <c r="I8237" t="s">
        <v>12</v>
      </c>
      <c r="J8237" t="s">
        <v>19007</v>
      </c>
    </row>
    <row r="8238" spans="1:10" x14ac:dyDescent="0.25">
      <c r="A8238">
        <v>3309256</v>
      </c>
      <c r="B8238" t="s">
        <v>8706</v>
      </c>
      <c r="C8238" t="str">
        <f>"9781599045887"</f>
        <v>9781599045887</v>
      </c>
      <c r="D8238" t="str">
        <f>"9781599045900"</f>
        <v>9781599045900</v>
      </c>
      <c r="E8238" t="s">
        <v>624</v>
      </c>
      <c r="F8238" t="s">
        <v>624</v>
      </c>
      <c r="G8238" s="1">
        <v>39416</v>
      </c>
      <c r="H8238" s="1">
        <v>39725</v>
      </c>
      <c r="I8238" t="s">
        <v>12</v>
      </c>
      <c r="J8238" t="s">
        <v>19008</v>
      </c>
    </row>
    <row r="8239" spans="1:10" x14ac:dyDescent="0.25">
      <c r="A8239">
        <v>3309257</v>
      </c>
      <c r="B8239" t="s">
        <v>8707</v>
      </c>
      <c r="C8239" t="str">
        <f>"9781591407669"</f>
        <v>9781591407669</v>
      </c>
      <c r="D8239" t="str">
        <f>"9781591407683"</f>
        <v>9781591407683</v>
      </c>
      <c r="E8239" t="s">
        <v>624</v>
      </c>
      <c r="F8239" t="s">
        <v>624</v>
      </c>
      <c r="G8239" s="1">
        <v>39416</v>
      </c>
      <c r="H8239" s="1">
        <v>39471</v>
      </c>
      <c r="I8239" t="s">
        <v>12</v>
      </c>
      <c r="J8239" t="s">
        <v>19009</v>
      </c>
    </row>
    <row r="8240" spans="1:10" x14ac:dyDescent="0.25">
      <c r="A8240">
        <v>3309258</v>
      </c>
      <c r="B8240" t="s">
        <v>8708</v>
      </c>
      <c r="C8240" t="str">
        <f>"9781599049137"</f>
        <v>9781599049137</v>
      </c>
      <c r="D8240" t="str">
        <f>"9781599049571"</f>
        <v>9781599049571</v>
      </c>
      <c r="E8240" t="s">
        <v>624</v>
      </c>
      <c r="F8240" t="s">
        <v>624</v>
      </c>
      <c r="G8240" s="1">
        <v>39447</v>
      </c>
      <c r="H8240" s="1">
        <v>39471</v>
      </c>
      <c r="I8240" t="s">
        <v>12</v>
      </c>
      <c r="J8240" t="s">
        <v>19010</v>
      </c>
    </row>
    <row r="8241" spans="1:10" x14ac:dyDescent="0.25">
      <c r="A8241">
        <v>3309262</v>
      </c>
      <c r="B8241" t="s">
        <v>8709</v>
      </c>
      <c r="C8241" t="str">
        <f>"9781599048376"</f>
        <v>9781599048376</v>
      </c>
      <c r="D8241" t="str">
        <f>"9781599048390"</f>
        <v>9781599048390</v>
      </c>
      <c r="E8241" t="s">
        <v>624</v>
      </c>
      <c r="F8241" t="s">
        <v>624</v>
      </c>
      <c r="G8241" s="1">
        <v>39417</v>
      </c>
      <c r="H8241" s="1">
        <v>39534</v>
      </c>
      <c r="I8241" t="s">
        <v>12</v>
      </c>
      <c r="J8241" t="s">
        <v>19011</v>
      </c>
    </row>
    <row r="8242" spans="1:10" x14ac:dyDescent="0.25">
      <c r="A8242">
        <v>3309264</v>
      </c>
      <c r="B8242" t="s">
        <v>8710</v>
      </c>
      <c r="C8242" t="str">
        <f>"9781599047980"</f>
        <v>9781599047980</v>
      </c>
      <c r="D8242" t="str">
        <f>"9781599048000"</f>
        <v>9781599048000</v>
      </c>
      <c r="E8242" t="s">
        <v>624</v>
      </c>
      <c r="F8242" t="s">
        <v>624</v>
      </c>
      <c r="G8242" s="1">
        <v>39478</v>
      </c>
      <c r="H8242" s="1">
        <v>39534</v>
      </c>
      <c r="I8242" t="s">
        <v>12</v>
      </c>
      <c r="J8242" t="s">
        <v>19012</v>
      </c>
    </row>
    <row r="8243" spans="1:10" x14ac:dyDescent="0.25">
      <c r="A8243">
        <v>3309266</v>
      </c>
      <c r="B8243" t="s">
        <v>8711</v>
      </c>
      <c r="C8243" t="str">
        <f>"9781599048710"</f>
        <v>9781599048710</v>
      </c>
      <c r="D8243" t="str">
        <f>"9781599048727"</f>
        <v>9781599048727</v>
      </c>
      <c r="E8243" t="s">
        <v>624</v>
      </c>
      <c r="F8243" t="s">
        <v>624</v>
      </c>
      <c r="G8243" s="1">
        <v>39448</v>
      </c>
      <c r="H8243" s="1">
        <v>39534</v>
      </c>
      <c r="I8243" t="s">
        <v>12</v>
      </c>
      <c r="J8243" t="s">
        <v>19013</v>
      </c>
    </row>
    <row r="8244" spans="1:10" x14ac:dyDescent="0.25">
      <c r="A8244">
        <v>3309268</v>
      </c>
      <c r="B8244" t="s">
        <v>8712</v>
      </c>
      <c r="C8244" t="str">
        <f>"9781599047621"</f>
        <v>9781599047621</v>
      </c>
      <c r="D8244" t="str">
        <f>"9781599047645"</f>
        <v>9781599047645</v>
      </c>
      <c r="E8244" t="s">
        <v>624</v>
      </c>
      <c r="F8244" t="s">
        <v>624</v>
      </c>
      <c r="G8244" s="1">
        <v>39447</v>
      </c>
      <c r="H8244" s="1">
        <v>39534</v>
      </c>
      <c r="I8244" t="s">
        <v>12</v>
      </c>
      <c r="J8244" t="s">
        <v>19014</v>
      </c>
    </row>
    <row r="8245" spans="1:10" x14ac:dyDescent="0.25">
      <c r="A8245">
        <v>3309269</v>
      </c>
      <c r="B8245" t="s">
        <v>8713</v>
      </c>
      <c r="C8245" t="str">
        <f>"9781599047201"</f>
        <v>9781599047201</v>
      </c>
      <c r="D8245" t="str">
        <f>"9781599047225"</f>
        <v>9781599047225</v>
      </c>
      <c r="E8245" t="s">
        <v>624</v>
      </c>
      <c r="F8245" t="s">
        <v>624</v>
      </c>
      <c r="G8245" s="1">
        <v>39448</v>
      </c>
      <c r="H8245" s="1">
        <v>39725</v>
      </c>
      <c r="I8245" t="s">
        <v>12</v>
      </c>
      <c r="J8245" t="s">
        <v>19015</v>
      </c>
    </row>
    <row r="8246" spans="1:10" x14ac:dyDescent="0.25">
      <c r="A8246">
        <v>3309271</v>
      </c>
      <c r="B8246" t="s">
        <v>8714</v>
      </c>
      <c r="C8246" t="str">
        <f>"9781599045979"</f>
        <v>9781599045979</v>
      </c>
      <c r="D8246" t="str">
        <f>"9781599045993"</f>
        <v>9781599045993</v>
      </c>
      <c r="E8246" t="s">
        <v>624</v>
      </c>
      <c r="F8246" t="s">
        <v>624</v>
      </c>
      <c r="G8246" s="1">
        <v>39448</v>
      </c>
      <c r="H8246" s="1">
        <v>39534</v>
      </c>
      <c r="I8246" t="s">
        <v>12</v>
      </c>
      <c r="J8246" t="s">
        <v>19016</v>
      </c>
    </row>
    <row r="8247" spans="1:10" x14ac:dyDescent="0.25">
      <c r="A8247">
        <v>3309276</v>
      </c>
      <c r="B8247" t="s">
        <v>8715</v>
      </c>
      <c r="C8247" t="str">
        <f>"9781599048406"</f>
        <v>9781599048406</v>
      </c>
      <c r="D8247" t="str">
        <f>"9781599048420"</f>
        <v>9781599048420</v>
      </c>
      <c r="E8247" t="s">
        <v>624</v>
      </c>
      <c r="F8247" t="s">
        <v>624</v>
      </c>
      <c r="G8247" s="1">
        <v>39553</v>
      </c>
      <c r="H8247" s="1">
        <v>39534</v>
      </c>
      <c r="I8247" t="s">
        <v>12</v>
      </c>
      <c r="J8247" t="s">
        <v>19017</v>
      </c>
    </row>
    <row r="8248" spans="1:10" x14ac:dyDescent="0.25">
      <c r="A8248">
        <v>3309278</v>
      </c>
      <c r="B8248" t="s">
        <v>8716</v>
      </c>
      <c r="C8248" t="str">
        <f>"9781599048383"</f>
        <v>9781599048383</v>
      </c>
      <c r="D8248" t="str">
        <f>"9781599048413"</f>
        <v>9781599048413</v>
      </c>
      <c r="E8248" t="s">
        <v>624</v>
      </c>
      <c r="F8248" t="s">
        <v>624</v>
      </c>
      <c r="G8248" s="1">
        <v>39448</v>
      </c>
      <c r="H8248" s="1">
        <v>39534</v>
      </c>
      <c r="I8248" t="s">
        <v>12</v>
      </c>
      <c r="J8248" t="s">
        <v>19018</v>
      </c>
    </row>
    <row r="8249" spans="1:10" x14ac:dyDescent="0.25">
      <c r="A8249">
        <v>3309282</v>
      </c>
      <c r="B8249" t="s">
        <v>8717</v>
      </c>
      <c r="C8249" t="str">
        <f>"9781599048857"</f>
        <v>9781599048857</v>
      </c>
      <c r="D8249" t="str">
        <f>"9781599048864"</f>
        <v>9781599048864</v>
      </c>
      <c r="E8249" t="s">
        <v>624</v>
      </c>
      <c r="F8249" t="s">
        <v>624</v>
      </c>
      <c r="G8249" s="1">
        <v>39538</v>
      </c>
      <c r="H8249" s="1">
        <v>39771</v>
      </c>
      <c r="I8249" t="s">
        <v>12</v>
      </c>
      <c r="J8249" t="s">
        <v>19019</v>
      </c>
    </row>
    <row r="8250" spans="1:10" x14ac:dyDescent="0.25">
      <c r="A8250">
        <v>3309285</v>
      </c>
      <c r="B8250" t="s">
        <v>8718</v>
      </c>
      <c r="C8250" t="str">
        <f>"9781599049168"</f>
        <v>9781599049168</v>
      </c>
      <c r="D8250" t="str">
        <f>"9781599049199"</f>
        <v>9781599049199</v>
      </c>
      <c r="E8250" t="s">
        <v>624</v>
      </c>
      <c r="F8250" t="s">
        <v>624</v>
      </c>
      <c r="G8250" s="1">
        <v>39506</v>
      </c>
      <c r="H8250" s="1">
        <v>39771</v>
      </c>
      <c r="I8250" t="s">
        <v>12</v>
      </c>
      <c r="J8250" t="s">
        <v>19020</v>
      </c>
    </row>
    <row r="8251" spans="1:10" x14ac:dyDescent="0.25">
      <c r="A8251">
        <v>3309287</v>
      </c>
      <c r="B8251" t="s">
        <v>8719</v>
      </c>
      <c r="C8251" t="str">
        <f>"9781599046037"</f>
        <v>9781599046037</v>
      </c>
      <c r="D8251" t="str">
        <f>"9781599046051"</f>
        <v>9781599046051</v>
      </c>
      <c r="E8251" t="s">
        <v>624</v>
      </c>
      <c r="F8251" t="s">
        <v>624</v>
      </c>
      <c r="G8251" s="1">
        <v>39568</v>
      </c>
      <c r="H8251" s="1">
        <v>39604</v>
      </c>
      <c r="I8251" t="s">
        <v>12</v>
      </c>
      <c r="J8251" t="s">
        <v>19021</v>
      </c>
    </row>
    <row r="8252" spans="1:10" x14ac:dyDescent="0.25">
      <c r="A8252">
        <v>3309288</v>
      </c>
      <c r="B8252" t="s">
        <v>8720</v>
      </c>
      <c r="C8252" t="str">
        <f>"9781599048437"</f>
        <v>9781599048437</v>
      </c>
      <c r="D8252" t="str">
        <f>"9781599048444"</f>
        <v>9781599048444</v>
      </c>
      <c r="E8252" t="s">
        <v>624</v>
      </c>
      <c r="F8252" t="s">
        <v>624</v>
      </c>
      <c r="G8252" s="1">
        <v>39448</v>
      </c>
      <c r="H8252" s="1">
        <v>39771</v>
      </c>
      <c r="I8252" t="s">
        <v>12</v>
      </c>
      <c r="J8252" t="s">
        <v>19022</v>
      </c>
    </row>
    <row r="8253" spans="1:10" x14ac:dyDescent="0.25">
      <c r="A8253">
        <v>3309289</v>
      </c>
      <c r="B8253" t="s">
        <v>8721</v>
      </c>
      <c r="C8253" t="str">
        <f>"9781599042251"</f>
        <v>9781599042251</v>
      </c>
      <c r="D8253" t="str">
        <f>"9781599042275"</f>
        <v>9781599042275</v>
      </c>
      <c r="E8253" t="s">
        <v>624</v>
      </c>
      <c r="F8253" t="s">
        <v>624</v>
      </c>
      <c r="G8253" s="1">
        <v>39493</v>
      </c>
      <c r="H8253" s="1">
        <v>39604</v>
      </c>
      <c r="I8253" t="s">
        <v>12</v>
      </c>
      <c r="J8253" t="s">
        <v>19023</v>
      </c>
    </row>
    <row r="8254" spans="1:10" x14ac:dyDescent="0.25">
      <c r="A8254">
        <v>3309291</v>
      </c>
      <c r="B8254" t="s">
        <v>8722</v>
      </c>
      <c r="C8254" t="str">
        <f>"9781599045641"</f>
        <v>9781599045641</v>
      </c>
      <c r="D8254" t="str">
        <f>"9781599045665"</f>
        <v>9781599045665</v>
      </c>
      <c r="E8254" t="s">
        <v>624</v>
      </c>
      <c r="F8254" t="s">
        <v>624</v>
      </c>
      <c r="G8254" s="1">
        <v>39448</v>
      </c>
      <c r="H8254" s="1">
        <v>39604</v>
      </c>
      <c r="I8254" t="s">
        <v>12</v>
      </c>
      <c r="J8254" t="s">
        <v>19024</v>
      </c>
    </row>
    <row r="8255" spans="1:10" x14ac:dyDescent="0.25">
      <c r="A8255">
        <v>3309292</v>
      </c>
      <c r="B8255" t="s">
        <v>8723</v>
      </c>
      <c r="C8255" t="str">
        <f>"9781599048260"</f>
        <v>9781599048260</v>
      </c>
      <c r="D8255" t="str">
        <f>"9781599048291"</f>
        <v>9781599048291</v>
      </c>
      <c r="E8255" t="s">
        <v>624</v>
      </c>
      <c r="F8255" t="s">
        <v>624</v>
      </c>
      <c r="G8255" s="1">
        <v>39401</v>
      </c>
      <c r="H8255" s="1">
        <v>39604</v>
      </c>
      <c r="I8255" t="s">
        <v>12</v>
      </c>
      <c r="J8255" t="s">
        <v>19025</v>
      </c>
    </row>
    <row r="8256" spans="1:10" x14ac:dyDescent="0.25">
      <c r="A8256">
        <v>3309293</v>
      </c>
      <c r="B8256" t="s">
        <v>8724</v>
      </c>
      <c r="C8256" t="str">
        <f>"9781599047416"</f>
        <v>9781599047416</v>
      </c>
      <c r="D8256" t="str">
        <f>"9781599047430"</f>
        <v>9781599047430</v>
      </c>
      <c r="E8256" t="s">
        <v>624</v>
      </c>
      <c r="F8256" t="s">
        <v>624</v>
      </c>
      <c r="G8256" s="1">
        <v>39448</v>
      </c>
      <c r="H8256" s="1">
        <v>39604</v>
      </c>
      <c r="I8256" t="s">
        <v>12</v>
      </c>
      <c r="J8256" t="s">
        <v>19026</v>
      </c>
    </row>
    <row r="8257" spans="1:10" x14ac:dyDescent="0.25">
      <c r="A8257">
        <v>3309294</v>
      </c>
      <c r="B8257" t="s">
        <v>8725</v>
      </c>
      <c r="C8257" t="str">
        <f>"9781599049069"</f>
        <v>9781599049069</v>
      </c>
      <c r="D8257" t="str">
        <f>"9781599049083"</f>
        <v>9781599049083</v>
      </c>
      <c r="E8257" t="s">
        <v>624</v>
      </c>
      <c r="F8257" t="s">
        <v>624</v>
      </c>
      <c r="G8257" s="1">
        <v>39568</v>
      </c>
      <c r="H8257" s="1">
        <v>39604</v>
      </c>
      <c r="I8257" t="s">
        <v>12</v>
      </c>
      <c r="J8257" t="s">
        <v>19027</v>
      </c>
    </row>
    <row r="8258" spans="1:10" x14ac:dyDescent="0.25">
      <c r="A8258">
        <v>3309295</v>
      </c>
      <c r="B8258" t="s">
        <v>8726</v>
      </c>
      <c r="C8258" t="str">
        <f>"9781599047744"</f>
        <v>9781599047744</v>
      </c>
      <c r="D8258" t="str">
        <f>"9781599047768"</f>
        <v>9781599047768</v>
      </c>
      <c r="E8258" t="s">
        <v>624</v>
      </c>
      <c r="F8258" t="s">
        <v>624</v>
      </c>
      <c r="G8258" s="1">
        <v>39568</v>
      </c>
      <c r="H8258" s="1">
        <v>39604</v>
      </c>
      <c r="I8258" t="s">
        <v>12</v>
      </c>
      <c r="J8258" t="s">
        <v>19028</v>
      </c>
    </row>
    <row r="8259" spans="1:10" x14ac:dyDescent="0.25">
      <c r="A8259">
        <v>3309297</v>
      </c>
      <c r="B8259" t="s">
        <v>8727</v>
      </c>
      <c r="C8259" t="str">
        <f>"9781599042404"</f>
        <v>9781599042404</v>
      </c>
      <c r="D8259" t="str">
        <f>"9781599042428"</f>
        <v>9781599042428</v>
      </c>
      <c r="E8259" t="s">
        <v>624</v>
      </c>
      <c r="F8259" t="s">
        <v>624</v>
      </c>
      <c r="G8259" s="1">
        <v>39614</v>
      </c>
      <c r="H8259" s="1">
        <v>39604</v>
      </c>
      <c r="I8259" t="s">
        <v>12</v>
      </c>
      <c r="J8259" t="s">
        <v>19029</v>
      </c>
    </row>
    <row r="8260" spans="1:10" x14ac:dyDescent="0.25">
      <c r="A8260">
        <v>3309298</v>
      </c>
      <c r="B8260" t="s">
        <v>8728</v>
      </c>
      <c r="C8260" t="str">
        <f>"9781599047263"</f>
        <v>9781599047263</v>
      </c>
      <c r="D8260" t="str">
        <f>"9781599047287"</f>
        <v>9781599047287</v>
      </c>
      <c r="E8260" t="s">
        <v>624</v>
      </c>
      <c r="F8260" t="s">
        <v>624</v>
      </c>
      <c r="G8260" s="1">
        <v>39614</v>
      </c>
      <c r="H8260" s="1">
        <v>39604</v>
      </c>
      <c r="I8260" t="s">
        <v>12</v>
      </c>
      <c r="J8260" t="s">
        <v>19030</v>
      </c>
    </row>
    <row r="8261" spans="1:10" x14ac:dyDescent="0.25">
      <c r="A8261">
        <v>3309299</v>
      </c>
      <c r="B8261" t="s">
        <v>8729</v>
      </c>
      <c r="C8261" t="str">
        <f>"9781599047324"</f>
        <v>9781599047324</v>
      </c>
      <c r="D8261" t="str">
        <f>"9781599047348"</f>
        <v>9781599047348</v>
      </c>
      <c r="E8261" t="s">
        <v>624</v>
      </c>
      <c r="F8261" t="s">
        <v>624</v>
      </c>
      <c r="G8261" s="1">
        <v>39448</v>
      </c>
      <c r="H8261" s="1">
        <v>39604</v>
      </c>
      <c r="I8261" t="s">
        <v>12</v>
      </c>
      <c r="J8261" t="s">
        <v>19031</v>
      </c>
    </row>
    <row r="8262" spans="1:10" x14ac:dyDescent="0.25">
      <c r="A8262">
        <v>3309301</v>
      </c>
      <c r="B8262" t="s">
        <v>8730</v>
      </c>
      <c r="C8262" t="str">
        <f>"9781599047560"</f>
        <v>9781599047560</v>
      </c>
      <c r="D8262" t="str">
        <f>"9781599047584"</f>
        <v>9781599047584</v>
      </c>
      <c r="E8262" t="s">
        <v>624</v>
      </c>
      <c r="F8262" t="s">
        <v>624</v>
      </c>
      <c r="G8262" s="1">
        <v>39448</v>
      </c>
      <c r="H8262" s="1">
        <v>39604</v>
      </c>
      <c r="I8262" t="s">
        <v>12</v>
      </c>
      <c r="J8262" t="s">
        <v>19032</v>
      </c>
    </row>
    <row r="8263" spans="1:10" x14ac:dyDescent="0.25">
      <c r="A8263">
        <v>3309302</v>
      </c>
      <c r="B8263" t="s">
        <v>8731</v>
      </c>
      <c r="C8263" t="str">
        <f>"9781599047171"</f>
        <v>9781599047171</v>
      </c>
      <c r="D8263" t="str">
        <f>"9781599047195"</f>
        <v>9781599047195</v>
      </c>
      <c r="E8263" t="s">
        <v>624</v>
      </c>
      <c r="F8263" t="s">
        <v>624</v>
      </c>
      <c r="G8263" s="1">
        <v>39493</v>
      </c>
      <c r="H8263" s="1">
        <v>39604</v>
      </c>
      <c r="I8263" t="s">
        <v>12</v>
      </c>
      <c r="J8263" t="s">
        <v>19033</v>
      </c>
    </row>
    <row r="8264" spans="1:10" x14ac:dyDescent="0.25">
      <c r="A8264">
        <v>3309304</v>
      </c>
      <c r="B8264" t="s">
        <v>8732</v>
      </c>
      <c r="C8264" t="str">
        <f>"9781599048994"</f>
        <v>9781599048994</v>
      </c>
      <c r="D8264" t="str">
        <f>"9781599049007"</f>
        <v>9781599049007</v>
      </c>
      <c r="E8264" t="s">
        <v>624</v>
      </c>
      <c r="F8264" t="s">
        <v>624</v>
      </c>
      <c r="G8264" s="1">
        <v>39553</v>
      </c>
      <c r="H8264" s="1">
        <v>39604</v>
      </c>
      <c r="I8264" t="s">
        <v>12</v>
      </c>
      <c r="J8264" t="s">
        <v>19034</v>
      </c>
    </row>
    <row r="8265" spans="1:10" x14ac:dyDescent="0.25">
      <c r="A8265">
        <v>3309306</v>
      </c>
      <c r="B8265" t="s">
        <v>8733</v>
      </c>
      <c r="C8265" t="str">
        <f>"9781599048932"</f>
        <v>9781599048932</v>
      </c>
      <c r="D8265" t="str">
        <f>"9781599048949"</f>
        <v>9781599048949</v>
      </c>
      <c r="E8265" t="s">
        <v>624</v>
      </c>
      <c r="F8265" t="s">
        <v>624</v>
      </c>
      <c r="G8265" s="1">
        <v>39568</v>
      </c>
      <c r="H8265" s="1">
        <v>39604</v>
      </c>
      <c r="I8265" t="s">
        <v>12</v>
      </c>
      <c r="J8265" t="s">
        <v>19035</v>
      </c>
    </row>
    <row r="8266" spans="1:10" x14ac:dyDescent="0.25">
      <c r="A8266">
        <v>3309307</v>
      </c>
      <c r="B8266" t="s">
        <v>8734</v>
      </c>
      <c r="C8266" t="str">
        <f>"9781599047591"</f>
        <v>9781599047591</v>
      </c>
      <c r="D8266" t="str">
        <f>"9781599047614"</f>
        <v>9781599047614</v>
      </c>
      <c r="E8266" t="s">
        <v>624</v>
      </c>
      <c r="F8266" t="s">
        <v>624</v>
      </c>
      <c r="G8266" s="1">
        <v>39448</v>
      </c>
      <c r="H8266" s="1">
        <v>39723</v>
      </c>
      <c r="I8266" t="s">
        <v>12</v>
      </c>
      <c r="J8266" t="s">
        <v>19036</v>
      </c>
    </row>
    <row r="8267" spans="1:10" x14ac:dyDescent="0.25">
      <c r="A8267">
        <v>3309308</v>
      </c>
      <c r="B8267" t="s">
        <v>8735</v>
      </c>
      <c r="C8267" t="str">
        <f>"9781599047928"</f>
        <v>9781599047928</v>
      </c>
      <c r="D8267" t="str">
        <f>"9781599047942"</f>
        <v>9781599047942</v>
      </c>
      <c r="E8267" t="s">
        <v>624</v>
      </c>
      <c r="F8267" t="s">
        <v>624</v>
      </c>
      <c r="G8267" s="1">
        <v>39583</v>
      </c>
      <c r="H8267" s="1">
        <v>39604</v>
      </c>
      <c r="I8267" t="s">
        <v>12</v>
      </c>
      <c r="J8267" t="s">
        <v>19037</v>
      </c>
    </row>
    <row r="8268" spans="1:10" x14ac:dyDescent="0.25">
      <c r="A8268">
        <v>3309310</v>
      </c>
      <c r="B8268" t="s">
        <v>8736</v>
      </c>
      <c r="C8268" t="str">
        <f>"9781599048956"</f>
        <v>9781599048956</v>
      </c>
      <c r="D8268" t="str">
        <f>"9781599048963"</f>
        <v>9781599048963</v>
      </c>
      <c r="E8268" t="s">
        <v>624</v>
      </c>
      <c r="F8268" t="s">
        <v>624</v>
      </c>
      <c r="G8268" s="1">
        <v>39448</v>
      </c>
      <c r="H8268" s="1">
        <v>39604</v>
      </c>
      <c r="I8268" t="s">
        <v>12</v>
      </c>
      <c r="J8268" t="s">
        <v>19038</v>
      </c>
    </row>
    <row r="8269" spans="1:10" x14ac:dyDescent="0.25">
      <c r="A8269">
        <v>3309311</v>
      </c>
      <c r="B8269" t="s">
        <v>8737</v>
      </c>
      <c r="C8269" t="str">
        <f>"9781599048918"</f>
        <v>9781599048918</v>
      </c>
      <c r="D8269" t="str">
        <f>"9781599048925"</f>
        <v>9781599048925</v>
      </c>
      <c r="E8269" t="s">
        <v>624</v>
      </c>
      <c r="F8269" t="s">
        <v>624</v>
      </c>
      <c r="G8269" s="1">
        <v>39506</v>
      </c>
      <c r="H8269" s="1">
        <v>39604</v>
      </c>
      <c r="I8269" t="s">
        <v>12</v>
      </c>
      <c r="J8269" t="s">
        <v>19039</v>
      </c>
    </row>
    <row r="8270" spans="1:10" x14ac:dyDescent="0.25">
      <c r="A8270">
        <v>3309312</v>
      </c>
      <c r="B8270" t="s">
        <v>8738</v>
      </c>
      <c r="C8270" t="str">
        <f>"9781599048048"</f>
        <v>9781599048048</v>
      </c>
      <c r="D8270" t="str">
        <f>"9781599048062"</f>
        <v>9781599048062</v>
      </c>
      <c r="E8270" t="s">
        <v>624</v>
      </c>
      <c r="F8270" t="s">
        <v>624</v>
      </c>
      <c r="G8270" s="1">
        <v>39448</v>
      </c>
      <c r="H8270" s="1">
        <v>39604</v>
      </c>
      <c r="I8270" t="s">
        <v>12</v>
      </c>
      <c r="J8270" t="s">
        <v>19040</v>
      </c>
    </row>
    <row r="8271" spans="1:10" x14ac:dyDescent="0.25">
      <c r="A8271">
        <v>3309313</v>
      </c>
      <c r="B8271" t="s">
        <v>8739</v>
      </c>
      <c r="C8271" t="str">
        <f>"9781599045108"</f>
        <v>9781599045108</v>
      </c>
      <c r="D8271" t="str">
        <f>"9781599045122"</f>
        <v>9781599045122</v>
      </c>
      <c r="E8271" t="s">
        <v>624</v>
      </c>
      <c r="F8271" t="s">
        <v>624</v>
      </c>
      <c r="G8271" s="1">
        <v>39448</v>
      </c>
      <c r="H8271" s="1">
        <v>39771</v>
      </c>
      <c r="I8271" t="s">
        <v>12</v>
      </c>
      <c r="J8271" t="s">
        <v>19041</v>
      </c>
    </row>
    <row r="8272" spans="1:10" x14ac:dyDescent="0.25">
      <c r="A8272">
        <v>3309314</v>
      </c>
      <c r="B8272" t="s">
        <v>8740</v>
      </c>
      <c r="C8272" t="str">
        <f>"9781599048635"</f>
        <v>9781599048635</v>
      </c>
      <c r="D8272" t="str">
        <f>"9781599048642"</f>
        <v>9781599048642</v>
      </c>
      <c r="E8272" t="s">
        <v>624</v>
      </c>
      <c r="F8272" t="s">
        <v>624</v>
      </c>
      <c r="G8272" s="1">
        <v>39599</v>
      </c>
      <c r="H8272" s="1">
        <v>39633</v>
      </c>
      <c r="I8272" t="s">
        <v>12</v>
      </c>
      <c r="J8272" t="s">
        <v>19042</v>
      </c>
    </row>
    <row r="8273" spans="1:10" x14ac:dyDescent="0.25">
      <c r="A8273">
        <v>3309319</v>
      </c>
      <c r="B8273" t="s">
        <v>8741</v>
      </c>
      <c r="C8273" t="str">
        <f>"9781599045672"</f>
        <v>9781599045672</v>
      </c>
      <c r="D8273" t="str">
        <f>"9781599045696"</f>
        <v>9781599045696</v>
      </c>
      <c r="E8273" t="s">
        <v>624</v>
      </c>
      <c r="F8273" t="s">
        <v>624</v>
      </c>
      <c r="G8273" s="1">
        <v>39448</v>
      </c>
      <c r="H8273" s="1">
        <v>39639</v>
      </c>
      <c r="I8273" t="s">
        <v>12</v>
      </c>
      <c r="J8273" t="s">
        <v>19043</v>
      </c>
    </row>
    <row r="8274" spans="1:10" x14ac:dyDescent="0.25">
      <c r="A8274">
        <v>3309320</v>
      </c>
      <c r="B8274" t="s">
        <v>8742</v>
      </c>
      <c r="C8274" t="str">
        <f>"9781599047683"</f>
        <v>9781599047683</v>
      </c>
      <c r="D8274" t="str">
        <f>"9781599047706"</f>
        <v>9781599047706</v>
      </c>
      <c r="E8274" t="s">
        <v>624</v>
      </c>
      <c r="F8274" t="s">
        <v>624</v>
      </c>
      <c r="G8274" s="1">
        <v>39599</v>
      </c>
      <c r="H8274" s="1">
        <v>39633</v>
      </c>
      <c r="I8274" t="s">
        <v>12</v>
      </c>
      <c r="J8274" t="s">
        <v>19044</v>
      </c>
    </row>
    <row r="8275" spans="1:10" x14ac:dyDescent="0.25">
      <c r="A8275">
        <v>3309323</v>
      </c>
      <c r="B8275" t="s">
        <v>8743</v>
      </c>
      <c r="C8275" t="str">
        <f>"9781599047652"</f>
        <v>9781599047652</v>
      </c>
      <c r="D8275" t="str">
        <f>"9781599047676"</f>
        <v>9781599047676</v>
      </c>
      <c r="E8275" t="s">
        <v>624</v>
      </c>
      <c r="F8275" t="s">
        <v>624</v>
      </c>
      <c r="G8275" s="1">
        <v>39448</v>
      </c>
      <c r="H8275" s="1">
        <v>39633</v>
      </c>
      <c r="I8275" t="s">
        <v>12</v>
      </c>
      <c r="J8275" t="s">
        <v>19045</v>
      </c>
    </row>
    <row r="8276" spans="1:10" x14ac:dyDescent="0.25">
      <c r="A8276">
        <v>3309325</v>
      </c>
      <c r="B8276" t="s">
        <v>8744</v>
      </c>
      <c r="C8276" t="str">
        <f>"9781599049649"</f>
        <v>9781599049649</v>
      </c>
      <c r="D8276" t="str">
        <f>"9781599049656"</f>
        <v>9781599049656</v>
      </c>
      <c r="E8276" t="s">
        <v>624</v>
      </c>
      <c r="F8276" t="s">
        <v>624</v>
      </c>
      <c r="G8276" s="1">
        <v>39448</v>
      </c>
      <c r="H8276" s="1">
        <v>39633</v>
      </c>
      <c r="I8276" t="s">
        <v>12</v>
      </c>
      <c r="J8276" t="s">
        <v>19046</v>
      </c>
    </row>
    <row r="8277" spans="1:10" x14ac:dyDescent="0.25">
      <c r="A8277">
        <v>3309329</v>
      </c>
      <c r="B8277" t="s">
        <v>8745</v>
      </c>
      <c r="C8277" t="str">
        <f>"9781599048161"</f>
        <v>9781599048161</v>
      </c>
      <c r="D8277" t="str">
        <f>"9781599048185"</f>
        <v>9781599048185</v>
      </c>
      <c r="E8277" t="s">
        <v>624</v>
      </c>
      <c r="F8277" t="s">
        <v>624</v>
      </c>
      <c r="G8277" s="1">
        <v>39448</v>
      </c>
      <c r="H8277" s="1">
        <v>39639</v>
      </c>
      <c r="I8277" t="s">
        <v>12</v>
      </c>
      <c r="J8277" t="s">
        <v>19047</v>
      </c>
    </row>
    <row r="8278" spans="1:10" x14ac:dyDescent="0.25">
      <c r="A8278">
        <v>3309337</v>
      </c>
      <c r="B8278" t="s">
        <v>8746</v>
      </c>
      <c r="C8278" t="str">
        <f>"9781599049557"</f>
        <v>9781599049557</v>
      </c>
      <c r="D8278" t="str">
        <f>"9781599049564"</f>
        <v>9781599049564</v>
      </c>
      <c r="E8278" t="s">
        <v>624</v>
      </c>
      <c r="F8278" t="s">
        <v>624</v>
      </c>
      <c r="G8278" s="1">
        <v>39599</v>
      </c>
      <c r="H8278" s="1">
        <v>39637</v>
      </c>
      <c r="I8278" t="s">
        <v>12</v>
      </c>
      <c r="J8278" t="s">
        <v>19048</v>
      </c>
    </row>
    <row r="8279" spans="1:10" x14ac:dyDescent="0.25">
      <c r="A8279">
        <v>3309342</v>
      </c>
      <c r="B8279" t="s">
        <v>8747</v>
      </c>
      <c r="C8279" t="str">
        <f>"9781599049700"</f>
        <v>9781599049700</v>
      </c>
      <c r="D8279" t="str">
        <f>"9781599049717"</f>
        <v>9781599049717</v>
      </c>
      <c r="E8279" t="s">
        <v>624</v>
      </c>
      <c r="F8279" t="s">
        <v>624</v>
      </c>
      <c r="G8279" s="1">
        <v>39448</v>
      </c>
      <c r="H8279" s="1">
        <v>39654</v>
      </c>
      <c r="I8279" t="s">
        <v>12</v>
      </c>
      <c r="J8279" t="s">
        <v>19049</v>
      </c>
    </row>
    <row r="8280" spans="1:10" x14ac:dyDescent="0.25">
      <c r="A8280">
        <v>3309347</v>
      </c>
      <c r="B8280" t="s">
        <v>8748</v>
      </c>
      <c r="C8280" t="str">
        <f>"9781599049984"</f>
        <v>9781599049984</v>
      </c>
      <c r="D8280" t="str">
        <f>"9781599049991"</f>
        <v>9781599049991</v>
      </c>
      <c r="E8280" t="s">
        <v>624</v>
      </c>
      <c r="F8280" t="s">
        <v>624</v>
      </c>
      <c r="G8280" s="1">
        <v>39660</v>
      </c>
      <c r="H8280" s="1">
        <v>39681</v>
      </c>
      <c r="I8280" t="s">
        <v>12</v>
      </c>
      <c r="J8280" t="s">
        <v>19050</v>
      </c>
    </row>
    <row r="8281" spans="1:10" x14ac:dyDescent="0.25">
      <c r="A8281">
        <v>3309349</v>
      </c>
      <c r="B8281" t="s">
        <v>8749</v>
      </c>
      <c r="C8281" t="str">
        <f>"9781599048970"</f>
        <v>9781599048970</v>
      </c>
      <c r="D8281" t="str">
        <f>"9781599048987"</f>
        <v>9781599048987</v>
      </c>
      <c r="E8281" t="s">
        <v>624</v>
      </c>
      <c r="F8281" t="s">
        <v>624</v>
      </c>
      <c r="G8281" s="1">
        <v>39448</v>
      </c>
      <c r="H8281" s="1">
        <v>39682</v>
      </c>
      <c r="I8281" t="s">
        <v>12</v>
      </c>
      <c r="J8281" t="s">
        <v>19051</v>
      </c>
    </row>
    <row r="8282" spans="1:10" x14ac:dyDescent="0.25">
      <c r="A8282">
        <v>3309351</v>
      </c>
      <c r="B8282" t="s">
        <v>8750</v>
      </c>
      <c r="C8282" t="str">
        <f>"9781599048611"</f>
        <v>9781599048611</v>
      </c>
      <c r="D8282" t="str">
        <f>"9781599048628"</f>
        <v>9781599048628</v>
      </c>
      <c r="E8282" t="s">
        <v>624</v>
      </c>
      <c r="F8282" t="s">
        <v>624</v>
      </c>
      <c r="G8282" s="1">
        <v>39448</v>
      </c>
      <c r="H8282" s="1">
        <v>39681</v>
      </c>
      <c r="I8282" t="s">
        <v>12</v>
      </c>
      <c r="J8282" t="s">
        <v>19052</v>
      </c>
    </row>
    <row r="8283" spans="1:10" x14ac:dyDescent="0.25">
      <c r="A8283">
        <v>3309353</v>
      </c>
      <c r="B8283" t="s">
        <v>8751</v>
      </c>
      <c r="C8283" t="str">
        <f>"9781599049946"</f>
        <v>9781599049946</v>
      </c>
      <c r="D8283" t="str">
        <f>"9781599049953"</f>
        <v>9781599049953</v>
      </c>
      <c r="E8283" t="s">
        <v>624</v>
      </c>
      <c r="F8283" t="s">
        <v>624</v>
      </c>
      <c r="G8283" s="1">
        <v>39660</v>
      </c>
      <c r="H8283" s="1">
        <v>39680</v>
      </c>
      <c r="I8283" t="s">
        <v>12</v>
      </c>
      <c r="J8283" t="s">
        <v>19053</v>
      </c>
    </row>
    <row r="8284" spans="1:10" x14ac:dyDescent="0.25">
      <c r="A8284">
        <v>3309369</v>
      </c>
      <c r="B8284" t="s">
        <v>8752</v>
      </c>
      <c r="C8284" t="str">
        <f>"9781599049885"</f>
        <v>9781599049885</v>
      </c>
      <c r="D8284" t="str">
        <f>"9781599049892"</f>
        <v>9781599049892</v>
      </c>
      <c r="E8284" t="s">
        <v>624</v>
      </c>
      <c r="F8284" t="s">
        <v>624</v>
      </c>
      <c r="G8284" s="1">
        <v>39814</v>
      </c>
      <c r="H8284" s="1">
        <v>39723</v>
      </c>
      <c r="I8284" t="s">
        <v>12</v>
      </c>
      <c r="J8284" t="s">
        <v>19054</v>
      </c>
    </row>
    <row r="8285" spans="1:10" x14ac:dyDescent="0.25">
      <c r="A8285">
        <v>3309402</v>
      </c>
      <c r="B8285" t="s">
        <v>8753</v>
      </c>
      <c r="C8285" t="str">
        <f>"9781605660202"</f>
        <v>9781605660202</v>
      </c>
      <c r="D8285" t="str">
        <f>"9781605660219"</f>
        <v>9781605660219</v>
      </c>
      <c r="E8285" t="s">
        <v>624</v>
      </c>
      <c r="F8285" t="s">
        <v>624</v>
      </c>
      <c r="G8285" s="1">
        <v>39721</v>
      </c>
      <c r="H8285" s="1">
        <v>39771</v>
      </c>
      <c r="I8285" t="s">
        <v>12</v>
      </c>
      <c r="J8285" t="s">
        <v>19055</v>
      </c>
    </row>
    <row r="8286" spans="1:10" x14ac:dyDescent="0.25">
      <c r="A8286">
        <v>3309421</v>
      </c>
      <c r="B8286" t="s">
        <v>8754</v>
      </c>
      <c r="C8286" t="str">
        <f>"9781605661261"</f>
        <v>9781605661261</v>
      </c>
      <c r="D8286" t="str">
        <f>"9781605661278"</f>
        <v>9781605661278</v>
      </c>
      <c r="E8286" t="s">
        <v>624</v>
      </c>
      <c r="F8286" t="s">
        <v>624</v>
      </c>
      <c r="G8286" s="1">
        <v>39813</v>
      </c>
      <c r="H8286" s="1">
        <v>39779</v>
      </c>
      <c r="I8286" t="s">
        <v>12</v>
      </c>
      <c r="J8286" t="s">
        <v>19056</v>
      </c>
    </row>
    <row r="8287" spans="1:10" x14ac:dyDescent="0.25">
      <c r="A8287">
        <v>3309445</v>
      </c>
      <c r="B8287" t="s">
        <v>8755</v>
      </c>
      <c r="C8287" t="str">
        <f>"9781605660547"</f>
        <v>9781605660547</v>
      </c>
      <c r="D8287" t="str">
        <f>"9781605660554"</f>
        <v>9781605660554</v>
      </c>
      <c r="E8287" t="s">
        <v>624</v>
      </c>
      <c r="F8287" t="s">
        <v>624</v>
      </c>
      <c r="G8287" s="1">
        <v>39782</v>
      </c>
      <c r="H8287" s="1">
        <v>39788</v>
      </c>
      <c r="I8287" t="s">
        <v>12</v>
      </c>
      <c r="J8287" t="s">
        <v>19057</v>
      </c>
    </row>
    <row r="8288" spans="1:10" x14ac:dyDescent="0.25">
      <c r="A8288">
        <v>3309497</v>
      </c>
      <c r="B8288" t="s">
        <v>8756</v>
      </c>
      <c r="C8288" t="str">
        <f>"9781605660561"</f>
        <v>9781605660561</v>
      </c>
      <c r="D8288" t="str">
        <f>"9781605660578"</f>
        <v>9781605660578</v>
      </c>
      <c r="E8288" t="s">
        <v>624</v>
      </c>
      <c r="F8288" t="s">
        <v>624</v>
      </c>
      <c r="G8288" s="1">
        <v>39813</v>
      </c>
      <c r="H8288" s="1">
        <v>39820</v>
      </c>
      <c r="I8288" t="s">
        <v>12</v>
      </c>
      <c r="J8288" t="s">
        <v>19058</v>
      </c>
    </row>
    <row r="8289" spans="1:10" x14ac:dyDescent="0.25">
      <c r="A8289">
        <v>3309553</v>
      </c>
      <c r="B8289" t="s">
        <v>8757</v>
      </c>
      <c r="C8289" t="str">
        <f>"9781605662763"</f>
        <v>9781605662763</v>
      </c>
      <c r="D8289" t="str">
        <f>"9781605662770"</f>
        <v>9781605662770</v>
      </c>
      <c r="E8289" t="s">
        <v>624</v>
      </c>
      <c r="F8289" t="s">
        <v>624</v>
      </c>
      <c r="G8289" s="1">
        <v>40021</v>
      </c>
      <c r="H8289" s="1">
        <v>39935</v>
      </c>
      <c r="I8289" t="s">
        <v>12</v>
      </c>
      <c r="J8289" t="s">
        <v>19059</v>
      </c>
    </row>
    <row r="8290" spans="1:10" x14ac:dyDescent="0.25">
      <c r="A8290">
        <v>3309574</v>
      </c>
      <c r="B8290" t="s">
        <v>8758</v>
      </c>
      <c r="C8290" t="str">
        <f>"9781605662527"</f>
        <v>9781605662527</v>
      </c>
      <c r="D8290" t="str">
        <f>"9781605662534"</f>
        <v>9781605662534</v>
      </c>
      <c r="E8290" t="s">
        <v>624</v>
      </c>
      <c r="F8290" t="s">
        <v>624</v>
      </c>
      <c r="G8290" s="1">
        <v>40102</v>
      </c>
      <c r="H8290" s="1">
        <v>39977</v>
      </c>
      <c r="I8290" t="s">
        <v>12</v>
      </c>
      <c r="J8290" t="s">
        <v>19060</v>
      </c>
    </row>
    <row r="8291" spans="1:10" x14ac:dyDescent="0.25">
      <c r="A8291">
        <v>3309580</v>
      </c>
      <c r="B8291" t="s">
        <v>8759</v>
      </c>
      <c r="C8291" t="str">
        <f>"9781605666525"</f>
        <v>9781605666525</v>
      </c>
      <c r="D8291" t="str">
        <f>"9781605666532"</f>
        <v>9781605666532</v>
      </c>
      <c r="E8291" t="s">
        <v>624</v>
      </c>
      <c r="F8291" t="s">
        <v>624</v>
      </c>
      <c r="G8291" s="1">
        <v>39964</v>
      </c>
      <c r="H8291" s="1">
        <v>39977</v>
      </c>
      <c r="I8291" t="s">
        <v>12</v>
      </c>
      <c r="J8291" t="s">
        <v>19061</v>
      </c>
    </row>
    <row r="8292" spans="1:10" x14ac:dyDescent="0.25">
      <c r="A8292">
        <v>3309584</v>
      </c>
      <c r="B8292" t="s">
        <v>8760</v>
      </c>
      <c r="C8292" t="str">
        <f>"9781605666631"</f>
        <v>9781605666631</v>
      </c>
      <c r="D8292" t="str">
        <f>"9781605666648"</f>
        <v>9781605666648</v>
      </c>
      <c r="E8292" t="s">
        <v>624</v>
      </c>
      <c r="F8292" t="s">
        <v>624</v>
      </c>
      <c r="G8292" s="1">
        <v>39814</v>
      </c>
      <c r="H8292" s="1">
        <v>39977</v>
      </c>
      <c r="I8292" t="s">
        <v>12</v>
      </c>
      <c r="J8292" t="s">
        <v>19062</v>
      </c>
    </row>
    <row r="8293" spans="1:10" x14ac:dyDescent="0.25">
      <c r="A8293">
        <v>3309594</v>
      </c>
      <c r="B8293" t="s">
        <v>8761</v>
      </c>
      <c r="C8293" t="str">
        <f>"9781605662886"</f>
        <v>9781605662886</v>
      </c>
      <c r="D8293" t="str">
        <f>"9781605662893"</f>
        <v>9781605662893</v>
      </c>
      <c r="E8293" t="s">
        <v>624</v>
      </c>
      <c r="F8293" t="s">
        <v>624</v>
      </c>
      <c r="G8293" s="1">
        <v>39814</v>
      </c>
      <c r="H8293" s="1">
        <v>39984</v>
      </c>
      <c r="I8293" t="s">
        <v>12</v>
      </c>
      <c r="J8293" t="s">
        <v>19063</v>
      </c>
    </row>
    <row r="8294" spans="1:10" x14ac:dyDescent="0.25">
      <c r="A8294">
        <v>3309602</v>
      </c>
      <c r="B8294" t="s">
        <v>8762</v>
      </c>
      <c r="C8294" t="str">
        <f>"9781605663968"</f>
        <v>9781605663968</v>
      </c>
      <c r="D8294" t="str">
        <f>"9781605663975"</f>
        <v>9781605663975</v>
      </c>
      <c r="E8294" t="s">
        <v>624</v>
      </c>
      <c r="F8294" t="s">
        <v>624</v>
      </c>
      <c r="G8294" s="1">
        <v>40094</v>
      </c>
      <c r="H8294" s="1">
        <v>39984</v>
      </c>
      <c r="I8294" t="s">
        <v>12</v>
      </c>
      <c r="J8294" t="s">
        <v>19064</v>
      </c>
    </row>
    <row r="8295" spans="1:10" x14ac:dyDescent="0.25">
      <c r="A8295">
        <v>3309603</v>
      </c>
      <c r="B8295" t="s">
        <v>8763</v>
      </c>
      <c r="C8295" t="str">
        <f>"9781605666891"</f>
        <v>9781605666891</v>
      </c>
      <c r="D8295" t="str">
        <f>"9781605666907"</f>
        <v>9781605666907</v>
      </c>
      <c r="E8295" t="s">
        <v>624</v>
      </c>
      <c r="F8295" t="s">
        <v>624</v>
      </c>
      <c r="G8295" s="1">
        <v>40179</v>
      </c>
      <c r="H8295" s="1">
        <v>40012</v>
      </c>
      <c r="I8295" t="s">
        <v>12</v>
      </c>
      <c r="J8295" t="s">
        <v>19065</v>
      </c>
    </row>
    <row r="8296" spans="1:10" x14ac:dyDescent="0.25">
      <c r="A8296">
        <v>3309605</v>
      </c>
      <c r="B8296" t="s">
        <v>8764</v>
      </c>
      <c r="C8296" t="str">
        <f>"9781605667157"</f>
        <v>9781605667157</v>
      </c>
      <c r="D8296" t="str">
        <f>"9781605667164"</f>
        <v>9781605667164</v>
      </c>
      <c r="E8296" t="s">
        <v>624</v>
      </c>
      <c r="F8296" t="s">
        <v>624</v>
      </c>
      <c r="G8296" s="1">
        <v>39814</v>
      </c>
      <c r="H8296" s="1">
        <v>40012</v>
      </c>
      <c r="I8296" t="s">
        <v>12</v>
      </c>
      <c r="J8296" t="s">
        <v>19066</v>
      </c>
    </row>
    <row r="8297" spans="1:10" x14ac:dyDescent="0.25">
      <c r="A8297">
        <v>3309611</v>
      </c>
      <c r="B8297" t="s">
        <v>8765</v>
      </c>
      <c r="C8297" t="str">
        <f>"9781605667119"</f>
        <v>9781605667119</v>
      </c>
      <c r="D8297" t="str">
        <f>"9781605667126"</f>
        <v>9781605667126</v>
      </c>
      <c r="E8297" t="s">
        <v>624</v>
      </c>
      <c r="F8297" t="s">
        <v>624</v>
      </c>
      <c r="G8297" s="1">
        <v>40025</v>
      </c>
      <c r="H8297" s="1">
        <v>40036</v>
      </c>
      <c r="I8297" t="s">
        <v>12</v>
      </c>
      <c r="J8297" t="s">
        <v>19067</v>
      </c>
    </row>
    <row r="8298" spans="1:10" x14ac:dyDescent="0.25">
      <c r="A8298">
        <v>3309614</v>
      </c>
      <c r="B8298" t="s">
        <v>8766</v>
      </c>
      <c r="C8298" t="str">
        <f>"9781605666839"</f>
        <v>9781605666839</v>
      </c>
      <c r="D8298" t="str">
        <f>"9781605666846"</f>
        <v>9781605666846</v>
      </c>
      <c r="E8298" t="s">
        <v>624</v>
      </c>
      <c r="F8298" t="s">
        <v>624</v>
      </c>
      <c r="G8298" s="1">
        <v>40025</v>
      </c>
      <c r="H8298" s="1">
        <v>40036</v>
      </c>
      <c r="I8298" t="s">
        <v>12</v>
      </c>
      <c r="J8298" t="s">
        <v>19068</v>
      </c>
    </row>
    <row r="8299" spans="1:10" x14ac:dyDescent="0.25">
      <c r="A8299">
        <v>3309618</v>
      </c>
      <c r="B8299" t="s">
        <v>8767</v>
      </c>
      <c r="C8299" t="str">
        <f>"9781605666792"</f>
        <v>9781605666792</v>
      </c>
      <c r="D8299" t="str">
        <f>"9781605666808"</f>
        <v>9781605666808</v>
      </c>
      <c r="E8299" t="s">
        <v>624</v>
      </c>
      <c r="F8299" t="s">
        <v>624</v>
      </c>
      <c r="G8299" s="1">
        <v>40025</v>
      </c>
      <c r="H8299" s="1">
        <v>40036</v>
      </c>
      <c r="I8299" t="s">
        <v>12</v>
      </c>
      <c r="J8299" t="s">
        <v>19069</v>
      </c>
    </row>
    <row r="8300" spans="1:10" x14ac:dyDescent="0.25">
      <c r="A8300">
        <v>3310218</v>
      </c>
      <c r="B8300" t="s">
        <v>8768</v>
      </c>
      <c r="C8300" t="str">
        <f>"9781605666778"</f>
        <v>9781605666778</v>
      </c>
      <c r="D8300" t="str">
        <f>"9781605666785"</f>
        <v>9781605666785</v>
      </c>
      <c r="E8300" t="s">
        <v>624</v>
      </c>
      <c r="F8300" t="s">
        <v>624</v>
      </c>
      <c r="G8300" s="1">
        <v>40056</v>
      </c>
      <c r="H8300" s="1">
        <v>40096</v>
      </c>
      <c r="I8300" t="s">
        <v>12</v>
      </c>
      <c r="J8300" t="s">
        <v>19070</v>
      </c>
    </row>
    <row r="8301" spans="1:10" x14ac:dyDescent="0.25">
      <c r="A8301">
        <v>3310219</v>
      </c>
      <c r="B8301" t="s">
        <v>8769</v>
      </c>
      <c r="C8301" t="str">
        <f>"9781605666655"</f>
        <v>9781605666655</v>
      </c>
      <c r="D8301" t="str">
        <f>"9781605666662"</f>
        <v>9781605666662</v>
      </c>
      <c r="E8301" t="s">
        <v>624</v>
      </c>
      <c r="F8301" t="s">
        <v>624</v>
      </c>
      <c r="G8301" s="1">
        <v>39995</v>
      </c>
      <c r="H8301" s="1">
        <v>40096</v>
      </c>
      <c r="I8301" t="s">
        <v>12</v>
      </c>
      <c r="J8301" t="s">
        <v>19071</v>
      </c>
    </row>
    <row r="8302" spans="1:10" x14ac:dyDescent="0.25">
      <c r="A8302">
        <v>3310220</v>
      </c>
      <c r="B8302" t="s">
        <v>8770</v>
      </c>
      <c r="C8302" t="str">
        <f>"9781605667843"</f>
        <v>9781605667843</v>
      </c>
      <c r="D8302" t="str">
        <f>"9781605667850"</f>
        <v>9781605667850</v>
      </c>
      <c r="E8302" t="s">
        <v>624</v>
      </c>
      <c r="F8302" t="s">
        <v>624</v>
      </c>
      <c r="G8302" s="1">
        <v>40026</v>
      </c>
      <c r="H8302" s="1">
        <v>40096</v>
      </c>
      <c r="I8302" t="s">
        <v>12</v>
      </c>
      <c r="J8302" t="s">
        <v>19072</v>
      </c>
    </row>
    <row r="8303" spans="1:10" x14ac:dyDescent="0.25">
      <c r="A8303">
        <v>3310221</v>
      </c>
      <c r="B8303" t="s">
        <v>8771</v>
      </c>
      <c r="C8303" t="str">
        <f>"9781605668307"</f>
        <v>9781605668307</v>
      </c>
      <c r="D8303" t="str">
        <f>"9781605668314"</f>
        <v>9781605668314</v>
      </c>
      <c r="E8303" t="s">
        <v>624</v>
      </c>
      <c r="F8303" t="s">
        <v>624</v>
      </c>
      <c r="G8303" s="1">
        <v>40056</v>
      </c>
      <c r="H8303" s="1">
        <v>40096</v>
      </c>
      <c r="I8303" t="s">
        <v>12</v>
      </c>
      <c r="J8303" t="s">
        <v>19073</v>
      </c>
    </row>
    <row r="8304" spans="1:10" x14ac:dyDescent="0.25">
      <c r="A8304">
        <v>3310224</v>
      </c>
      <c r="B8304" t="s">
        <v>8772</v>
      </c>
      <c r="C8304" t="str">
        <f>"9781605667805"</f>
        <v>9781605667805</v>
      </c>
      <c r="D8304" t="str">
        <f>"9781605667812"</f>
        <v>9781605667812</v>
      </c>
      <c r="E8304" t="s">
        <v>624</v>
      </c>
      <c r="F8304" t="s">
        <v>624</v>
      </c>
      <c r="G8304" s="1">
        <v>40026</v>
      </c>
      <c r="H8304" s="1">
        <v>40096</v>
      </c>
      <c r="I8304" t="s">
        <v>12</v>
      </c>
      <c r="J8304" t="s">
        <v>19074</v>
      </c>
    </row>
    <row r="8305" spans="1:10" x14ac:dyDescent="0.25">
      <c r="A8305">
        <v>3310231</v>
      </c>
      <c r="B8305" t="s">
        <v>8773</v>
      </c>
      <c r="C8305" t="str">
        <f>"9781605667867"</f>
        <v>9781605667867</v>
      </c>
      <c r="D8305" t="str">
        <f>"9781605667874"</f>
        <v>9781605667874</v>
      </c>
      <c r="E8305" t="s">
        <v>624</v>
      </c>
      <c r="F8305" t="s">
        <v>624</v>
      </c>
      <c r="G8305" s="1">
        <v>40056</v>
      </c>
      <c r="H8305" s="1">
        <v>40096</v>
      </c>
      <c r="I8305" t="s">
        <v>12</v>
      </c>
      <c r="J8305" t="s">
        <v>19075</v>
      </c>
    </row>
    <row r="8306" spans="1:10" x14ac:dyDescent="0.25">
      <c r="A8306">
        <v>3310232</v>
      </c>
      <c r="B8306" t="s">
        <v>8774</v>
      </c>
      <c r="C8306" t="str">
        <f>"9781605667232"</f>
        <v>9781605667232</v>
      </c>
      <c r="D8306" t="str">
        <f>"9781605667249"</f>
        <v>9781605667249</v>
      </c>
      <c r="E8306" t="s">
        <v>624</v>
      </c>
      <c r="F8306" t="s">
        <v>624</v>
      </c>
      <c r="G8306" s="1">
        <v>40056</v>
      </c>
      <c r="H8306" s="1">
        <v>40096</v>
      </c>
      <c r="I8306" t="s">
        <v>12</v>
      </c>
      <c r="J8306" t="s">
        <v>19076</v>
      </c>
    </row>
    <row r="8307" spans="1:10" x14ac:dyDescent="0.25">
      <c r="A8307">
        <v>3310234</v>
      </c>
      <c r="B8307" t="s">
        <v>8775</v>
      </c>
      <c r="C8307" t="str">
        <f>"9781605667270"</f>
        <v>9781605667270</v>
      </c>
      <c r="D8307" t="str">
        <f>"9781605667287"</f>
        <v>9781605667287</v>
      </c>
      <c r="E8307" t="s">
        <v>624</v>
      </c>
      <c r="F8307" t="s">
        <v>624</v>
      </c>
      <c r="G8307" s="1">
        <v>40056</v>
      </c>
      <c r="H8307" s="1">
        <v>40096</v>
      </c>
      <c r="I8307" t="s">
        <v>12</v>
      </c>
      <c r="J8307" t="s">
        <v>19077</v>
      </c>
    </row>
    <row r="8308" spans="1:10" x14ac:dyDescent="0.25">
      <c r="A8308">
        <v>3310235</v>
      </c>
      <c r="B8308" t="s">
        <v>8776</v>
      </c>
      <c r="C8308" t="str">
        <f>"9781605667522"</f>
        <v>9781605667522</v>
      </c>
      <c r="D8308" t="str">
        <f>"9781605667539"</f>
        <v>9781605667539</v>
      </c>
      <c r="E8308" t="s">
        <v>624</v>
      </c>
      <c r="F8308" t="s">
        <v>624</v>
      </c>
      <c r="G8308" s="1">
        <v>40056</v>
      </c>
      <c r="H8308" s="1">
        <v>40096</v>
      </c>
      <c r="I8308" t="s">
        <v>12</v>
      </c>
      <c r="J8308" t="s">
        <v>19078</v>
      </c>
    </row>
    <row r="8309" spans="1:10" x14ac:dyDescent="0.25">
      <c r="A8309">
        <v>3314996</v>
      </c>
      <c r="B8309" t="s">
        <v>8777</v>
      </c>
      <c r="C8309" t="str">
        <f>"9781931576635"</f>
        <v>9781931576635</v>
      </c>
      <c r="D8309" t="str">
        <f>"9781607525547"</f>
        <v>9781607525547</v>
      </c>
      <c r="E8309" t="s">
        <v>8778</v>
      </c>
      <c r="F8309" t="s">
        <v>8779</v>
      </c>
      <c r="G8309" s="1">
        <v>37257</v>
      </c>
      <c r="H8309" s="1">
        <v>40498</v>
      </c>
      <c r="I8309" t="s">
        <v>12</v>
      </c>
      <c r="J8309" t="s">
        <v>19079</v>
      </c>
    </row>
    <row r="8310" spans="1:10" x14ac:dyDescent="0.25">
      <c r="A8310">
        <v>3314997</v>
      </c>
      <c r="B8310" t="s">
        <v>8780</v>
      </c>
      <c r="C8310" t="str">
        <f>"9781930608054"</f>
        <v>9781930608054</v>
      </c>
      <c r="D8310" t="str">
        <f>"9781607525318"</f>
        <v>9781607525318</v>
      </c>
      <c r="E8310" t="s">
        <v>8778</v>
      </c>
      <c r="F8310" t="s">
        <v>8779</v>
      </c>
      <c r="G8310" s="1">
        <v>36770</v>
      </c>
      <c r="H8310" s="1">
        <v>40498</v>
      </c>
      <c r="I8310" t="s">
        <v>12</v>
      </c>
      <c r="J8310" t="s">
        <v>19080</v>
      </c>
    </row>
    <row r="8311" spans="1:10" x14ac:dyDescent="0.25">
      <c r="A8311">
        <v>3315005</v>
      </c>
      <c r="B8311" t="s">
        <v>8781</v>
      </c>
      <c r="C8311" t="str">
        <f>"9781593113230"</f>
        <v>9781593113230</v>
      </c>
      <c r="D8311" t="str">
        <f>"9781607526681"</f>
        <v>9781607526681</v>
      </c>
      <c r="E8311" t="s">
        <v>8778</v>
      </c>
      <c r="F8311" t="s">
        <v>8779</v>
      </c>
      <c r="G8311" s="1">
        <v>38412</v>
      </c>
      <c r="H8311" s="1">
        <v>40498</v>
      </c>
      <c r="I8311" t="s">
        <v>12</v>
      </c>
      <c r="J8311" t="s">
        <v>19081</v>
      </c>
    </row>
    <row r="8312" spans="1:10" x14ac:dyDescent="0.25">
      <c r="A8312">
        <v>3315006</v>
      </c>
      <c r="B8312" t="s">
        <v>8782</v>
      </c>
      <c r="C8312" t="str">
        <f>"9781593112219"</f>
        <v>9781593112219</v>
      </c>
      <c r="D8312" t="str">
        <f>"9781607525011"</f>
        <v>9781607525011</v>
      </c>
      <c r="E8312" t="s">
        <v>8778</v>
      </c>
      <c r="F8312" t="s">
        <v>8779</v>
      </c>
      <c r="G8312" s="1">
        <v>38412</v>
      </c>
      <c r="H8312" s="1">
        <v>40498</v>
      </c>
      <c r="I8312" t="s">
        <v>12</v>
      </c>
      <c r="J8312" t="s">
        <v>19082</v>
      </c>
    </row>
    <row r="8313" spans="1:10" x14ac:dyDescent="0.25">
      <c r="A8313">
        <v>3315008</v>
      </c>
      <c r="B8313" t="s">
        <v>8783</v>
      </c>
      <c r="C8313" t="str">
        <f>"9781593110369"</f>
        <v>9781593110369</v>
      </c>
      <c r="D8313" t="str">
        <f>"9781607527640"</f>
        <v>9781607527640</v>
      </c>
      <c r="E8313" t="s">
        <v>8778</v>
      </c>
      <c r="F8313" t="s">
        <v>8779</v>
      </c>
      <c r="G8313" s="1">
        <v>37622</v>
      </c>
      <c r="H8313" s="1">
        <v>40498</v>
      </c>
      <c r="I8313" t="s">
        <v>12</v>
      </c>
      <c r="J8313" t="s">
        <v>19083</v>
      </c>
    </row>
    <row r="8314" spans="1:10" x14ac:dyDescent="0.25">
      <c r="A8314">
        <v>3315046</v>
      </c>
      <c r="B8314" t="s">
        <v>8784</v>
      </c>
      <c r="C8314" t="str">
        <f>"9781593111540"</f>
        <v>9781593111540</v>
      </c>
      <c r="D8314" t="str">
        <f>"9781607524816"</f>
        <v>9781607524816</v>
      </c>
      <c r="E8314" t="s">
        <v>8778</v>
      </c>
      <c r="F8314" t="s">
        <v>8779</v>
      </c>
      <c r="G8314" s="1">
        <v>38231</v>
      </c>
      <c r="H8314" s="1">
        <v>40498</v>
      </c>
      <c r="I8314" t="s">
        <v>12</v>
      </c>
      <c r="J8314" t="s">
        <v>19084</v>
      </c>
    </row>
    <row r="8315" spans="1:10" x14ac:dyDescent="0.25">
      <c r="A8315">
        <v>3315058</v>
      </c>
      <c r="B8315" t="s">
        <v>8785</v>
      </c>
      <c r="C8315" t="str">
        <f>"9781930608429"</f>
        <v>9781930608429</v>
      </c>
      <c r="D8315" t="str">
        <f>"9781607527572"</f>
        <v>9781607527572</v>
      </c>
      <c r="E8315" t="s">
        <v>8778</v>
      </c>
      <c r="F8315" t="s">
        <v>8779</v>
      </c>
      <c r="G8315" s="1">
        <v>36770</v>
      </c>
      <c r="H8315" s="1">
        <v>40498</v>
      </c>
      <c r="I8315" t="s">
        <v>12</v>
      </c>
      <c r="J8315" t="s">
        <v>19085</v>
      </c>
    </row>
    <row r="8316" spans="1:10" x14ac:dyDescent="0.25">
      <c r="A8316">
        <v>3315094</v>
      </c>
      <c r="B8316" t="s">
        <v>8786</v>
      </c>
      <c r="C8316" t="str">
        <f>"9781593111861"</f>
        <v>9781593111861</v>
      </c>
      <c r="D8316" t="str">
        <f>"9781607524830"</f>
        <v>9781607524830</v>
      </c>
      <c r="E8316" t="s">
        <v>8778</v>
      </c>
      <c r="F8316" t="s">
        <v>8779</v>
      </c>
      <c r="G8316" s="1">
        <v>36774</v>
      </c>
      <c r="H8316" s="1">
        <v>40498</v>
      </c>
      <c r="I8316" t="s">
        <v>12</v>
      </c>
      <c r="J8316" t="s">
        <v>19086</v>
      </c>
    </row>
    <row r="8317" spans="1:10" x14ac:dyDescent="0.25">
      <c r="A8317">
        <v>3315105</v>
      </c>
      <c r="B8317" t="s">
        <v>8787</v>
      </c>
      <c r="C8317" t="str">
        <f>"9781931576826"</f>
        <v>9781931576826</v>
      </c>
      <c r="D8317" t="str">
        <f>"9781607527916"</f>
        <v>9781607527916</v>
      </c>
      <c r="E8317" t="s">
        <v>8778</v>
      </c>
      <c r="F8317" t="s">
        <v>8779</v>
      </c>
      <c r="G8317" s="1">
        <v>37257</v>
      </c>
      <c r="H8317" s="1">
        <v>40498</v>
      </c>
      <c r="I8317" t="s">
        <v>12</v>
      </c>
      <c r="J8317" t="s">
        <v>19087</v>
      </c>
    </row>
    <row r="8318" spans="1:10" x14ac:dyDescent="0.25">
      <c r="A8318">
        <v>3315126</v>
      </c>
      <c r="B8318" t="s">
        <v>8788</v>
      </c>
      <c r="C8318" t="str">
        <f>"9781593114541"</f>
        <v>9781593114541</v>
      </c>
      <c r="D8318" t="str">
        <f>"9781607525202"</f>
        <v>9781607525202</v>
      </c>
      <c r="E8318" t="s">
        <v>8778</v>
      </c>
      <c r="F8318" t="s">
        <v>8779</v>
      </c>
      <c r="G8318" s="1">
        <v>38718</v>
      </c>
      <c r="H8318" s="1">
        <v>40498</v>
      </c>
      <c r="I8318" t="s">
        <v>12</v>
      </c>
      <c r="J8318" t="s">
        <v>19088</v>
      </c>
    </row>
    <row r="8319" spans="1:10" x14ac:dyDescent="0.25">
      <c r="A8319">
        <v>3315128</v>
      </c>
      <c r="B8319" t="s">
        <v>8789</v>
      </c>
      <c r="C8319" t="str">
        <f>"9781593113292"</f>
        <v>9781593113292</v>
      </c>
      <c r="D8319" t="str">
        <f>"9781607526728"</f>
        <v>9781607526728</v>
      </c>
      <c r="E8319" t="s">
        <v>8778</v>
      </c>
      <c r="F8319" t="s">
        <v>8779</v>
      </c>
      <c r="G8319" s="1">
        <v>38412</v>
      </c>
      <c r="H8319" s="1">
        <v>40498</v>
      </c>
      <c r="I8319" t="s">
        <v>12</v>
      </c>
      <c r="J8319" t="s">
        <v>19089</v>
      </c>
    </row>
    <row r="8320" spans="1:10" x14ac:dyDescent="0.25">
      <c r="A8320">
        <v>3315130</v>
      </c>
      <c r="B8320" t="s">
        <v>8790</v>
      </c>
      <c r="C8320" t="str">
        <f>"9781593111335"</f>
        <v>9781593111335</v>
      </c>
      <c r="D8320" t="str">
        <f>"9781607526568"</f>
        <v>9781607526568</v>
      </c>
      <c r="E8320" t="s">
        <v>8778</v>
      </c>
      <c r="F8320" t="s">
        <v>8779</v>
      </c>
      <c r="G8320" s="1">
        <v>37987</v>
      </c>
      <c r="H8320" s="1">
        <v>40498</v>
      </c>
      <c r="I8320" t="s">
        <v>12</v>
      </c>
      <c r="J8320" t="s">
        <v>19090</v>
      </c>
    </row>
    <row r="8321" spans="1:10" x14ac:dyDescent="0.25">
      <c r="A8321">
        <v>3315154</v>
      </c>
      <c r="B8321" t="s">
        <v>8791</v>
      </c>
      <c r="C8321" t="str">
        <f>"9781930608313"</f>
        <v>9781930608313</v>
      </c>
      <c r="D8321" t="str">
        <f>"9781607525271"</f>
        <v>9781607525271</v>
      </c>
      <c r="E8321" t="s">
        <v>8778</v>
      </c>
      <c r="F8321" t="s">
        <v>8779</v>
      </c>
      <c r="G8321" s="1">
        <v>37622</v>
      </c>
      <c r="H8321" s="1">
        <v>40498</v>
      </c>
      <c r="I8321" t="s">
        <v>12</v>
      </c>
      <c r="J8321" t="s">
        <v>19091</v>
      </c>
    </row>
    <row r="8322" spans="1:10" x14ac:dyDescent="0.25">
      <c r="A8322">
        <v>3315170</v>
      </c>
      <c r="B8322" t="s">
        <v>8792</v>
      </c>
      <c r="C8322" t="str">
        <f>"9781593114206"</f>
        <v>9781593114206</v>
      </c>
      <c r="D8322" t="str">
        <f>"9781607527701"</f>
        <v>9781607527701</v>
      </c>
      <c r="E8322" t="s">
        <v>8778</v>
      </c>
      <c r="F8322" t="s">
        <v>8779</v>
      </c>
      <c r="G8322" s="1">
        <v>38600</v>
      </c>
      <c r="H8322" s="1">
        <v>40498</v>
      </c>
      <c r="I8322" t="s">
        <v>12</v>
      </c>
      <c r="J8322" t="s">
        <v>19092</v>
      </c>
    </row>
    <row r="8323" spans="1:10" x14ac:dyDescent="0.25">
      <c r="A8323">
        <v>3315183</v>
      </c>
      <c r="B8323" t="s">
        <v>8793</v>
      </c>
      <c r="C8323" t="str">
        <f>"9781593113636"</f>
        <v>9781593113636</v>
      </c>
      <c r="D8323" t="str">
        <f>"9781607525134"</f>
        <v>9781607525134</v>
      </c>
      <c r="E8323" t="s">
        <v>8778</v>
      </c>
      <c r="F8323" t="s">
        <v>8779</v>
      </c>
      <c r="G8323" s="1">
        <v>38657</v>
      </c>
      <c r="H8323" s="1">
        <v>40498</v>
      </c>
      <c r="I8323" t="s">
        <v>12</v>
      </c>
      <c r="J8323" t="s">
        <v>19093</v>
      </c>
    </row>
    <row r="8324" spans="1:10" x14ac:dyDescent="0.25">
      <c r="A8324">
        <v>3315205</v>
      </c>
      <c r="B8324" t="s">
        <v>8794</v>
      </c>
      <c r="C8324" t="str">
        <f>"9781593113155"</f>
        <v>9781593113155</v>
      </c>
      <c r="D8324" t="str">
        <f>"9781607524687"</f>
        <v>9781607524687</v>
      </c>
      <c r="E8324" t="s">
        <v>8778</v>
      </c>
      <c r="F8324" t="s">
        <v>8779</v>
      </c>
      <c r="G8324" s="1">
        <v>36770</v>
      </c>
      <c r="H8324" s="1">
        <v>40498</v>
      </c>
      <c r="I8324" t="s">
        <v>12</v>
      </c>
      <c r="J8324" t="s">
        <v>19094</v>
      </c>
    </row>
    <row r="8325" spans="1:10" x14ac:dyDescent="0.25">
      <c r="A8325">
        <v>3315216</v>
      </c>
      <c r="B8325" t="s">
        <v>8795</v>
      </c>
      <c r="C8325" t="str">
        <f>"9781593114886"</f>
        <v>9781593114886</v>
      </c>
      <c r="D8325" t="str">
        <f>"9781607525677"</f>
        <v>9781607525677</v>
      </c>
      <c r="E8325" t="s">
        <v>8778</v>
      </c>
      <c r="F8325" t="s">
        <v>8779</v>
      </c>
      <c r="G8325" s="1">
        <v>38869</v>
      </c>
      <c r="H8325" s="1">
        <v>40498</v>
      </c>
      <c r="I8325" t="s">
        <v>12</v>
      </c>
      <c r="J8325" t="s">
        <v>19095</v>
      </c>
    </row>
    <row r="8326" spans="1:10" x14ac:dyDescent="0.25">
      <c r="A8326">
        <v>3315223</v>
      </c>
      <c r="B8326" t="s">
        <v>8796</v>
      </c>
      <c r="C8326" t="str">
        <f>"9781593114220"</f>
        <v>9781593114220</v>
      </c>
      <c r="D8326" t="str">
        <f>"9781607526834"</f>
        <v>9781607526834</v>
      </c>
      <c r="E8326" t="s">
        <v>8778</v>
      </c>
      <c r="F8326" t="s">
        <v>8779</v>
      </c>
      <c r="G8326" s="1">
        <v>38718</v>
      </c>
      <c r="H8326" s="1">
        <v>40498</v>
      </c>
      <c r="I8326" t="s">
        <v>12</v>
      </c>
      <c r="J8326" t="s">
        <v>19096</v>
      </c>
    </row>
    <row r="8327" spans="1:10" x14ac:dyDescent="0.25">
      <c r="A8327">
        <v>3315236</v>
      </c>
      <c r="B8327" t="s">
        <v>8797</v>
      </c>
      <c r="C8327" t="str">
        <f>"9781593116040"</f>
        <v>9781593116040</v>
      </c>
      <c r="D8327" t="str">
        <f>"9781607527121"</f>
        <v>9781607527121</v>
      </c>
      <c r="E8327" t="s">
        <v>8778</v>
      </c>
      <c r="F8327" t="s">
        <v>8779</v>
      </c>
      <c r="G8327" s="1">
        <v>39142</v>
      </c>
      <c r="H8327" s="1">
        <v>40498</v>
      </c>
      <c r="I8327" t="s">
        <v>12</v>
      </c>
      <c r="J8327" t="s">
        <v>19097</v>
      </c>
    </row>
    <row r="8328" spans="1:10" x14ac:dyDescent="0.25">
      <c r="A8328">
        <v>3315247</v>
      </c>
      <c r="B8328" t="s">
        <v>8798</v>
      </c>
      <c r="C8328" t="str">
        <f>"9781593113490"</f>
        <v>9781593113490</v>
      </c>
      <c r="D8328" t="str">
        <f>"9781607526919"</f>
        <v>9781607526919</v>
      </c>
      <c r="E8328" t="s">
        <v>8778</v>
      </c>
      <c r="F8328" t="s">
        <v>8779</v>
      </c>
      <c r="G8328" s="1">
        <v>38749</v>
      </c>
      <c r="H8328" s="1">
        <v>40498</v>
      </c>
      <c r="I8328" t="s">
        <v>12</v>
      </c>
      <c r="J8328" t="s">
        <v>19098</v>
      </c>
    </row>
    <row r="8329" spans="1:10" x14ac:dyDescent="0.25">
      <c r="A8329">
        <v>3315251</v>
      </c>
      <c r="B8329" t="s">
        <v>8799</v>
      </c>
      <c r="C8329" t="str">
        <f>"9781931576659"</f>
        <v>9781931576659</v>
      </c>
      <c r="D8329" t="str">
        <f>"9781607527862"</f>
        <v>9781607527862</v>
      </c>
      <c r="E8329" t="s">
        <v>8778</v>
      </c>
      <c r="F8329" t="s">
        <v>8779</v>
      </c>
      <c r="G8329" s="1">
        <v>37257</v>
      </c>
      <c r="H8329" s="1">
        <v>40498</v>
      </c>
      <c r="I8329" t="s">
        <v>12</v>
      </c>
      <c r="J8329" t="s">
        <v>19099</v>
      </c>
    </row>
    <row r="8330" spans="1:10" x14ac:dyDescent="0.25">
      <c r="A8330">
        <v>3315252</v>
      </c>
      <c r="B8330" t="s">
        <v>8800</v>
      </c>
      <c r="C8330" t="str">
        <f>"9781593112127"</f>
        <v>9781593112127</v>
      </c>
      <c r="D8330" t="str">
        <f>"9781607527633"</f>
        <v>9781607527633</v>
      </c>
      <c r="E8330" t="s">
        <v>8778</v>
      </c>
      <c r="F8330" t="s">
        <v>8779</v>
      </c>
      <c r="G8330" s="1">
        <v>38608</v>
      </c>
      <c r="H8330" s="1">
        <v>40498</v>
      </c>
      <c r="I8330" t="s">
        <v>12</v>
      </c>
      <c r="J8330" t="s">
        <v>19100</v>
      </c>
    </row>
    <row r="8331" spans="1:10" x14ac:dyDescent="0.25">
      <c r="A8331">
        <v>3315254</v>
      </c>
      <c r="B8331" t="s">
        <v>8801</v>
      </c>
      <c r="C8331" t="str">
        <f>"9781593114527"</f>
        <v>9781593114527</v>
      </c>
      <c r="D8331" t="str">
        <f>"9781607526841"</f>
        <v>9781607526841</v>
      </c>
      <c r="E8331" t="s">
        <v>8778</v>
      </c>
      <c r="F8331" t="s">
        <v>8779</v>
      </c>
      <c r="G8331" s="1">
        <v>38687</v>
      </c>
      <c r="H8331" s="1">
        <v>40498</v>
      </c>
      <c r="I8331" t="s">
        <v>12</v>
      </c>
      <c r="J8331" t="s">
        <v>19101</v>
      </c>
    </row>
    <row r="8332" spans="1:10" x14ac:dyDescent="0.25">
      <c r="A8332">
        <v>3315267</v>
      </c>
      <c r="B8332" t="s">
        <v>8802</v>
      </c>
      <c r="C8332" t="str">
        <f>"9781593113575"</f>
        <v>9781593113575</v>
      </c>
      <c r="D8332" t="str">
        <f>"9781607524786"</f>
        <v>9781607524786</v>
      </c>
      <c r="E8332" t="s">
        <v>8778</v>
      </c>
      <c r="F8332" t="s">
        <v>8779</v>
      </c>
      <c r="G8332" s="1">
        <v>38504</v>
      </c>
      <c r="H8332" s="1">
        <v>40498</v>
      </c>
      <c r="I8332" t="s">
        <v>12</v>
      </c>
      <c r="J8332" t="s">
        <v>19102</v>
      </c>
    </row>
    <row r="8333" spans="1:10" x14ac:dyDescent="0.25">
      <c r="A8333">
        <v>3315273</v>
      </c>
      <c r="B8333" t="s">
        <v>8803</v>
      </c>
      <c r="C8333" t="str">
        <f>"9781593115678"</f>
        <v>9781593115678</v>
      </c>
      <c r="D8333" t="str">
        <f>"9781607527992"</f>
        <v>9781607527992</v>
      </c>
      <c r="E8333" t="s">
        <v>8778</v>
      </c>
      <c r="F8333" t="s">
        <v>8779</v>
      </c>
      <c r="G8333" s="1">
        <v>39083</v>
      </c>
      <c r="H8333" s="1">
        <v>40504</v>
      </c>
      <c r="I8333" t="s">
        <v>12</v>
      </c>
      <c r="J8333" t="s">
        <v>19103</v>
      </c>
    </row>
    <row r="8334" spans="1:10" x14ac:dyDescent="0.25">
      <c r="A8334">
        <v>3315274</v>
      </c>
      <c r="B8334" t="s">
        <v>8804</v>
      </c>
      <c r="C8334" t="str">
        <f>"9781593115449"</f>
        <v>9781593115449</v>
      </c>
      <c r="D8334" t="str">
        <f>"9781607527893"</f>
        <v>9781607527893</v>
      </c>
      <c r="E8334" t="s">
        <v>8778</v>
      </c>
      <c r="F8334" t="s">
        <v>8779</v>
      </c>
      <c r="G8334" s="1">
        <v>39508</v>
      </c>
      <c r="H8334" s="1">
        <v>40504</v>
      </c>
      <c r="I8334" t="s">
        <v>12</v>
      </c>
      <c r="J8334" t="s">
        <v>19104</v>
      </c>
    </row>
    <row r="8335" spans="1:10" x14ac:dyDescent="0.25">
      <c r="A8335">
        <v>3315278</v>
      </c>
      <c r="B8335" t="s">
        <v>8805</v>
      </c>
      <c r="C8335" t="str">
        <f>"9781593117702"</f>
        <v>9781593117702</v>
      </c>
      <c r="D8335" t="str">
        <f>"9781617352904"</f>
        <v>9781617352904</v>
      </c>
      <c r="E8335" t="s">
        <v>8778</v>
      </c>
      <c r="F8335" t="s">
        <v>8778</v>
      </c>
      <c r="G8335" s="1">
        <v>39264</v>
      </c>
      <c r="H8335" s="1">
        <v>40504</v>
      </c>
      <c r="I8335" t="s">
        <v>12</v>
      </c>
      <c r="J8335" t="s">
        <v>19105</v>
      </c>
    </row>
    <row r="8336" spans="1:10" x14ac:dyDescent="0.25">
      <c r="A8336">
        <v>3315295</v>
      </c>
      <c r="B8336" t="s">
        <v>8806</v>
      </c>
      <c r="C8336" t="str">
        <f>"9781593115524"</f>
        <v>9781593115524</v>
      </c>
      <c r="D8336" t="str">
        <f>"9781607525769"</f>
        <v>9781607525769</v>
      </c>
      <c r="E8336" t="s">
        <v>8778</v>
      </c>
      <c r="F8336" t="s">
        <v>8779</v>
      </c>
      <c r="G8336" s="1">
        <v>39479</v>
      </c>
      <c r="H8336" s="1">
        <v>40504</v>
      </c>
      <c r="I8336" t="s">
        <v>12</v>
      </c>
      <c r="J8336" t="s">
        <v>19106</v>
      </c>
    </row>
    <row r="8337" spans="1:10" x14ac:dyDescent="0.25">
      <c r="A8337">
        <v>3315296</v>
      </c>
      <c r="B8337" t="s">
        <v>8807</v>
      </c>
      <c r="C8337" t="str">
        <f>"9781593115289"</f>
        <v>9781593115289</v>
      </c>
      <c r="D8337" t="str">
        <f>"9781607525684"</f>
        <v>9781607525684</v>
      </c>
      <c r="E8337" t="s">
        <v>8778</v>
      </c>
      <c r="F8337" t="s">
        <v>8779</v>
      </c>
      <c r="G8337" s="1">
        <v>38898</v>
      </c>
      <c r="H8337" s="1">
        <v>40504</v>
      </c>
      <c r="I8337" t="s">
        <v>12</v>
      </c>
      <c r="J8337" t="s">
        <v>19107</v>
      </c>
    </row>
    <row r="8338" spans="1:10" x14ac:dyDescent="0.25">
      <c r="A8338">
        <v>3315298</v>
      </c>
      <c r="B8338" t="s">
        <v>8808</v>
      </c>
      <c r="C8338" t="str">
        <f>"9781593116576"</f>
        <v>9781593116576</v>
      </c>
      <c r="D8338" t="str">
        <f>"9781607527268"</f>
        <v>9781607527268</v>
      </c>
      <c r="E8338" t="s">
        <v>8778</v>
      </c>
      <c r="F8338" t="s">
        <v>8779</v>
      </c>
      <c r="G8338" s="1">
        <v>39156</v>
      </c>
      <c r="H8338" s="1">
        <v>40504</v>
      </c>
      <c r="I8338" t="s">
        <v>12</v>
      </c>
      <c r="J8338" t="s">
        <v>19108</v>
      </c>
    </row>
    <row r="8339" spans="1:10" x14ac:dyDescent="0.25">
      <c r="A8339">
        <v>3315301</v>
      </c>
      <c r="B8339" t="s">
        <v>8809</v>
      </c>
      <c r="C8339" t="str">
        <f>"9781593116101"</f>
        <v>9781593116101</v>
      </c>
      <c r="D8339" t="str">
        <f>"9781607527145"</f>
        <v>9781607527145</v>
      </c>
      <c r="E8339" t="s">
        <v>8778</v>
      </c>
      <c r="F8339" t="s">
        <v>8779</v>
      </c>
      <c r="G8339" s="1">
        <v>39083</v>
      </c>
      <c r="H8339" s="1">
        <v>40504</v>
      </c>
      <c r="I8339" t="s">
        <v>12</v>
      </c>
      <c r="J8339" t="s">
        <v>19109</v>
      </c>
    </row>
    <row r="8340" spans="1:10" x14ac:dyDescent="0.25">
      <c r="A8340">
        <v>3315311</v>
      </c>
      <c r="B8340" t="s">
        <v>8810</v>
      </c>
      <c r="C8340" t="str">
        <f>"9781593115203"</f>
        <v>9781593115203</v>
      </c>
      <c r="D8340" t="str">
        <f>"9781607525639"</f>
        <v>9781607525639</v>
      </c>
      <c r="E8340" t="s">
        <v>8778</v>
      </c>
      <c r="F8340" t="s">
        <v>8779</v>
      </c>
      <c r="G8340" s="1">
        <v>38808</v>
      </c>
      <c r="H8340" s="1">
        <v>40504</v>
      </c>
      <c r="I8340" t="s">
        <v>12</v>
      </c>
      <c r="J8340" t="s">
        <v>19110</v>
      </c>
    </row>
    <row r="8341" spans="1:10" x14ac:dyDescent="0.25">
      <c r="A8341">
        <v>3315315</v>
      </c>
      <c r="B8341" t="s">
        <v>8811</v>
      </c>
      <c r="C8341" t="str">
        <f>"9781593115067"</f>
        <v>9781593115067</v>
      </c>
      <c r="D8341" t="str">
        <f>"9781607527169"</f>
        <v>9781607527169</v>
      </c>
      <c r="E8341" t="s">
        <v>8778</v>
      </c>
      <c r="F8341" t="s">
        <v>8779</v>
      </c>
      <c r="G8341" s="1">
        <v>38961</v>
      </c>
      <c r="H8341" s="1">
        <v>40504</v>
      </c>
      <c r="I8341" t="s">
        <v>12</v>
      </c>
      <c r="J8341" t="s">
        <v>19111</v>
      </c>
    </row>
    <row r="8342" spans="1:10" x14ac:dyDescent="0.25">
      <c r="A8342">
        <v>3315319</v>
      </c>
      <c r="B8342" t="s">
        <v>8812</v>
      </c>
      <c r="C8342" t="str">
        <f>"9781593116125"</f>
        <v>9781593116125</v>
      </c>
      <c r="D8342" t="str">
        <f>"9781607525882"</f>
        <v>9781607525882</v>
      </c>
      <c r="E8342" t="s">
        <v>8778</v>
      </c>
      <c r="F8342" t="s">
        <v>8779</v>
      </c>
      <c r="G8342" s="1">
        <v>39234</v>
      </c>
      <c r="H8342" s="1">
        <v>40504</v>
      </c>
      <c r="I8342" t="s">
        <v>12</v>
      </c>
      <c r="J8342" t="s">
        <v>19112</v>
      </c>
    </row>
    <row r="8343" spans="1:10" x14ac:dyDescent="0.25">
      <c r="A8343">
        <v>3315328</v>
      </c>
      <c r="B8343" t="s">
        <v>8813</v>
      </c>
      <c r="C8343" t="str">
        <f>"9781593117740"</f>
        <v>9781593117740</v>
      </c>
      <c r="D8343" t="str">
        <f>"9781607524663"</f>
        <v>9781607524663</v>
      </c>
      <c r="E8343" t="s">
        <v>8778</v>
      </c>
      <c r="F8343" t="s">
        <v>8779</v>
      </c>
      <c r="G8343" s="1">
        <v>39288</v>
      </c>
      <c r="H8343" s="1">
        <v>40504</v>
      </c>
      <c r="I8343" t="s">
        <v>12</v>
      </c>
      <c r="J8343" t="s">
        <v>19113</v>
      </c>
    </row>
    <row r="8344" spans="1:10" x14ac:dyDescent="0.25">
      <c r="A8344">
        <v>3315341</v>
      </c>
      <c r="B8344" t="s">
        <v>8814</v>
      </c>
      <c r="C8344" t="str">
        <f>"9781593119010"</f>
        <v>9781593119010</v>
      </c>
      <c r="D8344" t="str">
        <f>"9781607526506"</f>
        <v>9781607526506</v>
      </c>
      <c r="E8344" t="s">
        <v>8778</v>
      </c>
      <c r="F8344" t="s">
        <v>8779</v>
      </c>
      <c r="G8344" s="1">
        <v>39539</v>
      </c>
      <c r="H8344" s="1">
        <v>40504</v>
      </c>
      <c r="I8344" t="s">
        <v>12</v>
      </c>
      <c r="J8344" t="s">
        <v>19114</v>
      </c>
    </row>
    <row r="8345" spans="1:10" x14ac:dyDescent="0.25">
      <c r="A8345">
        <v>3315343</v>
      </c>
      <c r="B8345" t="s">
        <v>8815</v>
      </c>
      <c r="C8345" t="str">
        <f>"9781593119072"</f>
        <v>9781593119072</v>
      </c>
      <c r="D8345" t="str">
        <f>"9781607527398"</f>
        <v>9781607527398</v>
      </c>
      <c r="E8345" t="s">
        <v>8778</v>
      </c>
      <c r="F8345" t="s">
        <v>8779</v>
      </c>
      <c r="G8345" s="1">
        <v>39479</v>
      </c>
      <c r="H8345" s="1">
        <v>40564</v>
      </c>
      <c r="I8345" t="s">
        <v>12</v>
      </c>
      <c r="J8345" t="s">
        <v>19115</v>
      </c>
    </row>
    <row r="8346" spans="1:10" x14ac:dyDescent="0.25">
      <c r="A8346">
        <v>3315344</v>
      </c>
      <c r="B8346" t="s">
        <v>8816</v>
      </c>
      <c r="C8346" t="str">
        <f>"9781593115852"</f>
        <v>9781593115852</v>
      </c>
      <c r="D8346" t="str">
        <f>"9781607527084"</f>
        <v>9781607527084</v>
      </c>
      <c r="E8346" t="s">
        <v>8778</v>
      </c>
      <c r="F8346" t="s">
        <v>8779</v>
      </c>
      <c r="G8346" s="1">
        <v>39022</v>
      </c>
      <c r="H8346" s="1">
        <v>40504</v>
      </c>
      <c r="I8346" t="s">
        <v>12</v>
      </c>
      <c r="J8346" t="s">
        <v>19116</v>
      </c>
    </row>
    <row r="8347" spans="1:10" x14ac:dyDescent="0.25">
      <c r="A8347">
        <v>3315346</v>
      </c>
      <c r="B8347" t="s">
        <v>8817</v>
      </c>
      <c r="C8347" t="str">
        <f>"9781593115388"</f>
        <v>9781593115388</v>
      </c>
      <c r="D8347" t="str">
        <f>"9781607529491"</f>
        <v>9781607529491</v>
      </c>
      <c r="E8347" t="s">
        <v>8778</v>
      </c>
      <c r="F8347" t="s">
        <v>8778</v>
      </c>
      <c r="G8347" s="1">
        <v>38869</v>
      </c>
      <c r="H8347" s="1">
        <v>40504</v>
      </c>
      <c r="I8347" t="s">
        <v>12</v>
      </c>
      <c r="J8347" t="s">
        <v>19117</v>
      </c>
    </row>
    <row r="8348" spans="1:10" x14ac:dyDescent="0.25">
      <c r="A8348">
        <v>3315349</v>
      </c>
      <c r="B8348" t="s">
        <v>8818</v>
      </c>
      <c r="C8348" t="str">
        <f>"9781593116361"</f>
        <v>9781593116361</v>
      </c>
      <c r="D8348" t="str">
        <f>"9781607525943"</f>
        <v>9781607525943</v>
      </c>
      <c r="E8348" t="s">
        <v>8778</v>
      </c>
      <c r="F8348" t="s">
        <v>8779</v>
      </c>
      <c r="G8348" s="1">
        <v>39387</v>
      </c>
      <c r="H8348" s="1">
        <v>40504</v>
      </c>
      <c r="I8348" t="s">
        <v>12</v>
      </c>
      <c r="J8348" t="s">
        <v>19118</v>
      </c>
    </row>
    <row r="8349" spans="1:10" x14ac:dyDescent="0.25">
      <c r="A8349">
        <v>3315355</v>
      </c>
      <c r="B8349" t="s">
        <v>8819</v>
      </c>
      <c r="C8349" t="str">
        <f>"9781593117818"</f>
        <v>9781593117818</v>
      </c>
      <c r="D8349" t="str">
        <f>"9781607527442"</f>
        <v>9781607527442</v>
      </c>
      <c r="E8349" t="s">
        <v>8778</v>
      </c>
      <c r="F8349" t="s">
        <v>8779</v>
      </c>
      <c r="G8349" s="1">
        <v>39295</v>
      </c>
      <c r="H8349" s="1">
        <v>40564</v>
      </c>
      <c r="I8349" t="s">
        <v>12</v>
      </c>
      <c r="J8349" t="s">
        <v>19119</v>
      </c>
    </row>
    <row r="8350" spans="1:10" x14ac:dyDescent="0.25">
      <c r="A8350">
        <v>3315359</v>
      </c>
      <c r="B8350" t="s">
        <v>8820</v>
      </c>
      <c r="C8350" t="str">
        <f>"9781593118396"</f>
        <v>9781593118396</v>
      </c>
      <c r="D8350" t="str">
        <f>"9781607527473"</f>
        <v>9781607527473</v>
      </c>
      <c r="E8350" t="s">
        <v>8778</v>
      </c>
      <c r="F8350" t="s">
        <v>8779</v>
      </c>
      <c r="G8350" s="1">
        <v>39295</v>
      </c>
      <c r="H8350" s="1">
        <v>40564</v>
      </c>
      <c r="I8350" t="s">
        <v>12</v>
      </c>
      <c r="J8350" t="s">
        <v>19120</v>
      </c>
    </row>
    <row r="8351" spans="1:10" x14ac:dyDescent="0.25">
      <c r="A8351">
        <v>3315363</v>
      </c>
      <c r="B8351" t="s">
        <v>8821</v>
      </c>
      <c r="C8351" t="str">
        <f>"9781593115685"</f>
        <v>9781593115685</v>
      </c>
      <c r="D8351" t="str">
        <f>"9781607526643"</f>
        <v>9781607526643</v>
      </c>
      <c r="E8351" t="s">
        <v>8778</v>
      </c>
      <c r="F8351" t="s">
        <v>8779</v>
      </c>
      <c r="G8351" s="1">
        <v>38961</v>
      </c>
      <c r="H8351" s="1">
        <v>40504</v>
      </c>
      <c r="I8351" t="s">
        <v>12</v>
      </c>
      <c r="J8351" t="s">
        <v>19121</v>
      </c>
    </row>
    <row r="8352" spans="1:10" x14ac:dyDescent="0.25">
      <c r="A8352">
        <v>3315371</v>
      </c>
      <c r="B8352" t="s">
        <v>8822</v>
      </c>
      <c r="C8352" t="str">
        <f>"9781593117191"</f>
        <v>9781593117191</v>
      </c>
      <c r="D8352" t="str">
        <f>"9781607526049"</f>
        <v>9781607526049</v>
      </c>
      <c r="E8352" t="s">
        <v>8778</v>
      </c>
      <c r="F8352" t="s">
        <v>8779</v>
      </c>
      <c r="G8352" s="1">
        <v>39234</v>
      </c>
      <c r="H8352" s="1">
        <v>40504</v>
      </c>
      <c r="I8352" t="s">
        <v>12</v>
      </c>
      <c r="J8352" t="s">
        <v>19122</v>
      </c>
    </row>
    <row r="8353" spans="1:10" x14ac:dyDescent="0.25">
      <c r="A8353">
        <v>3315374</v>
      </c>
      <c r="B8353" t="s">
        <v>8823</v>
      </c>
      <c r="C8353" t="str">
        <f>"9781593118877"</f>
        <v>9781593118877</v>
      </c>
      <c r="D8353" t="str">
        <f>"9781607527374"</f>
        <v>9781607527374</v>
      </c>
      <c r="E8353" t="s">
        <v>8778</v>
      </c>
      <c r="F8353" t="s">
        <v>8779</v>
      </c>
      <c r="G8353" s="1">
        <v>39508</v>
      </c>
      <c r="H8353" s="1">
        <v>40504</v>
      </c>
      <c r="I8353" t="s">
        <v>12</v>
      </c>
      <c r="J8353" t="s">
        <v>19123</v>
      </c>
    </row>
    <row r="8354" spans="1:10" x14ac:dyDescent="0.25">
      <c r="A8354">
        <v>3315375</v>
      </c>
      <c r="B8354" t="s">
        <v>8824</v>
      </c>
      <c r="C8354" t="str">
        <f>"9781593118419"</f>
        <v>9781593118419</v>
      </c>
      <c r="D8354" t="str">
        <f>"9781607526322"</f>
        <v>9781607526322</v>
      </c>
      <c r="E8354" t="s">
        <v>8778</v>
      </c>
      <c r="F8354" t="s">
        <v>8779</v>
      </c>
      <c r="G8354" s="1">
        <v>39387</v>
      </c>
      <c r="H8354" s="1">
        <v>40504</v>
      </c>
      <c r="I8354" t="s">
        <v>12</v>
      </c>
      <c r="J8354" t="s">
        <v>19124</v>
      </c>
    </row>
    <row r="8355" spans="1:10" x14ac:dyDescent="0.25">
      <c r="A8355">
        <v>3315379</v>
      </c>
      <c r="B8355" t="s">
        <v>8825</v>
      </c>
      <c r="C8355" t="str">
        <f>"9781593118358"</f>
        <v>9781593118358</v>
      </c>
      <c r="D8355" t="str">
        <f>"9781607526308"</f>
        <v>9781607526308</v>
      </c>
      <c r="E8355" t="s">
        <v>8778</v>
      </c>
      <c r="F8355" t="s">
        <v>8779</v>
      </c>
      <c r="G8355" s="1">
        <v>39356</v>
      </c>
      <c r="H8355" s="1">
        <v>40504</v>
      </c>
      <c r="I8355" t="s">
        <v>12</v>
      </c>
      <c r="J8355" t="s">
        <v>19125</v>
      </c>
    </row>
    <row r="8356" spans="1:10" x14ac:dyDescent="0.25">
      <c r="A8356">
        <v>3315382</v>
      </c>
      <c r="B8356" t="s">
        <v>8826</v>
      </c>
      <c r="C8356" t="str">
        <f>"9781593115302"</f>
        <v>9781593115302</v>
      </c>
      <c r="D8356" t="str">
        <f>"9781607527220"</f>
        <v>9781607527220</v>
      </c>
      <c r="E8356" t="s">
        <v>8778</v>
      </c>
      <c r="F8356" t="s">
        <v>8779</v>
      </c>
      <c r="G8356" s="1">
        <v>38869</v>
      </c>
      <c r="H8356" s="1">
        <v>40504</v>
      </c>
      <c r="I8356" t="s">
        <v>12</v>
      </c>
      <c r="J8356" t="s">
        <v>19126</v>
      </c>
    </row>
    <row r="8357" spans="1:10" x14ac:dyDescent="0.25">
      <c r="A8357">
        <v>3315383</v>
      </c>
      <c r="B8357" t="s">
        <v>8827</v>
      </c>
      <c r="C8357" t="str">
        <f>"9781593115715"</f>
        <v>9781593115715</v>
      </c>
      <c r="D8357" t="str">
        <f>"9781607527978"</f>
        <v>9781607527978</v>
      </c>
      <c r="E8357" t="s">
        <v>8778</v>
      </c>
      <c r="F8357" t="s">
        <v>8779</v>
      </c>
      <c r="G8357" s="1">
        <v>39052</v>
      </c>
      <c r="H8357" s="1">
        <v>40504</v>
      </c>
      <c r="I8357" t="s">
        <v>12</v>
      </c>
      <c r="J8357" t="s">
        <v>19127</v>
      </c>
    </row>
    <row r="8358" spans="1:10" x14ac:dyDescent="0.25">
      <c r="A8358">
        <v>3315385</v>
      </c>
      <c r="B8358" t="s">
        <v>8828</v>
      </c>
      <c r="C8358" t="str">
        <f>"9781593115241"</f>
        <v>9781593115241</v>
      </c>
      <c r="D8358" t="str">
        <f>"9781607525691"</f>
        <v>9781607525691</v>
      </c>
      <c r="E8358" t="s">
        <v>8778</v>
      </c>
      <c r="F8358" t="s">
        <v>8779</v>
      </c>
      <c r="G8358" s="1">
        <v>38869</v>
      </c>
      <c r="H8358" s="1">
        <v>40504</v>
      </c>
      <c r="I8358" t="s">
        <v>12</v>
      </c>
      <c r="J8358" t="s">
        <v>19128</v>
      </c>
    </row>
    <row r="8359" spans="1:10" x14ac:dyDescent="0.25">
      <c r="A8359">
        <v>3315388</v>
      </c>
      <c r="B8359" t="s">
        <v>8829</v>
      </c>
      <c r="C8359" t="str">
        <f>"9781593116842"</f>
        <v>9781593116842</v>
      </c>
      <c r="D8359" t="str">
        <f>"9781607527299"</f>
        <v>9781607527299</v>
      </c>
      <c r="E8359" t="s">
        <v>8778</v>
      </c>
      <c r="F8359" t="s">
        <v>8779</v>
      </c>
      <c r="G8359" s="1">
        <v>39278</v>
      </c>
      <c r="H8359" s="1">
        <v>40504</v>
      </c>
      <c r="I8359" t="s">
        <v>12</v>
      </c>
      <c r="J8359" t="s">
        <v>19129</v>
      </c>
    </row>
    <row r="8360" spans="1:10" x14ac:dyDescent="0.25">
      <c r="A8360">
        <v>3315393</v>
      </c>
      <c r="B8360" t="s">
        <v>8830</v>
      </c>
      <c r="C8360" t="str">
        <f>"9781593117849"</f>
        <v>9781593117849</v>
      </c>
      <c r="D8360" t="str">
        <f>"9781607526551"</f>
        <v>9781607526551</v>
      </c>
      <c r="E8360" t="s">
        <v>8778</v>
      </c>
      <c r="F8360" t="s">
        <v>8779</v>
      </c>
      <c r="G8360" s="1">
        <v>39539</v>
      </c>
      <c r="H8360" s="1">
        <v>40504</v>
      </c>
      <c r="I8360" t="s">
        <v>12</v>
      </c>
      <c r="J8360" t="s">
        <v>19130</v>
      </c>
    </row>
    <row r="8361" spans="1:10" x14ac:dyDescent="0.25">
      <c r="A8361">
        <v>3315395</v>
      </c>
      <c r="B8361" t="s">
        <v>8831</v>
      </c>
      <c r="C8361" t="str">
        <f>"9781593118099"</f>
        <v>9781593118099</v>
      </c>
      <c r="D8361" t="str">
        <f>"9781607527459"</f>
        <v>9781607527459</v>
      </c>
      <c r="E8361" t="s">
        <v>8778</v>
      </c>
      <c r="F8361" t="s">
        <v>8779</v>
      </c>
      <c r="G8361" s="1">
        <v>39508</v>
      </c>
      <c r="H8361" s="1">
        <v>40564</v>
      </c>
      <c r="I8361" t="s">
        <v>12</v>
      </c>
      <c r="J8361" t="s">
        <v>19131</v>
      </c>
    </row>
    <row r="8362" spans="1:10" x14ac:dyDescent="0.25">
      <c r="A8362">
        <v>3315396</v>
      </c>
      <c r="B8362" t="s">
        <v>8832</v>
      </c>
      <c r="C8362" t="str">
        <f>"9781593118839"</f>
        <v>9781593118839</v>
      </c>
      <c r="D8362" t="str">
        <f>"9781607526155"</f>
        <v>9781607526155</v>
      </c>
      <c r="E8362" t="s">
        <v>8778</v>
      </c>
      <c r="F8362" t="s">
        <v>8779</v>
      </c>
      <c r="G8362" s="1">
        <v>39448</v>
      </c>
      <c r="H8362" s="1">
        <v>40504</v>
      </c>
      <c r="I8362" t="s">
        <v>12</v>
      </c>
      <c r="J8362" t="s">
        <v>19132</v>
      </c>
    </row>
    <row r="8363" spans="1:10" x14ac:dyDescent="0.25">
      <c r="A8363">
        <v>3315403</v>
      </c>
      <c r="B8363" t="s">
        <v>8833</v>
      </c>
      <c r="C8363" t="str">
        <f>"9781593115166"</f>
        <v>9781593115166</v>
      </c>
      <c r="D8363" t="str">
        <f>"9781607525653"</f>
        <v>9781607525653</v>
      </c>
      <c r="E8363" t="s">
        <v>8778</v>
      </c>
      <c r="F8363" t="s">
        <v>8779</v>
      </c>
      <c r="G8363" s="1">
        <v>38838</v>
      </c>
      <c r="H8363" s="1">
        <v>40504</v>
      </c>
      <c r="I8363" t="s">
        <v>12</v>
      </c>
      <c r="J8363" t="s">
        <v>19133</v>
      </c>
    </row>
    <row r="8364" spans="1:10" x14ac:dyDescent="0.25">
      <c r="A8364">
        <v>3315407</v>
      </c>
      <c r="B8364" t="s">
        <v>8834</v>
      </c>
      <c r="C8364" t="str">
        <f>"9781593116309"</f>
        <v>9781593116309</v>
      </c>
      <c r="D8364" t="str">
        <f>"9781607525929"</f>
        <v>9781607525929</v>
      </c>
      <c r="E8364" t="s">
        <v>8778</v>
      </c>
      <c r="F8364" t="s">
        <v>8779</v>
      </c>
      <c r="G8364" s="1">
        <v>39508</v>
      </c>
      <c r="H8364" s="1">
        <v>40504</v>
      </c>
      <c r="I8364" t="s">
        <v>12</v>
      </c>
      <c r="J8364" t="s">
        <v>19134</v>
      </c>
    </row>
    <row r="8365" spans="1:10" x14ac:dyDescent="0.25">
      <c r="A8365">
        <v>3315412</v>
      </c>
      <c r="B8365" t="s">
        <v>8835</v>
      </c>
      <c r="C8365" t="str">
        <f>"9781593117764"</f>
        <v>9781593117764</v>
      </c>
      <c r="D8365" t="str">
        <f>"9781607527428"</f>
        <v>9781607527428</v>
      </c>
      <c r="E8365" t="s">
        <v>8778</v>
      </c>
      <c r="F8365" t="s">
        <v>8779</v>
      </c>
      <c r="G8365" s="1">
        <v>39417</v>
      </c>
      <c r="H8365" s="1">
        <v>40504</v>
      </c>
      <c r="I8365" t="s">
        <v>12</v>
      </c>
      <c r="J8365" t="s">
        <v>19135</v>
      </c>
    </row>
    <row r="8366" spans="1:10" x14ac:dyDescent="0.25">
      <c r="A8366">
        <v>3315414</v>
      </c>
      <c r="B8366" t="s">
        <v>8836</v>
      </c>
      <c r="C8366" t="str">
        <f>"9781593117535"</f>
        <v>9781593117535</v>
      </c>
      <c r="D8366" t="str">
        <f>"9781607526087"</f>
        <v>9781607526087</v>
      </c>
      <c r="E8366" t="s">
        <v>8778</v>
      </c>
      <c r="F8366" t="s">
        <v>8779</v>
      </c>
      <c r="G8366" s="1">
        <v>39264</v>
      </c>
      <c r="H8366" s="1">
        <v>40504</v>
      </c>
      <c r="I8366" t="s">
        <v>12</v>
      </c>
      <c r="J8366" t="s">
        <v>19136</v>
      </c>
    </row>
    <row r="8367" spans="1:10" x14ac:dyDescent="0.25">
      <c r="A8367">
        <v>3315417</v>
      </c>
      <c r="B8367" t="s">
        <v>8837</v>
      </c>
      <c r="C8367" t="str">
        <f>"9781593112301"</f>
        <v>9781593112301</v>
      </c>
      <c r="D8367" t="str">
        <f>"9781607527954"</f>
        <v>9781607527954</v>
      </c>
      <c r="E8367" t="s">
        <v>8778</v>
      </c>
      <c r="F8367" t="s">
        <v>8779</v>
      </c>
      <c r="G8367" s="1">
        <v>39022</v>
      </c>
      <c r="H8367" s="1">
        <v>40504</v>
      </c>
      <c r="I8367" t="s">
        <v>12</v>
      </c>
      <c r="J8367" t="s">
        <v>19137</v>
      </c>
    </row>
    <row r="8368" spans="1:10" x14ac:dyDescent="0.25">
      <c r="A8368">
        <v>3315419</v>
      </c>
      <c r="B8368" t="s">
        <v>8838</v>
      </c>
      <c r="C8368" t="str">
        <f>"9781593117627"</f>
        <v>9781593117627</v>
      </c>
      <c r="D8368" t="str">
        <f>"9781607526230"</f>
        <v>9781607526230</v>
      </c>
      <c r="E8368" t="s">
        <v>8778</v>
      </c>
      <c r="F8368" t="s">
        <v>8779</v>
      </c>
      <c r="G8368" s="1">
        <v>39234</v>
      </c>
      <c r="H8368" s="1">
        <v>40504</v>
      </c>
      <c r="I8368" t="s">
        <v>12</v>
      </c>
      <c r="J8368" t="s">
        <v>19138</v>
      </c>
    </row>
    <row r="8369" spans="1:10" x14ac:dyDescent="0.25">
      <c r="A8369">
        <v>3315421</v>
      </c>
      <c r="B8369" t="s">
        <v>8839</v>
      </c>
      <c r="C8369" t="str">
        <f>"9781593117238"</f>
        <v>9781593117238</v>
      </c>
      <c r="D8369" t="str">
        <f>"9781607526438"</f>
        <v>9781607526438</v>
      </c>
      <c r="E8369" t="s">
        <v>8778</v>
      </c>
      <c r="F8369" t="s">
        <v>8779</v>
      </c>
      <c r="G8369" s="1">
        <v>39234</v>
      </c>
      <c r="H8369" s="1">
        <v>40504</v>
      </c>
      <c r="I8369" t="s">
        <v>12</v>
      </c>
      <c r="J8369" t="s">
        <v>19139</v>
      </c>
    </row>
    <row r="8370" spans="1:10" x14ac:dyDescent="0.25">
      <c r="A8370">
        <v>3315431</v>
      </c>
      <c r="B8370" t="s">
        <v>8840</v>
      </c>
      <c r="C8370" t="str">
        <f>"9781593115395"</f>
        <v>9781593115395</v>
      </c>
      <c r="D8370" t="str">
        <f>"9781607527008"</f>
        <v>9781607527008</v>
      </c>
      <c r="E8370" t="s">
        <v>8778</v>
      </c>
      <c r="F8370" t="s">
        <v>8779</v>
      </c>
      <c r="G8370" s="1">
        <v>39052</v>
      </c>
      <c r="H8370" s="1">
        <v>40504</v>
      </c>
      <c r="I8370" t="s">
        <v>12</v>
      </c>
      <c r="J8370" t="s">
        <v>19140</v>
      </c>
    </row>
    <row r="8371" spans="1:10" x14ac:dyDescent="0.25">
      <c r="A8371">
        <v>3315441</v>
      </c>
      <c r="B8371" t="s">
        <v>8841</v>
      </c>
      <c r="C8371" t="str">
        <f>"9781593116088"</f>
        <v>9781593116088</v>
      </c>
      <c r="D8371" t="str">
        <f>"9781607528074"</f>
        <v>9781607528074</v>
      </c>
      <c r="E8371" t="s">
        <v>8778</v>
      </c>
      <c r="F8371" t="s">
        <v>8779</v>
      </c>
      <c r="G8371" s="1">
        <v>39142</v>
      </c>
      <c r="H8371" s="1">
        <v>40504</v>
      </c>
      <c r="I8371" t="s">
        <v>12</v>
      </c>
      <c r="J8371" t="s">
        <v>19141</v>
      </c>
    </row>
    <row r="8372" spans="1:10" x14ac:dyDescent="0.25">
      <c r="A8372">
        <v>3315444</v>
      </c>
      <c r="B8372" t="s">
        <v>8842</v>
      </c>
      <c r="C8372" t="str">
        <f>"9781593117313"</f>
        <v>9781593117313</v>
      </c>
      <c r="D8372" t="str">
        <f>"9781607526056"</f>
        <v>9781607526056</v>
      </c>
      <c r="E8372" t="s">
        <v>8778</v>
      </c>
      <c r="F8372" t="s">
        <v>8779</v>
      </c>
      <c r="G8372" s="1">
        <v>39417</v>
      </c>
      <c r="H8372" s="1">
        <v>40504</v>
      </c>
      <c r="I8372" t="s">
        <v>12</v>
      </c>
      <c r="J8372" t="s">
        <v>19142</v>
      </c>
    </row>
    <row r="8373" spans="1:10" x14ac:dyDescent="0.25">
      <c r="A8373">
        <v>3315448</v>
      </c>
      <c r="B8373" t="s">
        <v>8843</v>
      </c>
      <c r="C8373" t="str">
        <f>"9781593119126"</f>
        <v>9781593119126</v>
      </c>
      <c r="D8373" t="str">
        <f>"9781607526513"</f>
        <v>9781607526513</v>
      </c>
      <c r="E8373" t="s">
        <v>8778</v>
      </c>
      <c r="F8373" t="s">
        <v>8779</v>
      </c>
      <c r="G8373" s="1">
        <v>39508</v>
      </c>
      <c r="H8373" s="1">
        <v>40504</v>
      </c>
      <c r="I8373" t="s">
        <v>12</v>
      </c>
      <c r="J8373" t="s">
        <v>19143</v>
      </c>
    </row>
    <row r="8374" spans="1:10" x14ac:dyDescent="0.25">
      <c r="A8374">
        <v>3315449</v>
      </c>
      <c r="B8374" t="s">
        <v>8844</v>
      </c>
      <c r="C8374" t="str">
        <f>"9781593115647"</f>
        <v>9781593115647</v>
      </c>
      <c r="D8374" t="str">
        <f>"9781607525783"</f>
        <v>9781607525783</v>
      </c>
      <c r="E8374" t="s">
        <v>8778</v>
      </c>
      <c r="F8374" t="s">
        <v>8779</v>
      </c>
      <c r="G8374" s="1">
        <v>39052</v>
      </c>
      <c r="H8374" s="1">
        <v>40504</v>
      </c>
      <c r="I8374" t="s">
        <v>12</v>
      </c>
      <c r="J8374" t="s">
        <v>19144</v>
      </c>
    </row>
    <row r="8375" spans="1:10" x14ac:dyDescent="0.25">
      <c r="A8375">
        <v>3315450</v>
      </c>
      <c r="B8375" t="s">
        <v>8845</v>
      </c>
      <c r="C8375" t="str">
        <f>"9781593119218"</f>
        <v>9781593119218</v>
      </c>
      <c r="D8375" t="str">
        <f>"9781607526216"</f>
        <v>9781607526216</v>
      </c>
      <c r="E8375" t="s">
        <v>8778</v>
      </c>
      <c r="F8375" t="s">
        <v>8779</v>
      </c>
      <c r="G8375" s="1">
        <v>39569</v>
      </c>
      <c r="H8375" s="1">
        <v>40504</v>
      </c>
      <c r="I8375" t="s">
        <v>12</v>
      </c>
      <c r="J8375" t="s">
        <v>19145</v>
      </c>
    </row>
    <row r="8376" spans="1:10" x14ac:dyDescent="0.25">
      <c r="A8376">
        <v>3315455</v>
      </c>
      <c r="B8376" t="s">
        <v>8846</v>
      </c>
      <c r="C8376" t="str">
        <f>"9781593116781"</f>
        <v>9781593116781</v>
      </c>
      <c r="D8376" t="str">
        <f>"9781607525981"</f>
        <v>9781607525981</v>
      </c>
      <c r="E8376" t="s">
        <v>8778</v>
      </c>
      <c r="F8376" t="s">
        <v>8779</v>
      </c>
      <c r="G8376" s="1">
        <v>39264</v>
      </c>
      <c r="H8376" s="1">
        <v>40504</v>
      </c>
      <c r="I8376" t="s">
        <v>12</v>
      </c>
      <c r="J8376" t="s">
        <v>19146</v>
      </c>
    </row>
    <row r="8377" spans="1:10" x14ac:dyDescent="0.25">
      <c r="A8377">
        <v>3315472</v>
      </c>
      <c r="B8377" t="s">
        <v>8847</v>
      </c>
      <c r="C8377" t="str">
        <f>"9781593115838"</f>
        <v>9781593115838</v>
      </c>
      <c r="D8377" t="str">
        <f>"9781607525820"</f>
        <v>9781607525820</v>
      </c>
      <c r="E8377" t="s">
        <v>8778</v>
      </c>
      <c r="F8377" t="s">
        <v>8779</v>
      </c>
      <c r="G8377" s="1">
        <v>39052</v>
      </c>
      <c r="H8377" s="1">
        <v>40504</v>
      </c>
      <c r="I8377" t="s">
        <v>12</v>
      </c>
      <c r="J8377" t="s">
        <v>19147</v>
      </c>
    </row>
    <row r="8378" spans="1:10" x14ac:dyDescent="0.25">
      <c r="A8378">
        <v>3315478</v>
      </c>
      <c r="B8378" t="s">
        <v>8848</v>
      </c>
      <c r="C8378" t="str">
        <f>"9781593116347"</f>
        <v>9781593116347</v>
      </c>
      <c r="D8378" t="str">
        <f>"9781607525936"</f>
        <v>9781607525936</v>
      </c>
      <c r="E8378" t="s">
        <v>8778</v>
      </c>
      <c r="F8378" t="s">
        <v>8779</v>
      </c>
      <c r="G8378" s="1">
        <v>39142</v>
      </c>
      <c r="H8378" s="1">
        <v>40504</v>
      </c>
      <c r="I8378" t="s">
        <v>12</v>
      </c>
      <c r="J8378" t="s">
        <v>19148</v>
      </c>
    </row>
    <row r="8379" spans="1:10" x14ac:dyDescent="0.25">
      <c r="A8379">
        <v>3315482</v>
      </c>
      <c r="B8379" t="s">
        <v>8849</v>
      </c>
      <c r="C8379" t="str">
        <f>"9781593117474"</f>
        <v>9781593117474</v>
      </c>
      <c r="D8379" t="str">
        <f>"9781607526070"</f>
        <v>9781607526070</v>
      </c>
      <c r="E8379" t="s">
        <v>8778</v>
      </c>
      <c r="F8379" t="s">
        <v>8779</v>
      </c>
      <c r="G8379" s="1">
        <v>39142</v>
      </c>
      <c r="H8379" s="1">
        <v>40504</v>
      </c>
      <c r="I8379" t="s">
        <v>12</v>
      </c>
      <c r="J8379" t="s">
        <v>19149</v>
      </c>
    </row>
    <row r="8380" spans="1:10" x14ac:dyDescent="0.25">
      <c r="A8380">
        <v>3315488</v>
      </c>
      <c r="B8380" t="s">
        <v>8850</v>
      </c>
      <c r="C8380" t="str">
        <f>"9781593118846"</f>
        <v>9781593118846</v>
      </c>
      <c r="D8380" t="str">
        <f>"9781607526483"</f>
        <v>9781607526483</v>
      </c>
      <c r="E8380" t="s">
        <v>8778</v>
      </c>
      <c r="F8380" t="s">
        <v>8779</v>
      </c>
      <c r="G8380" s="1">
        <v>39479</v>
      </c>
      <c r="H8380" s="1">
        <v>40504</v>
      </c>
      <c r="I8380" t="s">
        <v>12</v>
      </c>
      <c r="J8380" t="s">
        <v>19150</v>
      </c>
    </row>
    <row r="8381" spans="1:10" x14ac:dyDescent="0.25">
      <c r="A8381">
        <v>3315495</v>
      </c>
      <c r="B8381" t="s">
        <v>8851</v>
      </c>
      <c r="C8381" t="str">
        <f>"9781593117429"</f>
        <v>9781593117429</v>
      </c>
      <c r="D8381" t="str">
        <f>"9781607527329"</f>
        <v>9781607527329</v>
      </c>
      <c r="E8381" t="s">
        <v>8778</v>
      </c>
      <c r="F8381" t="s">
        <v>8779</v>
      </c>
      <c r="G8381" s="1">
        <v>39173</v>
      </c>
      <c r="H8381" s="1">
        <v>40564</v>
      </c>
      <c r="I8381" t="s">
        <v>12</v>
      </c>
      <c r="J8381" t="s">
        <v>19151</v>
      </c>
    </row>
    <row r="8382" spans="1:10" x14ac:dyDescent="0.25">
      <c r="A8382">
        <v>3315512</v>
      </c>
      <c r="B8382" t="s">
        <v>8852</v>
      </c>
      <c r="C8382" t="str">
        <f>"9781931576802"</f>
        <v>9781931576802</v>
      </c>
      <c r="D8382" t="str">
        <f>"9781607525561"</f>
        <v>9781607525561</v>
      </c>
      <c r="E8382" t="s">
        <v>8778</v>
      </c>
      <c r="F8382" t="s">
        <v>8779</v>
      </c>
      <c r="G8382" s="1">
        <v>37257</v>
      </c>
      <c r="H8382" s="1">
        <v>40564</v>
      </c>
      <c r="I8382" t="s">
        <v>12</v>
      </c>
      <c r="J8382" t="s">
        <v>19152</v>
      </c>
    </row>
    <row r="8383" spans="1:10" x14ac:dyDescent="0.25">
      <c r="A8383">
        <v>3315528</v>
      </c>
      <c r="B8383" t="s">
        <v>8853</v>
      </c>
      <c r="C8383" t="str">
        <f>"9781593114466"</f>
        <v>9781593114466</v>
      </c>
      <c r="D8383" t="str">
        <f>"9781607524892"</f>
        <v>9781607524892</v>
      </c>
      <c r="E8383" t="s">
        <v>8778</v>
      </c>
      <c r="F8383" t="s">
        <v>8779</v>
      </c>
      <c r="G8383" s="1">
        <v>38838</v>
      </c>
      <c r="H8383" s="1">
        <v>40564</v>
      </c>
      <c r="I8383" t="s">
        <v>12</v>
      </c>
      <c r="J8383" t="s">
        <v>19153</v>
      </c>
    </row>
    <row r="8384" spans="1:10" x14ac:dyDescent="0.25">
      <c r="A8384">
        <v>3315533</v>
      </c>
      <c r="B8384" t="s">
        <v>8854</v>
      </c>
      <c r="C8384" t="str">
        <f>"9781593113582"</f>
        <v>9781593113582</v>
      </c>
      <c r="D8384" t="str">
        <f>"9781607527831"</f>
        <v>9781607527831</v>
      </c>
      <c r="E8384" t="s">
        <v>8778</v>
      </c>
      <c r="F8384" t="s">
        <v>8779</v>
      </c>
      <c r="G8384" s="1">
        <v>38596</v>
      </c>
      <c r="H8384" s="1">
        <v>40564</v>
      </c>
      <c r="I8384" t="s">
        <v>12</v>
      </c>
      <c r="J8384" t="s">
        <v>19154</v>
      </c>
    </row>
    <row r="8385" spans="1:10" x14ac:dyDescent="0.25">
      <c r="A8385">
        <v>3315534</v>
      </c>
      <c r="B8385" t="s">
        <v>8855</v>
      </c>
      <c r="C8385" t="str">
        <f>"9781931576925"</f>
        <v>9781931576925</v>
      </c>
      <c r="D8385" t="str">
        <f>"9781607525578"</f>
        <v>9781607525578</v>
      </c>
      <c r="E8385" t="s">
        <v>8778</v>
      </c>
      <c r="F8385" t="s">
        <v>8779</v>
      </c>
      <c r="G8385" s="1">
        <v>37622</v>
      </c>
      <c r="H8385" s="1">
        <v>40564</v>
      </c>
      <c r="I8385" t="s">
        <v>12</v>
      </c>
      <c r="J8385" t="s">
        <v>19155</v>
      </c>
    </row>
    <row r="8386" spans="1:10" x14ac:dyDescent="0.25">
      <c r="A8386">
        <v>3315536</v>
      </c>
      <c r="B8386" t="s">
        <v>8856</v>
      </c>
      <c r="C8386" t="str">
        <f>"9781593110024"</f>
        <v>9781593110024</v>
      </c>
      <c r="D8386" t="str">
        <f>"9781607527589"</f>
        <v>9781607527589</v>
      </c>
      <c r="E8386" t="s">
        <v>8778</v>
      </c>
      <c r="F8386" t="s">
        <v>8779</v>
      </c>
      <c r="G8386" s="1">
        <v>37622</v>
      </c>
      <c r="H8386" s="1">
        <v>40564</v>
      </c>
      <c r="I8386" t="s">
        <v>12</v>
      </c>
      <c r="J8386" t="s">
        <v>19156</v>
      </c>
    </row>
    <row r="8387" spans="1:10" x14ac:dyDescent="0.25">
      <c r="A8387">
        <v>3315573</v>
      </c>
      <c r="B8387" t="s">
        <v>8857</v>
      </c>
      <c r="C8387" t="str">
        <f>"9781930608146"</f>
        <v>9781930608146</v>
      </c>
      <c r="D8387" t="str">
        <f>"9781607527404"</f>
        <v>9781607527404</v>
      </c>
      <c r="E8387" t="s">
        <v>8778</v>
      </c>
      <c r="F8387" t="s">
        <v>8779</v>
      </c>
      <c r="G8387" s="1">
        <v>38869</v>
      </c>
      <c r="H8387" s="1">
        <v>40564</v>
      </c>
      <c r="I8387" t="s">
        <v>12</v>
      </c>
      <c r="J8387" t="s">
        <v>19157</v>
      </c>
    </row>
    <row r="8388" spans="1:10" x14ac:dyDescent="0.25">
      <c r="A8388">
        <v>3315576</v>
      </c>
      <c r="B8388" t="s">
        <v>8858</v>
      </c>
      <c r="C8388" t="str">
        <f>"9781593111786"</f>
        <v>9781593111786</v>
      </c>
      <c r="D8388" t="str">
        <f>"9781607528432"</f>
        <v>9781607528432</v>
      </c>
      <c r="E8388" t="s">
        <v>8778</v>
      </c>
      <c r="F8388" t="s">
        <v>8779</v>
      </c>
      <c r="G8388" s="1">
        <v>38292</v>
      </c>
      <c r="H8388" s="1">
        <v>40680</v>
      </c>
      <c r="I8388" t="s">
        <v>12</v>
      </c>
      <c r="J8388" t="s">
        <v>19158</v>
      </c>
    </row>
    <row r="8389" spans="1:10" x14ac:dyDescent="0.25">
      <c r="A8389">
        <v>3315621</v>
      </c>
      <c r="B8389" t="s">
        <v>8859</v>
      </c>
      <c r="C8389" t="str">
        <f>"9781593116989"</f>
        <v>9781593116989</v>
      </c>
      <c r="D8389" t="str">
        <f>"9781607528456"</f>
        <v>9781607528456</v>
      </c>
      <c r="E8389" t="s">
        <v>8778</v>
      </c>
      <c r="F8389" t="s">
        <v>8779</v>
      </c>
      <c r="G8389" s="1">
        <v>39203</v>
      </c>
      <c r="H8389" s="1">
        <v>40680</v>
      </c>
      <c r="I8389" t="s">
        <v>12</v>
      </c>
      <c r="J8389" t="s">
        <v>19159</v>
      </c>
    </row>
    <row r="8390" spans="1:10" x14ac:dyDescent="0.25">
      <c r="A8390">
        <v>3318265</v>
      </c>
      <c r="B8390" t="s">
        <v>8860</v>
      </c>
      <c r="C8390" t="str">
        <f>"9780801884405"</f>
        <v>9780801884405</v>
      </c>
      <c r="D8390" t="str">
        <f>"9780801889585"</f>
        <v>9780801889585</v>
      </c>
      <c r="E8390" t="s">
        <v>8861</v>
      </c>
      <c r="F8390" t="s">
        <v>8861</v>
      </c>
      <c r="G8390" s="1">
        <v>38926</v>
      </c>
      <c r="H8390" s="1">
        <v>39349</v>
      </c>
      <c r="I8390" t="s">
        <v>12</v>
      </c>
      <c r="J8390" t="s">
        <v>19160</v>
      </c>
    </row>
    <row r="8391" spans="1:10" x14ac:dyDescent="0.25">
      <c r="A8391">
        <v>3318339</v>
      </c>
      <c r="B8391" t="s">
        <v>8862</v>
      </c>
      <c r="C8391" t="str">
        <f>"9780801884054"</f>
        <v>9780801884054</v>
      </c>
      <c r="D8391" t="str">
        <f>"9780801891885"</f>
        <v>9780801891885</v>
      </c>
      <c r="E8391" t="s">
        <v>8861</v>
      </c>
      <c r="F8391" t="s">
        <v>8861</v>
      </c>
      <c r="G8391" s="1">
        <v>39146</v>
      </c>
      <c r="H8391" s="1">
        <v>39788</v>
      </c>
      <c r="I8391" t="s">
        <v>12</v>
      </c>
      <c r="J8391" t="s">
        <v>19161</v>
      </c>
    </row>
    <row r="8392" spans="1:10" x14ac:dyDescent="0.25">
      <c r="A8392">
        <v>3319464</v>
      </c>
      <c r="B8392" t="s">
        <v>8863</v>
      </c>
      <c r="C8392" t="str">
        <f>"9781604270389"</f>
        <v>9781604270389</v>
      </c>
      <c r="D8392" t="str">
        <f>"9781604277258"</f>
        <v>9781604277258</v>
      </c>
      <c r="E8392" t="s">
        <v>8864</v>
      </c>
      <c r="F8392" t="s">
        <v>8864</v>
      </c>
      <c r="G8392" s="1">
        <v>40817</v>
      </c>
      <c r="H8392" s="1">
        <v>40897</v>
      </c>
      <c r="I8392" t="s">
        <v>12</v>
      </c>
      <c r="J8392" t="s">
        <v>19162</v>
      </c>
    </row>
    <row r="8393" spans="1:10" x14ac:dyDescent="0.25">
      <c r="A8393">
        <v>3319472</v>
      </c>
      <c r="B8393" t="s">
        <v>8865</v>
      </c>
      <c r="C8393" t="str">
        <f>"9781604270235"</f>
        <v>9781604270235</v>
      </c>
      <c r="D8393" t="str">
        <f>"9781604277371"</f>
        <v>9781604277371</v>
      </c>
      <c r="E8393" t="s">
        <v>8866</v>
      </c>
      <c r="F8393" t="s">
        <v>8866</v>
      </c>
      <c r="G8393" s="1">
        <v>40513</v>
      </c>
      <c r="H8393" s="1">
        <v>40897</v>
      </c>
      <c r="I8393" t="s">
        <v>12</v>
      </c>
      <c r="J8393" t="s">
        <v>19163</v>
      </c>
    </row>
    <row r="8394" spans="1:10" x14ac:dyDescent="0.25">
      <c r="A8394">
        <v>3327105</v>
      </c>
      <c r="B8394" t="s">
        <v>8867</v>
      </c>
      <c r="C8394" t="str">
        <f>"9789087280598"</f>
        <v>9789087280598</v>
      </c>
      <c r="D8394" t="str">
        <f>"9789048507924"</f>
        <v>9789048507924</v>
      </c>
      <c r="E8394" t="s">
        <v>8868</v>
      </c>
      <c r="F8394" t="s">
        <v>8868</v>
      </c>
      <c r="G8394" s="1">
        <v>39876</v>
      </c>
      <c r="H8394" s="1">
        <v>39956</v>
      </c>
      <c r="I8394" t="s">
        <v>12</v>
      </c>
      <c r="J8394" t="s">
        <v>19164</v>
      </c>
    </row>
    <row r="8395" spans="1:10" x14ac:dyDescent="0.25">
      <c r="A8395">
        <v>3327112</v>
      </c>
      <c r="B8395" t="s">
        <v>8869</v>
      </c>
      <c r="C8395" t="str">
        <f>"9789087280208"</f>
        <v>9789087280208</v>
      </c>
      <c r="D8395" t="str">
        <f>"9789048502110"</f>
        <v>9789048502110</v>
      </c>
      <c r="E8395" t="s">
        <v>8868</v>
      </c>
      <c r="F8395" t="s">
        <v>8868</v>
      </c>
      <c r="G8395" s="1">
        <v>39146</v>
      </c>
      <c r="H8395" s="1">
        <v>39970</v>
      </c>
      <c r="I8395" t="s">
        <v>12</v>
      </c>
      <c r="J8395" t="s">
        <v>19165</v>
      </c>
    </row>
    <row r="8396" spans="1:10" x14ac:dyDescent="0.25">
      <c r="A8396">
        <v>3328207</v>
      </c>
      <c r="B8396" t="s">
        <v>8870</v>
      </c>
      <c r="C8396" t="str">
        <f>"9780977861712"</f>
        <v>9780977861712</v>
      </c>
      <c r="D8396" t="str">
        <f>"9781936117239"</f>
        <v>9781936117239</v>
      </c>
      <c r="E8396" t="s">
        <v>8871</v>
      </c>
      <c r="F8396" t="s">
        <v>8872</v>
      </c>
      <c r="G8396" s="1">
        <v>38718</v>
      </c>
      <c r="H8396" s="1">
        <v>40245</v>
      </c>
      <c r="I8396" t="s">
        <v>12</v>
      </c>
      <c r="J8396" t="s">
        <v>19166</v>
      </c>
    </row>
    <row r="8397" spans="1:10" x14ac:dyDescent="0.25">
      <c r="A8397">
        <v>3328210</v>
      </c>
      <c r="B8397" t="s">
        <v>8873</v>
      </c>
      <c r="C8397" t="str">
        <f>"9780980200423"</f>
        <v>9780980200423</v>
      </c>
      <c r="D8397" t="str">
        <f>"9781936117376"</f>
        <v>9781936117376</v>
      </c>
      <c r="E8397" t="s">
        <v>8874</v>
      </c>
      <c r="F8397" t="s">
        <v>8872</v>
      </c>
      <c r="G8397" s="1">
        <v>39814</v>
      </c>
      <c r="H8397" s="1">
        <v>40245</v>
      </c>
      <c r="I8397" t="s">
        <v>12</v>
      </c>
      <c r="J8397" t="s">
        <v>19167</v>
      </c>
    </row>
    <row r="8398" spans="1:10" x14ac:dyDescent="0.25">
      <c r="A8398">
        <v>3328212</v>
      </c>
      <c r="B8398" t="s">
        <v>8875</v>
      </c>
      <c r="C8398" t="str">
        <f>"9780977861774"</f>
        <v>9780977861774</v>
      </c>
      <c r="D8398" t="str">
        <f>"9781936117260"</f>
        <v>9781936117260</v>
      </c>
      <c r="E8398" t="s">
        <v>8871</v>
      </c>
      <c r="F8398" t="s">
        <v>8872</v>
      </c>
      <c r="G8398" s="1">
        <v>34243</v>
      </c>
      <c r="H8398" s="1">
        <v>40245</v>
      </c>
      <c r="I8398" t="s">
        <v>12</v>
      </c>
      <c r="J8398" t="s">
        <v>19168</v>
      </c>
    </row>
    <row r="8399" spans="1:10" x14ac:dyDescent="0.25">
      <c r="A8399">
        <v>3328216</v>
      </c>
      <c r="B8399" t="s">
        <v>8876</v>
      </c>
      <c r="C8399" t="str">
        <f>"9780977861767"</f>
        <v>9780977861767</v>
      </c>
      <c r="D8399" t="str">
        <f>"9781936117253"</f>
        <v>9781936117253</v>
      </c>
      <c r="E8399" t="s">
        <v>8871</v>
      </c>
      <c r="F8399" t="s">
        <v>8872</v>
      </c>
      <c r="G8399" s="1">
        <v>39479</v>
      </c>
      <c r="H8399" s="1">
        <v>40245</v>
      </c>
      <c r="I8399" t="s">
        <v>12</v>
      </c>
      <c r="J8399" t="s">
        <v>19169</v>
      </c>
    </row>
    <row r="8400" spans="1:10" x14ac:dyDescent="0.25">
      <c r="A8400">
        <v>3328217</v>
      </c>
      <c r="B8400" t="s">
        <v>8877</v>
      </c>
      <c r="C8400" t="str">
        <f>"9780980200485"</f>
        <v>9780980200485</v>
      </c>
      <c r="D8400" t="str">
        <f>"9781936117291"</f>
        <v>9781936117291</v>
      </c>
      <c r="E8400" t="s">
        <v>8871</v>
      </c>
      <c r="F8400" t="s">
        <v>8872</v>
      </c>
      <c r="G8400" s="1">
        <v>39539</v>
      </c>
      <c r="H8400" s="1">
        <v>40245</v>
      </c>
      <c r="I8400" t="s">
        <v>12</v>
      </c>
      <c r="J8400" t="s">
        <v>19170</v>
      </c>
    </row>
    <row r="8401" spans="1:10" x14ac:dyDescent="0.25">
      <c r="A8401">
        <v>3329163</v>
      </c>
      <c r="B8401" t="s">
        <v>8878</v>
      </c>
      <c r="C8401" t="str">
        <f>"9781898683889"</f>
        <v>9781898683889</v>
      </c>
      <c r="D8401" t="str">
        <f>"9781908316295"</f>
        <v>9781908316295</v>
      </c>
      <c r="E8401" t="s">
        <v>8879</v>
      </c>
      <c r="F8401" t="s">
        <v>8879</v>
      </c>
      <c r="G8401" s="1">
        <v>40603</v>
      </c>
      <c r="H8401" s="1">
        <v>40598</v>
      </c>
      <c r="I8401" t="s">
        <v>12</v>
      </c>
      <c r="J8401" t="s">
        <v>19171</v>
      </c>
    </row>
    <row r="8402" spans="1:10" x14ac:dyDescent="0.25">
      <c r="A8402">
        <v>3330705</v>
      </c>
      <c r="B8402" t="s">
        <v>8880</v>
      </c>
      <c r="C8402" t="str">
        <f>"9780773526440"</f>
        <v>9780773526440</v>
      </c>
      <c r="D8402" t="str">
        <f>"9780773571624"</f>
        <v>9780773571624</v>
      </c>
      <c r="E8402" t="s">
        <v>8881</v>
      </c>
      <c r="F8402" t="s">
        <v>8881</v>
      </c>
      <c r="G8402" s="1">
        <v>38260</v>
      </c>
      <c r="H8402" s="1">
        <v>38975</v>
      </c>
      <c r="I8402" t="s">
        <v>12</v>
      </c>
      <c r="J8402" t="s">
        <v>19172</v>
      </c>
    </row>
    <row r="8403" spans="1:10" x14ac:dyDescent="0.25">
      <c r="A8403">
        <v>3330948</v>
      </c>
      <c r="B8403" t="s">
        <v>8882</v>
      </c>
      <c r="C8403" t="str">
        <f>"9780773522954"</f>
        <v>9780773522954</v>
      </c>
      <c r="D8403" t="str">
        <f>"9780773569812"</f>
        <v>9780773569812</v>
      </c>
      <c r="E8403" t="s">
        <v>8881</v>
      </c>
      <c r="F8403" t="s">
        <v>8881</v>
      </c>
      <c r="G8403" s="1">
        <v>37397</v>
      </c>
      <c r="H8403" s="1">
        <v>39024</v>
      </c>
      <c r="I8403" t="s">
        <v>12</v>
      </c>
      <c r="J8403" t="s">
        <v>19173</v>
      </c>
    </row>
    <row r="8404" spans="1:10" x14ac:dyDescent="0.25">
      <c r="A8404">
        <v>3331349</v>
      </c>
      <c r="B8404" t="s">
        <v>8883</v>
      </c>
      <c r="C8404" t="str">
        <f>"9780773522985"</f>
        <v>9780773522985</v>
      </c>
      <c r="D8404" t="str">
        <f>"9780773569836"</f>
        <v>9780773569836</v>
      </c>
      <c r="E8404" t="s">
        <v>8884</v>
      </c>
      <c r="F8404" t="s">
        <v>8884</v>
      </c>
      <c r="G8404" s="1">
        <v>37189</v>
      </c>
      <c r="H8404" s="1">
        <v>39024</v>
      </c>
      <c r="I8404" t="s">
        <v>12</v>
      </c>
      <c r="J8404" t="s">
        <v>19174</v>
      </c>
    </row>
    <row r="8405" spans="1:10" x14ac:dyDescent="0.25">
      <c r="A8405">
        <v>3331422</v>
      </c>
      <c r="B8405" t="s">
        <v>8885</v>
      </c>
      <c r="C8405" t="str">
        <f>"9780773521667"</f>
        <v>9780773521667</v>
      </c>
      <c r="D8405" t="str">
        <f>"9780773569072"</f>
        <v>9780773569072</v>
      </c>
      <c r="E8405" t="s">
        <v>8884</v>
      </c>
      <c r="F8405" t="s">
        <v>8884</v>
      </c>
      <c r="G8405" s="1">
        <v>36706</v>
      </c>
      <c r="H8405" s="1">
        <v>39049</v>
      </c>
      <c r="I8405" t="s">
        <v>12</v>
      </c>
      <c r="J8405" t="s">
        <v>19175</v>
      </c>
    </row>
    <row r="8406" spans="1:10" x14ac:dyDescent="0.25">
      <c r="A8406">
        <v>3331451</v>
      </c>
      <c r="B8406" t="s">
        <v>8886</v>
      </c>
      <c r="C8406" t="str">
        <f>"9780773525269"</f>
        <v>9780773525269</v>
      </c>
      <c r="D8406" t="str">
        <f>"9780773570955"</f>
        <v>9780773570955</v>
      </c>
      <c r="E8406" t="s">
        <v>8881</v>
      </c>
      <c r="F8406" t="s">
        <v>8881</v>
      </c>
      <c r="G8406" s="1">
        <v>37768</v>
      </c>
      <c r="H8406" s="1">
        <v>39049</v>
      </c>
      <c r="I8406" t="s">
        <v>12</v>
      </c>
      <c r="J8406" t="s">
        <v>19176</v>
      </c>
    </row>
    <row r="8407" spans="1:10" x14ac:dyDescent="0.25">
      <c r="A8407">
        <v>3331467</v>
      </c>
      <c r="B8407" t="s">
        <v>8887</v>
      </c>
      <c r="C8407" t="str">
        <f>"9780773520561"</f>
        <v>9780773520561</v>
      </c>
      <c r="D8407" t="str">
        <f>"9780773568471"</f>
        <v>9780773568471</v>
      </c>
      <c r="E8407" t="s">
        <v>8881</v>
      </c>
      <c r="F8407" t="s">
        <v>8881</v>
      </c>
      <c r="G8407" s="1">
        <v>36908</v>
      </c>
      <c r="H8407" s="1">
        <v>39049</v>
      </c>
      <c r="I8407" t="s">
        <v>12</v>
      </c>
      <c r="J8407" t="s">
        <v>19177</v>
      </c>
    </row>
    <row r="8408" spans="1:10" x14ac:dyDescent="0.25">
      <c r="A8408">
        <v>3331478</v>
      </c>
      <c r="B8408" t="s">
        <v>8888</v>
      </c>
      <c r="C8408" t="str">
        <f>"9780773521742"</f>
        <v>9780773521742</v>
      </c>
      <c r="D8408" t="str">
        <f>"9780773569133"</f>
        <v>9780773569133</v>
      </c>
      <c r="E8408" t="s">
        <v>8881</v>
      </c>
      <c r="F8408" t="s">
        <v>8881</v>
      </c>
      <c r="G8408" s="1">
        <v>37061</v>
      </c>
      <c r="H8408" s="1">
        <v>39049</v>
      </c>
      <c r="I8408" t="s">
        <v>12</v>
      </c>
      <c r="J8408" t="s">
        <v>19178</v>
      </c>
    </row>
    <row r="8409" spans="1:10" x14ac:dyDescent="0.25">
      <c r="A8409">
        <v>3331491</v>
      </c>
      <c r="B8409" t="s">
        <v>8889</v>
      </c>
      <c r="C8409" t="str">
        <f>"9780773522909"</f>
        <v>9780773522909</v>
      </c>
      <c r="D8409" t="str">
        <f>"9780773569782"</f>
        <v>9780773569782</v>
      </c>
      <c r="E8409" t="s">
        <v>8881</v>
      </c>
      <c r="F8409" t="s">
        <v>8881</v>
      </c>
      <c r="G8409" s="1">
        <v>37389</v>
      </c>
      <c r="H8409" s="1">
        <v>39049</v>
      </c>
      <c r="I8409" t="s">
        <v>12</v>
      </c>
      <c r="J8409" t="s">
        <v>19179</v>
      </c>
    </row>
    <row r="8410" spans="1:10" x14ac:dyDescent="0.25">
      <c r="A8410">
        <v>3331499</v>
      </c>
      <c r="B8410" t="s">
        <v>8890</v>
      </c>
      <c r="C8410" t="str">
        <f>"9780773523487"</f>
        <v>9780773523487</v>
      </c>
      <c r="D8410" t="str">
        <f>"9780773570115"</f>
        <v>9780773570115</v>
      </c>
      <c r="E8410" t="s">
        <v>8881</v>
      </c>
      <c r="F8410" t="s">
        <v>8881</v>
      </c>
      <c r="G8410" s="1">
        <v>37511</v>
      </c>
      <c r="H8410" s="1">
        <v>39049</v>
      </c>
      <c r="I8410" t="s">
        <v>12</v>
      </c>
      <c r="J8410" t="s">
        <v>19180</v>
      </c>
    </row>
    <row r="8411" spans="1:10" x14ac:dyDescent="0.25">
      <c r="A8411">
        <v>3331561</v>
      </c>
      <c r="B8411" t="s">
        <v>8891</v>
      </c>
      <c r="C8411" t="str">
        <f>"9780773528604"</f>
        <v>9780773528604</v>
      </c>
      <c r="D8411" t="str">
        <f>"9780773572645"</f>
        <v>9780773572645</v>
      </c>
      <c r="E8411" t="s">
        <v>8884</v>
      </c>
      <c r="F8411" t="s">
        <v>8884</v>
      </c>
      <c r="G8411" s="1">
        <v>38559</v>
      </c>
      <c r="H8411" s="1">
        <v>39293</v>
      </c>
      <c r="I8411" t="s">
        <v>12</v>
      </c>
      <c r="J8411" t="s">
        <v>19181</v>
      </c>
    </row>
    <row r="8412" spans="1:10" x14ac:dyDescent="0.25">
      <c r="A8412">
        <v>3331605</v>
      </c>
      <c r="B8412" t="s">
        <v>8892</v>
      </c>
      <c r="C8412" t="str">
        <f>"9780773528734"</f>
        <v>9780773528734</v>
      </c>
      <c r="D8412" t="str">
        <f>"9780773572744"</f>
        <v>9780773572744</v>
      </c>
      <c r="E8412" t="s">
        <v>8881</v>
      </c>
      <c r="F8412" t="s">
        <v>8881</v>
      </c>
      <c r="G8412" s="1">
        <v>38397</v>
      </c>
      <c r="H8412" s="1">
        <v>39293</v>
      </c>
      <c r="I8412" t="s">
        <v>12</v>
      </c>
      <c r="J8412" t="s">
        <v>19182</v>
      </c>
    </row>
    <row r="8413" spans="1:10" x14ac:dyDescent="0.25">
      <c r="A8413">
        <v>3331811</v>
      </c>
      <c r="B8413" t="s">
        <v>8893</v>
      </c>
      <c r="C8413" t="str">
        <f>"9780773530072"</f>
        <v>9780773530072</v>
      </c>
      <c r="D8413" t="str">
        <f>"9780773573277"</f>
        <v>9780773573277</v>
      </c>
      <c r="E8413" t="s">
        <v>8884</v>
      </c>
      <c r="F8413" t="s">
        <v>8884</v>
      </c>
      <c r="G8413" s="1">
        <v>38630</v>
      </c>
      <c r="H8413" s="1">
        <v>39576</v>
      </c>
      <c r="I8413" t="s">
        <v>12</v>
      </c>
      <c r="J8413" t="s">
        <v>19183</v>
      </c>
    </row>
    <row r="8414" spans="1:10" x14ac:dyDescent="0.25">
      <c r="A8414">
        <v>3338547</v>
      </c>
      <c r="B8414" t="s">
        <v>8894</v>
      </c>
      <c r="C8414" t="str">
        <f>"9780262134682"</f>
        <v>9780262134682</v>
      </c>
      <c r="D8414" t="str">
        <f>"9780262279987"</f>
        <v>9780262279987</v>
      </c>
      <c r="E8414" t="s">
        <v>8895</v>
      </c>
      <c r="F8414" t="s">
        <v>8895</v>
      </c>
      <c r="G8414" s="1">
        <v>38933</v>
      </c>
      <c r="H8414" s="1">
        <v>39261</v>
      </c>
      <c r="I8414" t="s">
        <v>12</v>
      </c>
      <c r="J8414" t="s">
        <v>19184</v>
      </c>
    </row>
    <row r="8415" spans="1:10" x14ac:dyDescent="0.25">
      <c r="A8415">
        <v>3338579</v>
      </c>
      <c r="B8415" t="s">
        <v>8896</v>
      </c>
      <c r="C8415" t="str">
        <f>"9780262201667"</f>
        <v>9780262201667</v>
      </c>
      <c r="D8415" t="str">
        <f>"9780262257077"</f>
        <v>9780262257077</v>
      </c>
      <c r="E8415" t="s">
        <v>8895</v>
      </c>
      <c r="F8415" t="s">
        <v>8895</v>
      </c>
      <c r="G8415" s="1">
        <v>39066</v>
      </c>
      <c r="H8415" s="1">
        <v>39261</v>
      </c>
      <c r="I8415" t="s">
        <v>12</v>
      </c>
      <c r="J8415" t="s">
        <v>19185</v>
      </c>
    </row>
    <row r="8416" spans="1:10" x14ac:dyDescent="0.25">
      <c r="A8416">
        <v>3338587</v>
      </c>
      <c r="B8416" t="s">
        <v>8897</v>
      </c>
      <c r="C8416" t="str">
        <f>"9780262083553"</f>
        <v>9780262083553</v>
      </c>
      <c r="D8416" t="str">
        <f>"9780262274968"</f>
        <v>9780262274968</v>
      </c>
      <c r="E8416" t="s">
        <v>8895</v>
      </c>
      <c r="F8416" t="s">
        <v>8895</v>
      </c>
      <c r="G8416" s="1">
        <v>39043</v>
      </c>
      <c r="H8416" s="1">
        <v>39261</v>
      </c>
      <c r="I8416" t="s">
        <v>12</v>
      </c>
      <c r="J8416" t="s">
        <v>19186</v>
      </c>
    </row>
    <row r="8417" spans="1:10" x14ac:dyDescent="0.25">
      <c r="A8417">
        <v>3338692</v>
      </c>
      <c r="B8417" t="s">
        <v>8898</v>
      </c>
      <c r="C8417" t="str">
        <f>"9780262122924"</f>
        <v>9780262122924</v>
      </c>
      <c r="D8417" t="str">
        <f>"9780262277914"</f>
        <v>9780262277914</v>
      </c>
      <c r="E8417" t="s">
        <v>8895</v>
      </c>
      <c r="F8417" t="s">
        <v>8895</v>
      </c>
      <c r="G8417" s="1">
        <v>39311</v>
      </c>
      <c r="H8417" s="1">
        <v>39349</v>
      </c>
      <c r="I8417" t="s">
        <v>12</v>
      </c>
      <c r="J8417" t="s">
        <v>19187</v>
      </c>
    </row>
    <row r="8418" spans="1:10" x14ac:dyDescent="0.25">
      <c r="A8418">
        <v>3338696</v>
      </c>
      <c r="B8418" t="s">
        <v>8899</v>
      </c>
      <c r="C8418" t="str">
        <f>"9780262042376"</f>
        <v>9780262042376</v>
      </c>
      <c r="D8418" t="str">
        <f>"9780262271479"</f>
        <v>9780262271479</v>
      </c>
      <c r="E8418" t="s">
        <v>8895</v>
      </c>
      <c r="F8418" t="s">
        <v>8895</v>
      </c>
      <c r="G8418" s="1">
        <v>39220</v>
      </c>
      <c r="H8418" s="1">
        <v>39349</v>
      </c>
      <c r="I8418" t="s">
        <v>12</v>
      </c>
      <c r="J8418" t="s">
        <v>19188</v>
      </c>
    </row>
    <row r="8419" spans="1:10" x14ac:dyDescent="0.25">
      <c r="A8419">
        <v>3338723</v>
      </c>
      <c r="B8419" t="s">
        <v>8900</v>
      </c>
      <c r="C8419" t="str">
        <f>"9780262026246"</f>
        <v>9780262026246</v>
      </c>
      <c r="D8419" t="str">
        <f>"9780262267861"</f>
        <v>9780262267861</v>
      </c>
      <c r="E8419" t="s">
        <v>8895</v>
      </c>
      <c r="F8419" t="s">
        <v>8895</v>
      </c>
      <c r="G8419" s="1">
        <v>39339</v>
      </c>
      <c r="H8419" s="1">
        <v>39392</v>
      </c>
      <c r="I8419" t="s">
        <v>12</v>
      </c>
      <c r="J8419" t="s">
        <v>19189</v>
      </c>
    </row>
    <row r="8420" spans="1:10" x14ac:dyDescent="0.25">
      <c r="A8420">
        <v>3338729</v>
      </c>
      <c r="B8420" t="s">
        <v>8901</v>
      </c>
      <c r="C8420" t="str">
        <f>"9780262532945"</f>
        <v>9780262532945</v>
      </c>
      <c r="D8420" t="str">
        <f>"9780262288149"</f>
        <v>9780262288149</v>
      </c>
      <c r="E8420" t="s">
        <v>8895</v>
      </c>
      <c r="F8420" t="s">
        <v>8895</v>
      </c>
      <c r="G8420" s="1">
        <v>39353</v>
      </c>
      <c r="H8420" s="1">
        <v>39392</v>
      </c>
      <c r="I8420" t="s">
        <v>12</v>
      </c>
      <c r="J8420" t="s">
        <v>19190</v>
      </c>
    </row>
    <row r="8421" spans="1:10" x14ac:dyDescent="0.25">
      <c r="A8421">
        <v>3338730</v>
      </c>
      <c r="B8421" t="s">
        <v>8902</v>
      </c>
      <c r="C8421" t="str">
        <f>"9780262151184"</f>
        <v>9780262151184</v>
      </c>
      <c r="D8421" t="str">
        <f>"9780262280921"</f>
        <v>9780262280921</v>
      </c>
      <c r="E8421" t="s">
        <v>8895</v>
      </c>
      <c r="F8421" t="s">
        <v>8903</v>
      </c>
      <c r="G8421" s="1">
        <v>39255</v>
      </c>
      <c r="H8421" s="1">
        <v>39392</v>
      </c>
      <c r="I8421" t="s">
        <v>12</v>
      </c>
      <c r="J8421" t="s">
        <v>19191</v>
      </c>
    </row>
    <row r="8422" spans="1:10" x14ac:dyDescent="0.25">
      <c r="A8422">
        <v>3338733</v>
      </c>
      <c r="B8422" t="s">
        <v>8904</v>
      </c>
      <c r="C8422" t="str">
        <f>"9780262026239"</f>
        <v>9780262026239</v>
      </c>
      <c r="D8422" t="str">
        <f>"9780262269513"</f>
        <v>9780262269513</v>
      </c>
      <c r="E8422" t="s">
        <v>8895</v>
      </c>
      <c r="F8422" t="s">
        <v>8903</v>
      </c>
      <c r="G8422" s="1">
        <v>39346</v>
      </c>
      <c r="H8422" s="1">
        <v>39392</v>
      </c>
      <c r="I8422" t="s">
        <v>12</v>
      </c>
      <c r="J8422" t="s">
        <v>19192</v>
      </c>
    </row>
    <row r="8423" spans="1:10" x14ac:dyDescent="0.25">
      <c r="A8423">
        <v>3338734</v>
      </c>
      <c r="B8423" t="s">
        <v>8905</v>
      </c>
      <c r="C8423" t="str">
        <f>"9780262042437"</f>
        <v>9780262042437</v>
      </c>
      <c r="D8423" t="str">
        <f>"9780262271844"</f>
        <v>9780262271844</v>
      </c>
      <c r="E8423" t="s">
        <v>8895</v>
      </c>
      <c r="F8423" t="s">
        <v>8895</v>
      </c>
      <c r="G8423" s="1">
        <v>39360</v>
      </c>
      <c r="H8423" s="1">
        <v>39392</v>
      </c>
      <c r="I8423" t="s">
        <v>12</v>
      </c>
      <c r="J8423" t="s">
        <v>19193</v>
      </c>
    </row>
    <row r="8424" spans="1:10" x14ac:dyDescent="0.25">
      <c r="A8424">
        <v>3338759</v>
      </c>
      <c r="B8424" t="s">
        <v>8906</v>
      </c>
      <c r="C8424" t="str">
        <f>"9780262062664"</f>
        <v>9780262062664</v>
      </c>
      <c r="D8424" t="str">
        <f>"9780262273138"</f>
        <v>9780262273138</v>
      </c>
      <c r="E8424" t="s">
        <v>8895</v>
      </c>
      <c r="F8424" t="s">
        <v>8895</v>
      </c>
      <c r="G8424" s="1">
        <v>39325</v>
      </c>
      <c r="H8424" s="1">
        <v>39485</v>
      </c>
      <c r="I8424" t="s">
        <v>12</v>
      </c>
      <c r="J8424" t="s">
        <v>19194</v>
      </c>
    </row>
    <row r="8425" spans="1:10" x14ac:dyDescent="0.25">
      <c r="A8425">
        <v>3338779</v>
      </c>
      <c r="B8425" t="s">
        <v>8907</v>
      </c>
      <c r="C8425" t="str">
        <f>"9780262113106"</f>
        <v>9780262113106</v>
      </c>
      <c r="D8425" t="str">
        <f>"9780262277563"</f>
        <v>9780262277563</v>
      </c>
      <c r="E8425" t="s">
        <v>8895</v>
      </c>
      <c r="F8425" t="s">
        <v>8895</v>
      </c>
      <c r="G8425" s="1">
        <v>39542</v>
      </c>
      <c r="H8425" s="1">
        <v>39574</v>
      </c>
      <c r="I8425" t="s">
        <v>12</v>
      </c>
      <c r="J8425" t="s">
        <v>19195</v>
      </c>
    </row>
    <row r="8426" spans="1:10" x14ac:dyDescent="0.25">
      <c r="A8426">
        <v>3338780</v>
      </c>
      <c r="B8426" t="s">
        <v>8908</v>
      </c>
      <c r="C8426" t="str">
        <f>"9780262062640"</f>
        <v>9780262062640</v>
      </c>
      <c r="D8426" t="str">
        <f>"9780262272803"</f>
        <v>9780262272803</v>
      </c>
      <c r="E8426" t="s">
        <v>8895</v>
      </c>
      <c r="F8426" t="s">
        <v>8903</v>
      </c>
      <c r="G8426" s="1">
        <v>39351</v>
      </c>
      <c r="H8426" s="1">
        <v>39574</v>
      </c>
      <c r="I8426" t="s">
        <v>12</v>
      </c>
      <c r="J8426" t="s">
        <v>19196</v>
      </c>
    </row>
    <row r="8427" spans="1:10" x14ac:dyDescent="0.25">
      <c r="A8427">
        <v>3338785</v>
      </c>
      <c r="B8427" t="s">
        <v>8909</v>
      </c>
      <c r="C8427" t="str">
        <f>"9780262033749"</f>
        <v>9780262033749</v>
      </c>
      <c r="D8427" t="str">
        <f>"9780262270106"</f>
        <v>9780262270106</v>
      </c>
      <c r="E8427" t="s">
        <v>8895</v>
      </c>
      <c r="F8427" t="s">
        <v>8895</v>
      </c>
      <c r="G8427" s="1">
        <v>39535</v>
      </c>
      <c r="H8427" s="1">
        <v>39574</v>
      </c>
      <c r="I8427" t="s">
        <v>12</v>
      </c>
      <c r="J8427" t="s">
        <v>19197</v>
      </c>
    </row>
    <row r="8428" spans="1:10" x14ac:dyDescent="0.25">
      <c r="A8428">
        <v>3338786</v>
      </c>
      <c r="B8428" t="s">
        <v>8910</v>
      </c>
      <c r="C8428" t="str">
        <f>"9780262026215"</f>
        <v>9780262026215</v>
      </c>
      <c r="D8428" t="str">
        <f>"9780262268011"</f>
        <v>9780262268011</v>
      </c>
      <c r="E8428" t="s">
        <v>8895</v>
      </c>
      <c r="F8428" t="s">
        <v>8903</v>
      </c>
      <c r="G8428" s="1">
        <v>39528</v>
      </c>
      <c r="H8428" s="1">
        <v>39574</v>
      </c>
      <c r="I8428" t="s">
        <v>12</v>
      </c>
      <c r="J8428" t="s">
        <v>19198</v>
      </c>
    </row>
    <row r="8429" spans="1:10" x14ac:dyDescent="0.25">
      <c r="A8429">
        <v>3338787</v>
      </c>
      <c r="B8429" t="s">
        <v>8911</v>
      </c>
      <c r="C8429" t="str">
        <f>"9780262072908"</f>
        <v>9780262072908</v>
      </c>
      <c r="D8429" t="str">
        <f>"9780262274289"</f>
        <v>9780262274289</v>
      </c>
      <c r="E8429" t="s">
        <v>8895</v>
      </c>
      <c r="F8429" t="s">
        <v>8895</v>
      </c>
      <c r="G8429" s="1">
        <v>39535</v>
      </c>
      <c r="H8429" s="1">
        <v>39574</v>
      </c>
      <c r="I8429" t="s">
        <v>12</v>
      </c>
      <c r="J8429" t="s">
        <v>19199</v>
      </c>
    </row>
    <row r="8430" spans="1:10" x14ac:dyDescent="0.25">
      <c r="A8430">
        <v>3338970</v>
      </c>
      <c r="B8430" t="s">
        <v>8912</v>
      </c>
      <c r="C8430" t="str">
        <f>"9780262141017"</f>
        <v>9780262141017</v>
      </c>
      <c r="D8430" t="str">
        <f>"9780262255110"</f>
        <v>9780262255110</v>
      </c>
      <c r="E8430" t="s">
        <v>8895</v>
      </c>
      <c r="F8430" t="s">
        <v>8895</v>
      </c>
      <c r="G8430" s="1">
        <v>39787</v>
      </c>
      <c r="H8430" s="1">
        <v>39827</v>
      </c>
      <c r="I8430" t="s">
        <v>12</v>
      </c>
      <c r="J8430" t="s">
        <v>19200</v>
      </c>
    </row>
    <row r="8431" spans="1:10" x14ac:dyDescent="0.25">
      <c r="A8431">
        <v>3338977</v>
      </c>
      <c r="B8431" t="s">
        <v>8913</v>
      </c>
      <c r="C8431" t="str">
        <f>"9780262072977"</f>
        <v>9780262072977</v>
      </c>
      <c r="D8431" t="str">
        <f>"9780262255097"</f>
        <v>9780262255097</v>
      </c>
      <c r="E8431" t="s">
        <v>8895</v>
      </c>
      <c r="F8431" t="s">
        <v>8895</v>
      </c>
      <c r="G8431" s="1">
        <v>39766</v>
      </c>
      <c r="H8431" s="1">
        <v>39827</v>
      </c>
      <c r="I8431" t="s">
        <v>12</v>
      </c>
      <c r="J8431" t="s">
        <v>19201</v>
      </c>
    </row>
    <row r="8432" spans="1:10" x14ac:dyDescent="0.25">
      <c r="A8432">
        <v>3338979</v>
      </c>
      <c r="B8432" t="s">
        <v>8914</v>
      </c>
      <c r="C8432" t="str">
        <f>"9780262162487"</f>
        <v>9780262162487</v>
      </c>
      <c r="D8432" t="str">
        <f>"9780262255530"</f>
        <v>9780262255530</v>
      </c>
      <c r="E8432" t="s">
        <v>8895</v>
      </c>
      <c r="F8432" t="s">
        <v>8895</v>
      </c>
      <c r="G8432" s="1">
        <v>39871</v>
      </c>
      <c r="H8432" s="1">
        <v>39827</v>
      </c>
      <c r="I8432" t="s">
        <v>12</v>
      </c>
      <c r="J8432" t="s">
        <v>19202</v>
      </c>
    </row>
    <row r="8433" spans="1:10" x14ac:dyDescent="0.25">
      <c r="A8433">
        <v>3339003</v>
      </c>
      <c r="B8433" t="s">
        <v>8915</v>
      </c>
      <c r="C8433" t="str">
        <f>"9780262012904"</f>
        <v>9780262012904</v>
      </c>
      <c r="D8433" t="str">
        <f>"9780262255332"</f>
        <v>9780262255332</v>
      </c>
      <c r="E8433" t="s">
        <v>8895</v>
      </c>
      <c r="F8433" t="s">
        <v>8895</v>
      </c>
      <c r="G8433" s="1">
        <v>39857</v>
      </c>
      <c r="H8433" s="1">
        <v>39893</v>
      </c>
      <c r="I8433" t="s">
        <v>12</v>
      </c>
      <c r="J8433" t="s">
        <v>19203</v>
      </c>
    </row>
    <row r="8434" spans="1:10" x14ac:dyDescent="0.25">
      <c r="A8434">
        <v>3339004</v>
      </c>
      <c r="B8434" t="s">
        <v>8916</v>
      </c>
      <c r="C8434" t="str">
        <f>"9780262012966"</f>
        <v>9780262012966</v>
      </c>
      <c r="D8434" t="str">
        <f>"9780262255233"</f>
        <v>9780262255233</v>
      </c>
      <c r="E8434" t="s">
        <v>8895</v>
      </c>
      <c r="F8434" t="s">
        <v>8895</v>
      </c>
      <c r="G8434" s="1">
        <v>39892</v>
      </c>
      <c r="H8434" s="1">
        <v>39893</v>
      </c>
      <c r="I8434" t="s">
        <v>12</v>
      </c>
      <c r="J8434" t="s">
        <v>19204</v>
      </c>
    </row>
    <row r="8435" spans="1:10" x14ac:dyDescent="0.25">
      <c r="A8435">
        <v>3339017</v>
      </c>
      <c r="B8435" t="s">
        <v>8917</v>
      </c>
      <c r="C8435" t="str">
        <f>"9780262182706"</f>
        <v>9780262182706</v>
      </c>
      <c r="D8435" t="str">
        <f>"9780262255325"</f>
        <v>9780262255325</v>
      </c>
      <c r="E8435" t="s">
        <v>8895</v>
      </c>
      <c r="F8435" t="s">
        <v>8895</v>
      </c>
      <c r="G8435" s="1">
        <v>39892</v>
      </c>
      <c r="H8435" s="1">
        <v>39928</v>
      </c>
      <c r="I8435" t="s">
        <v>12</v>
      </c>
      <c r="J8435" t="s">
        <v>19205</v>
      </c>
    </row>
    <row r="8436" spans="1:10" x14ac:dyDescent="0.25">
      <c r="A8436">
        <v>3339020</v>
      </c>
      <c r="B8436" t="s">
        <v>8918</v>
      </c>
      <c r="C8436" t="str">
        <f>"9780262012652"</f>
        <v>9780262012652</v>
      </c>
      <c r="D8436" t="str">
        <f>"9780262255134"</f>
        <v>9780262255134</v>
      </c>
      <c r="E8436" t="s">
        <v>8895</v>
      </c>
      <c r="F8436" t="s">
        <v>8895</v>
      </c>
      <c r="G8436" s="1">
        <v>39927</v>
      </c>
      <c r="H8436" s="1">
        <v>39928</v>
      </c>
      <c r="I8436" t="s">
        <v>12</v>
      </c>
      <c r="J8436" t="s">
        <v>19206</v>
      </c>
    </row>
    <row r="8437" spans="1:10" x14ac:dyDescent="0.25">
      <c r="A8437">
        <v>3339022</v>
      </c>
      <c r="B8437" t="s">
        <v>8919</v>
      </c>
      <c r="C8437" t="str">
        <f>"9780262012690"</f>
        <v>9780262012690</v>
      </c>
      <c r="D8437" t="str">
        <f>"9780262255394"</f>
        <v>9780262255394</v>
      </c>
      <c r="E8437" t="s">
        <v>8895</v>
      </c>
      <c r="F8437" t="s">
        <v>8895</v>
      </c>
      <c r="G8437" s="1">
        <v>39906</v>
      </c>
      <c r="H8437" s="1">
        <v>39928</v>
      </c>
      <c r="I8437" t="s">
        <v>12</v>
      </c>
      <c r="J8437" t="s">
        <v>19207</v>
      </c>
    </row>
    <row r="8438" spans="1:10" x14ac:dyDescent="0.25">
      <c r="A8438">
        <v>3339025</v>
      </c>
      <c r="B8438" t="s">
        <v>8920</v>
      </c>
      <c r="C8438" t="str">
        <f>"9780262012621"</f>
        <v>9780262012621</v>
      </c>
      <c r="D8438" t="str">
        <f>"9780262255301"</f>
        <v>9780262255301</v>
      </c>
      <c r="E8438" t="s">
        <v>8895</v>
      </c>
      <c r="F8438" t="s">
        <v>8895</v>
      </c>
      <c r="G8438" s="1">
        <v>39920</v>
      </c>
      <c r="H8438" s="1">
        <v>39935</v>
      </c>
      <c r="I8438" t="s">
        <v>12</v>
      </c>
      <c r="J8438" t="s">
        <v>19208</v>
      </c>
    </row>
    <row r="8439" spans="1:10" x14ac:dyDescent="0.25">
      <c r="A8439">
        <v>3339030</v>
      </c>
      <c r="B8439" t="s">
        <v>8921</v>
      </c>
      <c r="C8439" t="str">
        <f>"9780262012935"</f>
        <v>9780262012935</v>
      </c>
      <c r="D8439" t="str">
        <f>"9780262255264"</f>
        <v>9780262255264</v>
      </c>
      <c r="E8439" t="s">
        <v>8895</v>
      </c>
      <c r="F8439" t="s">
        <v>8895</v>
      </c>
      <c r="G8439" s="1">
        <v>39962</v>
      </c>
      <c r="H8439" s="1">
        <v>39984</v>
      </c>
      <c r="I8439" t="s">
        <v>12</v>
      </c>
      <c r="J8439" t="s">
        <v>19209</v>
      </c>
    </row>
    <row r="8440" spans="1:10" x14ac:dyDescent="0.25">
      <c r="A8440">
        <v>3339041</v>
      </c>
      <c r="B8440" t="s">
        <v>8922</v>
      </c>
      <c r="C8440" t="str">
        <f>"9780262513098"</f>
        <v>9780262513098</v>
      </c>
      <c r="D8440" t="str">
        <f>"9780262258623"</f>
        <v>9780262258623</v>
      </c>
      <c r="E8440" t="s">
        <v>8895</v>
      </c>
      <c r="F8440" t="s">
        <v>8895</v>
      </c>
      <c r="G8440" s="1">
        <v>39983</v>
      </c>
      <c r="H8440" s="1">
        <v>40054</v>
      </c>
      <c r="I8440" t="s">
        <v>12</v>
      </c>
      <c r="J8440" t="s">
        <v>19210</v>
      </c>
    </row>
    <row r="8441" spans="1:10" x14ac:dyDescent="0.25">
      <c r="A8441">
        <v>3339077</v>
      </c>
      <c r="B8441" t="s">
        <v>8923</v>
      </c>
      <c r="C8441" t="str">
        <f>"9780262134934"</f>
        <v>9780262134934</v>
      </c>
      <c r="D8441" t="str">
        <f>"9780262259040"</f>
        <v>9780262259040</v>
      </c>
      <c r="E8441" t="s">
        <v>8895</v>
      </c>
      <c r="F8441" t="s">
        <v>8895</v>
      </c>
      <c r="G8441" s="1">
        <v>40067</v>
      </c>
      <c r="H8441" s="1">
        <v>40103</v>
      </c>
      <c r="I8441" t="s">
        <v>12</v>
      </c>
      <c r="J8441" t="s">
        <v>19211</v>
      </c>
    </row>
    <row r="8442" spans="1:10" x14ac:dyDescent="0.25">
      <c r="A8442">
        <v>3339085</v>
      </c>
      <c r="B8442" t="s">
        <v>8924</v>
      </c>
      <c r="C8442" t="str">
        <f>"9780262013345"</f>
        <v>9780262013345</v>
      </c>
      <c r="D8442" t="str">
        <f>"9780262258906"</f>
        <v>9780262258906</v>
      </c>
      <c r="E8442" t="s">
        <v>8895</v>
      </c>
      <c r="F8442" t="s">
        <v>8895</v>
      </c>
      <c r="G8442" s="1">
        <v>40081</v>
      </c>
      <c r="H8442" s="1">
        <v>40120</v>
      </c>
      <c r="I8442" t="s">
        <v>12</v>
      </c>
      <c r="J8442" t="s">
        <v>19212</v>
      </c>
    </row>
    <row r="8443" spans="1:10" x14ac:dyDescent="0.25">
      <c r="A8443">
        <v>3339120</v>
      </c>
      <c r="B8443" t="s">
        <v>8925</v>
      </c>
      <c r="C8443" t="str">
        <f>"9780262013284"</f>
        <v>9780262013284</v>
      </c>
      <c r="D8443" t="str">
        <f>"9780262259248"</f>
        <v>9780262259248</v>
      </c>
      <c r="E8443" t="s">
        <v>8895</v>
      </c>
      <c r="F8443" t="s">
        <v>8895</v>
      </c>
      <c r="G8443" s="1">
        <v>40263</v>
      </c>
      <c r="H8443" s="1">
        <v>40277</v>
      </c>
      <c r="I8443" t="s">
        <v>12</v>
      </c>
      <c r="J8443" t="s">
        <v>19213</v>
      </c>
    </row>
    <row r="8444" spans="1:10" x14ac:dyDescent="0.25">
      <c r="A8444">
        <v>3339129</v>
      </c>
      <c r="B8444" t="s">
        <v>8926</v>
      </c>
      <c r="C8444" t="str">
        <f>"9780262014106"</f>
        <v>9780262014106</v>
      </c>
      <c r="D8444" t="str">
        <f>"9780262265829"</f>
        <v>9780262265829</v>
      </c>
      <c r="E8444" t="s">
        <v>8895</v>
      </c>
      <c r="F8444" t="s">
        <v>8895</v>
      </c>
      <c r="G8444" s="1">
        <v>40298</v>
      </c>
      <c r="H8444" s="1">
        <v>40298</v>
      </c>
      <c r="I8444" t="s">
        <v>12</v>
      </c>
      <c r="J8444" t="s">
        <v>19214</v>
      </c>
    </row>
    <row r="8445" spans="1:10" x14ac:dyDescent="0.25">
      <c r="A8445">
        <v>3339136</v>
      </c>
      <c r="B8445" t="s">
        <v>8927</v>
      </c>
      <c r="C8445" t="str">
        <f>"9780262012638"</f>
        <v>9780262012638</v>
      </c>
      <c r="D8445" t="str">
        <f>"9780262255356"</f>
        <v>9780262255356</v>
      </c>
      <c r="E8445" t="s">
        <v>8895</v>
      </c>
      <c r="F8445" t="s">
        <v>8895</v>
      </c>
      <c r="G8445" s="1">
        <v>39801</v>
      </c>
      <c r="H8445" s="1">
        <v>40354</v>
      </c>
      <c r="I8445" t="s">
        <v>12</v>
      </c>
      <c r="J8445" t="s">
        <v>19215</v>
      </c>
    </row>
    <row r="8446" spans="1:10" x14ac:dyDescent="0.25">
      <c r="A8446">
        <v>3339138</v>
      </c>
      <c r="B8446" t="s">
        <v>8928</v>
      </c>
      <c r="C8446" t="str">
        <f>"9780262014137"</f>
        <v>9780262014137</v>
      </c>
      <c r="D8446" t="str">
        <f>"9780262265942"</f>
        <v>9780262265942</v>
      </c>
      <c r="E8446" t="s">
        <v>8895</v>
      </c>
      <c r="F8446" t="s">
        <v>8895</v>
      </c>
      <c r="G8446" s="1">
        <v>40333</v>
      </c>
      <c r="H8446" s="1">
        <v>40354</v>
      </c>
      <c r="I8446" t="s">
        <v>12</v>
      </c>
      <c r="J8446" t="s">
        <v>19216</v>
      </c>
    </row>
    <row r="8447" spans="1:10" x14ac:dyDescent="0.25">
      <c r="A8447">
        <v>3339139</v>
      </c>
      <c r="B8447" t="s">
        <v>8929</v>
      </c>
      <c r="C8447" t="str">
        <f>"9780262014021"</f>
        <v>9780262014021</v>
      </c>
      <c r="D8447" t="str">
        <f>"9780262265850"</f>
        <v>9780262265850</v>
      </c>
      <c r="E8447" t="s">
        <v>8895</v>
      </c>
      <c r="F8447" t="s">
        <v>8903</v>
      </c>
      <c r="G8447" s="1">
        <v>40298</v>
      </c>
      <c r="H8447" s="1">
        <v>40354</v>
      </c>
      <c r="I8447" t="s">
        <v>12</v>
      </c>
      <c r="J8447" t="s">
        <v>19217</v>
      </c>
    </row>
    <row r="8448" spans="1:10" x14ac:dyDescent="0.25">
      <c r="A8448">
        <v>3339140</v>
      </c>
      <c r="B8448" t="s">
        <v>8930</v>
      </c>
      <c r="C8448" t="str">
        <f>"9780262033275"</f>
        <v>9780262033275</v>
      </c>
      <c r="D8448" t="str">
        <f>"9780262255912"</f>
        <v>9780262255912</v>
      </c>
      <c r="E8448" t="s">
        <v>8895</v>
      </c>
      <c r="F8448" t="s">
        <v>8903</v>
      </c>
      <c r="G8448" s="1">
        <v>38492</v>
      </c>
      <c r="H8448" s="1">
        <v>40354</v>
      </c>
      <c r="I8448" t="s">
        <v>12</v>
      </c>
      <c r="J8448" t="s">
        <v>19218</v>
      </c>
    </row>
    <row r="8449" spans="1:10" x14ac:dyDescent="0.25">
      <c r="A8449">
        <v>3339141</v>
      </c>
      <c r="B8449" t="s">
        <v>8931</v>
      </c>
      <c r="C8449" t="str">
        <f>"9780262013758"</f>
        <v>9780262013758</v>
      </c>
      <c r="D8449" t="str">
        <f>"9780262289146"</f>
        <v>9780262289146</v>
      </c>
      <c r="E8449" t="s">
        <v>8895</v>
      </c>
      <c r="F8449" t="s">
        <v>8895</v>
      </c>
      <c r="G8449" s="1">
        <v>40263</v>
      </c>
      <c r="H8449" s="1">
        <v>40354</v>
      </c>
      <c r="I8449" t="s">
        <v>12</v>
      </c>
      <c r="J8449" t="s">
        <v>19219</v>
      </c>
    </row>
    <row r="8450" spans="1:10" x14ac:dyDescent="0.25">
      <c r="A8450">
        <v>3339148</v>
      </c>
      <c r="B8450" t="s">
        <v>8932</v>
      </c>
      <c r="C8450" t="str">
        <f>"9780262514620"</f>
        <v>9780262514620</v>
      </c>
      <c r="D8450" t="str">
        <f>"9780262289610"</f>
        <v>9780262289610</v>
      </c>
      <c r="E8450" t="s">
        <v>8895</v>
      </c>
      <c r="F8450" t="s">
        <v>8895</v>
      </c>
      <c r="G8450" s="1">
        <v>40368</v>
      </c>
      <c r="H8450" s="1">
        <v>40354</v>
      </c>
      <c r="I8450" t="s">
        <v>12</v>
      </c>
      <c r="J8450" t="s">
        <v>19220</v>
      </c>
    </row>
    <row r="8451" spans="1:10" x14ac:dyDescent="0.25">
      <c r="A8451">
        <v>3339150</v>
      </c>
      <c r="B8451" t="s">
        <v>8933</v>
      </c>
      <c r="C8451" t="str">
        <f>"9780262014113"</f>
        <v>9780262014113</v>
      </c>
      <c r="D8451" t="str">
        <f>"9780262266062"</f>
        <v>9780262266062</v>
      </c>
      <c r="E8451" t="s">
        <v>8895</v>
      </c>
      <c r="F8451" t="s">
        <v>8903</v>
      </c>
      <c r="G8451" s="1">
        <v>40326</v>
      </c>
      <c r="H8451" s="1">
        <v>40354</v>
      </c>
      <c r="I8451" t="s">
        <v>12</v>
      </c>
      <c r="J8451" t="s">
        <v>19221</v>
      </c>
    </row>
    <row r="8452" spans="1:10" x14ac:dyDescent="0.25">
      <c r="A8452">
        <v>3339154</v>
      </c>
      <c r="B8452" t="s">
        <v>8934</v>
      </c>
      <c r="C8452" t="str">
        <f>"9780262514637"</f>
        <v>9780262514637</v>
      </c>
      <c r="D8452" t="str">
        <f>"9780262289801"</f>
        <v>9780262289801</v>
      </c>
      <c r="E8452" t="s">
        <v>8895</v>
      </c>
      <c r="F8452" t="s">
        <v>8895</v>
      </c>
      <c r="G8452" s="1">
        <v>40368</v>
      </c>
      <c r="H8452" s="1">
        <v>40374</v>
      </c>
      <c r="I8452" t="s">
        <v>12</v>
      </c>
      <c r="J8452" t="s">
        <v>19222</v>
      </c>
    </row>
    <row r="8453" spans="1:10" x14ac:dyDescent="0.25">
      <c r="A8453">
        <v>3339196</v>
      </c>
      <c r="B8453" t="s">
        <v>8935</v>
      </c>
      <c r="C8453" t="str">
        <f>"9780262232586"</f>
        <v>9780262232586</v>
      </c>
      <c r="D8453" t="str">
        <f>"9780262294355"</f>
        <v>9780262294355</v>
      </c>
      <c r="E8453" t="s">
        <v>8895</v>
      </c>
      <c r="F8453" t="s">
        <v>8895</v>
      </c>
      <c r="G8453" s="1">
        <v>40452</v>
      </c>
      <c r="H8453" s="1">
        <v>40617</v>
      </c>
      <c r="I8453" t="s">
        <v>12</v>
      </c>
      <c r="J8453" t="s">
        <v>19223</v>
      </c>
    </row>
    <row r="8454" spans="1:10" x14ac:dyDescent="0.25">
      <c r="A8454">
        <v>3339265</v>
      </c>
      <c r="B8454" t="s">
        <v>8936</v>
      </c>
      <c r="C8454" t="str">
        <f>"9780262516815"</f>
        <v>9780262516815</v>
      </c>
      <c r="D8454" t="str">
        <f>"9780262298933"</f>
        <v>9780262298933</v>
      </c>
      <c r="E8454" t="s">
        <v>8895</v>
      </c>
      <c r="F8454" t="s">
        <v>8895</v>
      </c>
      <c r="G8454" s="1">
        <v>40760</v>
      </c>
      <c r="H8454" s="1">
        <v>40815</v>
      </c>
      <c r="I8454" t="s">
        <v>12</v>
      </c>
      <c r="J8454" t="s">
        <v>19224</v>
      </c>
    </row>
    <row r="8455" spans="1:10" x14ac:dyDescent="0.25">
      <c r="A8455">
        <v>3339468</v>
      </c>
      <c r="B8455" t="s">
        <v>8937</v>
      </c>
      <c r="C8455" t="str">
        <f>"9780262517799"</f>
        <v>9780262517799</v>
      </c>
      <c r="D8455" t="str">
        <f>"9780262305969"</f>
        <v>9780262305969</v>
      </c>
      <c r="E8455" t="s">
        <v>8895</v>
      </c>
      <c r="F8455" t="s">
        <v>8895</v>
      </c>
      <c r="G8455" s="1">
        <v>41103</v>
      </c>
      <c r="H8455" s="1">
        <v>41117</v>
      </c>
      <c r="I8455" t="s">
        <v>12</v>
      </c>
      <c r="J8455" t="s">
        <v>19225</v>
      </c>
    </row>
    <row r="8456" spans="1:10" x14ac:dyDescent="0.25">
      <c r="A8456">
        <v>3375238</v>
      </c>
      <c r="B8456" t="s">
        <v>8938</v>
      </c>
      <c r="C8456" t="str">
        <f>"9780309082709"</f>
        <v>9780309082709</v>
      </c>
      <c r="D8456" t="str">
        <f>"9780309509053"</f>
        <v>9780309509053</v>
      </c>
      <c r="E8456" t="s">
        <v>8939</v>
      </c>
      <c r="F8456" t="s">
        <v>8939</v>
      </c>
      <c r="G8456" s="1">
        <v>37421</v>
      </c>
      <c r="H8456" s="1">
        <v>37825</v>
      </c>
      <c r="I8456" t="s">
        <v>12</v>
      </c>
      <c r="J8456" t="s">
        <v>19226</v>
      </c>
    </row>
    <row r="8457" spans="1:10" x14ac:dyDescent="0.25">
      <c r="A8457">
        <v>3375241</v>
      </c>
      <c r="B8457" t="s">
        <v>8940</v>
      </c>
      <c r="C8457" t="str">
        <f>"9780309082525"</f>
        <v>9780309082525</v>
      </c>
      <c r="D8457" t="str">
        <f>"9780309510318"</f>
        <v>9780309510318</v>
      </c>
      <c r="E8457" t="s">
        <v>8939</v>
      </c>
      <c r="F8457" t="s">
        <v>8939</v>
      </c>
      <c r="G8457" s="1">
        <v>37477</v>
      </c>
      <c r="H8457" s="1">
        <v>37825</v>
      </c>
      <c r="I8457" t="s">
        <v>12</v>
      </c>
      <c r="J8457" t="s">
        <v>19227</v>
      </c>
    </row>
    <row r="8458" spans="1:10" x14ac:dyDescent="0.25">
      <c r="A8458">
        <v>3375333</v>
      </c>
      <c r="B8458" t="s">
        <v>8941</v>
      </c>
      <c r="C8458" t="str">
        <f>"9780309084536"</f>
        <v>9780309084536</v>
      </c>
      <c r="D8458" t="str">
        <f>"9780309502306"</f>
        <v>9780309502306</v>
      </c>
      <c r="E8458" t="s">
        <v>8939</v>
      </c>
      <c r="F8458" t="s">
        <v>8939</v>
      </c>
      <c r="G8458" s="1">
        <v>37469</v>
      </c>
      <c r="H8458" s="1">
        <v>37825</v>
      </c>
      <c r="I8458" t="s">
        <v>12</v>
      </c>
      <c r="J8458" t="s">
        <v>19228</v>
      </c>
    </row>
    <row r="8459" spans="1:10" x14ac:dyDescent="0.25">
      <c r="A8459">
        <v>3375788</v>
      </c>
      <c r="B8459" t="s">
        <v>8942</v>
      </c>
      <c r="C8459" t="str">
        <f>"9780309089784"</f>
        <v>9780309089784</v>
      </c>
      <c r="D8459" t="str">
        <f>"9780309526166"</f>
        <v>9780309526166</v>
      </c>
      <c r="E8459" t="s">
        <v>8939</v>
      </c>
      <c r="F8459" t="s">
        <v>8939</v>
      </c>
      <c r="G8459" s="1">
        <v>37911</v>
      </c>
      <c r="H8459" s="1">
        <v>37973</v>
      </c>
      <c r="I8459" t="s">
        <v>4869</v>
      </c>
      <c r="J8459" t="s">
        <v>19229</v>
      </c>
    </row>
    <row r="8460" spans="1:10" x14ac:dyDescent="0.25">
      <c r="A8460">
        <v>3375894</v>
      </c>
      <c r="B8460" t="s">
        <v>8943</v>
      </c>
      <c r="C8460" t="str">
        <f>"9780309090742"</f>
        <v>9780309090742</v>
      </c>
      <c r="D8460" t="str">
        <f>"9780309527477"</f>
        <v>9780309527477</v>
      </c>
      <c r="E8460" t="s">
        <v>8939</v>
      </c>
      <c r="F8460" t="s">
        <v>8939</v>
      </c>
      <c r="G8460" s="1">
        <v>37939</v>
      </c>
      <c r="H8460" s="1">
        <v>38037</v>
      </c>
      <c r="I8460" t="s">
        <v>12</v>
      </c>
      <c r="J8460" t="s">
        <v>19230</v>
      </c>
    </row>
    <row r="8461" spans="1:10" x14ac:dyDescent="0.25">
      <c r="A8461">
        <v>3376750</v>
      </c>
      <c r="B8461" t="s">
        <v>8944</v>
      </c>
      <c r="C8461" t="str">
        <f>"9780309092432"</f>
        <v>9780309092432</v>
      </c>
      <c r="D8461" t="str">
        <f>"9780309532907"</f>
        <v>9780309532907</v>
      </c>
      <c r="E8461" t="s">
        <v>8939</v>
      </c>
      <c r="F8461" t="s">
        <v>8939</v>
      </c>
      <c r="G8461" s="1">
        <v>38155</v>
      </c>
      <c r="H8461" s="1">
        <v>38160</v>
      </c>
      <c r="I8461" t="s">
        <v>4869</v>
      </c>
      <c r="J8461" t="s">
        <v>19231</v>
      </c>
    </row>
    <row r="8462" spans="1:10" x14ac:dyDescent="0.25">
      <c r="A8462">
        <v>3376822</v>
      </c>
      <c r="B8462" t="s">
        <v>8945</v>
      </c>
      <c r="C8462" t="str">
        <f>"9780309040778"</f>
        <v>9780309040778</v>
      </c>
      <c r="D8462" t="str">
        <f>"9780309536424"</f>
        <v>9780309536424</v>
      </c>
      <c r="E8462" t="s">
        <v>8939</v>
      </c>
      <c r="F8462" t="s">
        <v>8939</v>
      </c>
      <c r="G8462" s="1">
        <v>32905</v>
      </c>
      <c r="H8462" s="1">
        <v>38187</v>
      </c>
      <c r="I8462" t="s">
        <v>12</v>
      </c>
      <c r="J8462" t="s">
        <v>19232</v>
      </c>
    </row>
    <row r="8463" spans="1:10" x14ac:dyDescent="0.25">
      <c r="A8463">
        <v>3377234</v>
      </c>
      <c r="B8463" t="s">
        <v>8946</v>
      </c>
      <c r="C8463" t="str">
        <f>"9780309091633"</f>
        <v>9780309091633</v>
      </c>
      <c r="D8463" t="str">
        <f>"9780309530682"</f>
        <v>9780309530682</v>
      </c>
      <c r="E8463" t="s">
        <v>8939</v>
      </c>
      <c r="F8463" t="s">
        <v>8939</v>
      </c>
      <c r="G8463" s="1">
        <v>38235</v>
      </c>
      <c r="H8463" s="1">
        <v>38300</v>
      </c>
      <c r="I8463" t="s">
        <v>12</v>
      </c>
      <c r="J8463" t="s">
        <v>19233</v>
      </c>
    </row>
    <row r="8464" spans="1:10" x14ac:dyDescent="0.25">
      <c r="A8464">
        <v>3377423</v>
      </c>
      <c r="B8464" t="s">
        <v>8947</v>
      </c>
      <c r="C8464" t="str">
        <f>"9780309092616"</f>
        <v>9780309092616</v>
      </c>
      <c r="D8464" t="str">
        <f>"9780309533447"</f>
        <v>9780309533447</v>
      </c>
      <c r="E8464" t="s">
        <v>8939</v>
      </c>
      <c r="F8464" t="s">
        <v>8939</v>
      </c>
      <c r="G8464" s="1">
        <v>38261</v>
      </c>
      <c r="H8464" s="1">
        <v>38343</v>
      </c>
      <c r="I8464" t="s">
        <v>12</v>
      </c>
      <c r="J8464" t="s">
        <v>19234</v>
      </c>
    </row>
    <row r="8465" spans="1:10" x14ac:dyDescent="0.25">
      <c r="A8465">
        <v>3377865</v>
      </c>
      <c r="B8465" t="s">
        <v>8948</v>
      </c>
      <c r="C8465" t="str">
        <f>"9780309095204"</f>
        <v>9780309095204</v>
      </c>
      <c r="D8465" t="str">
        <f>"9780309547123"</f>
        <v>9780309547123</v>
      </c>
      <c r="E8465" t="s">
        <v>8939</v>
      </c>
      <c r="F8465" t="s">
        <v>8939</v>
      </c>
      <c r="G8465" s="1">
        <v>38379</v>
      </c>
      <c r="H8465" s="1">
        <v>38413</v>
      </c>
      <c r="I8465" t="s">
        <v>4869</v>
      </c>
      <c r="J8465" t="s">
        <v>19235</v>
      </c>
    </row>
    <row r="8466" spans="1:10" x14ac:dyDescent="0.25">
      <c r="A8466">
        <v>3377882</v>
      </c>
      <c r="B8466" t="s">
        <v>8949</v>
      </c>
      <c r="C8466" t="str">
        <f>"9780309095471"</f>
        <v>9780309095471</v>
      </c>
      <c r="D8466" t="str">
        <f>"9780309547840"</f>
        <v>9780309547840</v>
      </c>
      <c r="E8466" t="s">
        <v>8939</v>
      </c>
      <c r="F8466" t="s">
        <v>8939</v>
      </c>
      <c r="G8466" s="1">
        <v>38426</v>
      </c>
      <c r="H8466" s="1">
        <v>38425</v>
      </c>
      <c r="I8466" t="s">
        <v>12</v>
      </c>
      <c r="J8466" t="s">
        <v>19236</v>
      </c>
    </row>
    <row r="8467" spans="1:10" x14ac:dyDescent="0.25">
      <c r="A8467">
        <v>3378009</v>
      </c>
      <c r="B8467" t="s">
        <v>8950</v>
      </c>
      <c r="C8467" t="str">
        <f>"9780309097338"</f>
        <v>9780309097338</v>
      </c>
      <c r="D8467" t="str">
        <f>"9780309652834"</f>
        <v>9780309652834</v>
      </c>
      <c r="E8467" t="s">
        <v>8939</v>
      </c>
      <c r="F8467" t="s">
        <v>8939</v>
      </c>
      <c r="G8467" s="1">
        <v>38661</v>
      </c>
      <c r="H8467" s="1">
        <v>38672</v>
      </c>
      <c r="I8467" t="s">
        <v>4869</v>
      </c>
      <c r="J8467" t="s">
        <v>19237</v>
      </c>
    </row>
    <row r="8468" spans="1:10" x14ac:dyDescent="0.25">
      <c r="A8468">
        <v>3378033</v>
      </c>
      <c r="B8468" t="s">
        <v>8951</v>
      </c>
      <c r="C8468" t="str">
        <f>"9780309100342"</f>
        <v>9780309100342</v>
      </c>
      <c r="D8468" t="str">
        <f>"9780309654272"</f>
        <v>9780309654272</v>
      </c>
      <c r="E8468" t="s">
        <v>8939</v>
      </c>
      <c r="F8468" t="s">
        <v>8939</v>
      </c>
      <c r="G8468" s="1">
        <v>38736</v>
      </c>
      <c r="H8468" s="1">
        <v>38741</v>
      </c>
      <c r="I8468" t="s">
        <v>4869</v>
      </c>
      <c r="J8468" t="s">
        <v>19238</v>
      </c>
    </row>
    <row r="8469" spans="1:10" x14ac:dyDescent="0.25">
      <c r="A8469">
        <v>3378041</v>
      </c>
      <c r="B8469" t="s">
        <v>8952</v>
      </c>
      <c r="C8469" t="str">
        <f>"9780309100311"</f>
        <v>9780309100311</v>
      </c>
      <c r="D8469" t="str">
        <f>"9780309654098"</f>
        <v>9780309654098</v>
      </c>
      <c r="E8469" t="s">
        <v>8939</v>
      </c>
      <c r="F8469" t="s">
        <v>8939</v>
      </c>
      <c r="G8469" s="1">
        <v>38771</v>
      </c>
      <c r="H8469" s="1">
        <v>38772</v>
      </c>
      <c r="I8469" t="s">
        <v>12</v>
      </c>
      <c r="J8469" t="s">
        <v>19239</v>
      </c>
    </row>
    <row r="8470" spans="1:10" x14ac:dyDescent="0.25">
      <c r="A8470">
        <v>3378049</v>
      </c>
      <c r="B8470" t="s">
        <v>8953</v>
      </c>
      <c r="C8470" t="str">
        <f>"9780309100090"</f>
        <v>9780309100090</v>
      </c>
      <c r="D8470" t="str">
        <f>"9780309653312"</f>
        <v>9780309653312</v>
      </c>
      <c r="E8470" t="s">
        <v>8939</v>
      </c>
      <c r="F8470" t="s">
        <v>8939</v>
      </c>
      <c r="G8470" s="1">
        <v>38779</v>
      </c>
      <c r="H8470" s="1">
        <v>38785</v>
      </c>
      <c r="I8470" t="s">
        <v>12</v>
      </c>
      <c r="J8470" t="s">
        <v>19240</v>
      </c>
    </row>
    <row r="8471" spans="1:10" x14ac:dyDescent="0.25">
      <c r="A8471">
        <v>3378058</v>
      </c>
      <c r="B8471" t="s">
        <v>8954</v>
      </c>
      <c r="C8471" t="str">
        <f>"9780309101028"</f>
        <v>9780309101028</v>
      </c>
      <c r="D8471" t="str">
        <f>"9780309656979"</f>
        <v>9780309656979</v>
      </c>
      <c r="E8471" t="s">
        <v>8939</v>
      </c>
      <c r="F8471" t="s">
        <v>8939</v>
      </c>
      <c r="G8471" s="1">
        <v>38783</v>
      </c>
      <c r="H8471" s="1">
        <v>38785</v>
      </c>
      <c r="I8471" t="s">
        <v>12</v>
      </c>
      <c r="J8471" t="s">
        <v>19241</v>
      </c>
    </row>
    <row r="8472" spans="1:10" x14ac:dyDescent="0.25">
      <c r="A8472">
        <v>3378077</v>
      </c>
      <c r="B8472" t="s">
        <v>8955</v>
      </c>
      <c r="C8472" t="str">
        <f>"9780309099431"</f>
        <v>9780309099431</v>
      </c>
      <c r="D8472" t="str">
        <f>"9780309652896"</f>
        <v>9780309652896</v>
      </c>
      <c r="E8472" t="s">
        <v>8939</v>
      </c>
      <c r="F8472" t="s">
        <v>8939</v>
      </c>
      <c r="G8472" s="1">
        <v>38842</v>
      </c>
      <c r="H8472" s="1">
        <v>38861</v>
      </c>
      <c r="I8472" t="s">
        <v>4869</v>
      </c>
      <c r="J8472" t="s">
        <v>19242</v>
      </c>
    </row>
    <row r="8473" spans="1:10" x14ac:dyDescent="0.25">
      <c r="A8473">
        <v>3378100</v>
      </c>
      <c r="B8473" t="s">
        <v>8956</v>
      </c>
      <c r="C8473" t="str">
        <f>"9780309100496"</f>
        <v>9780309100496</v>
      </c>
      <c r="D8473" t="str">
        <f>"9780309654722"</f>
        <v>9780309654722</v>
      </c>
      <c r="E8473" t="s">
        <v>8939</v>
      </c>
      <c r="F8473" t="s">
        <v>8939</v>
      </c>
      <c r="G8473" s="1">
        <v>38943</v>
      </c>
      <c r="H8473" s="1">
        <v>38959</v>
      </c>
      <c r="I8473" t="s">
        <v>12</v>
      </c>
      <c r="J8473" t="s">
        <v>19243</v>
      </c>
    </row>
    <row r="8474" spans="1:10" x14ac:dyDescent="0.25">
      <c r="A8474">
        <v>3378102</v>
      </c>
      <c r="B8474" t="s">
        <v>8957</v>
      </c>
      <c r="C8474" t="str">
        <f>"9780309100045"</f>
        <v>9780309100045</v>
      </c>
      <c r="D8474" t="str">
        <f>"9780309653169"</f>
        <v>9780309653169</v>
      </c>
      <c r="E8474" t="s">
        <v>8939</v>
      </c>
      <c r="F8474" t="s">
        <v>8939</v>
      </c>
      <c r="G8474" s="1">
        <v>38919</v>
      </c>
      <c r="H8474" s="1">
        <v>38959</v>
      </c>
      <c r="I8474" t="s">
        <v>12</v>
      </c>
      <c r="J8474" t="s">
        <v>19244</v>
      </c>
    </row>
    <row r="8475" spans="1:10" x14ac:dyDescent="0.25">
      <c r="A8475">
        <v>3378107</v>
      </c>
      <c r="B8475" t="s">
        <v>8958</v>
      </c>
      <c r="C8475" t="str">
        <f>"9780309102179"</f>
        <v>9780309102179</v>
      </c>
      <c r="D8475" t="str">
        <f>"9780309661140"</f>
        <v>9780309661140</v>
      </c>
      <c r="E8475" t="s">
        <v>8939</v>
      </c>
      <c r="F8475" t="s">
        <v>8939</v>
      </c>
      <c r="G8475" s="1">
        <v>38918</v>
      </c>
      <c r="H8475" s="1">
        <v>38959</v>
      </c>
      <c r="I8475" t="s">
        <v>12</v>
      </c>
      <c r="J8475" t="s">
        <v>19245</v>
      </c>
    </row>
    <row r="8476" spans="1:10" x14ac:dyDescent="0.25">
      <c r="A8476">
        <v>3378111</v>
      </c>
      <c r="B8476" t="s">
        <v>8959</v>
      </c>
      <c r="C8476" t="str">
        <f>"9780309100076"</f>
        <v>9780309100076</v>
      </c>
      <c r="D8476" t="str">
        <f>"9780309653251"</f>
        <v>9780309653251</v>
      </c>
      <c r="E8476" t="s">
        <v>8939</v>
      </c>
      <c r="F8476" t="s">
        <v>8939</v>
      </c>
      <c r="G8476" s="1">
        <v>38907</v>
      </c>
      <c r="H8476" s="1">
        <v>38959</v>
      </c>
      <c r="I8476" t="s">
        <v>12</v>
      </c>
      <c r="J8476" t="s">
        <v>19246</v>
      </c>
    </row>
    <row r="8477" spans="1:10" x14ac:dyDescent="0.25">
      <c r="A8477">
        <v>3378112</v>
      </c>
      <c r="B8477" t="s">
        <v>8960</v>
      </c>
      <c r="C8477" t="str">
        <f>"9780309101936"</f>
        <v>9780309101936</v>
      </c>
      <c r="D8477" t="str">
        <f>"9780309660754"</f>
        <v>9780309660754</v>
      </c>
      <c r="E8477" t="s">
        <v>8939</v>
      </c>
      <c r="F8477" t="s">
        <v>8939</v>
      </c>
      <c r="G8477" s="1">
        <v>38942</v>
      </c>
      <c r="H8477" s="1">
        <v>38959</v>
      </c>
      <c r="I8477" t="s">
        <v>12</v>
      </c>
      <c r="J8477" t="s">
        <v>19247</v>
      </c>
    </row>
    <row r="8478" spans="1:10" x14ac:dyDescent="0.25">
      <c r="A8478">
        <v>3378114</v>
      </c>
      <c r="B8478" t="s">
        <v>8961</v>
      </c>
      <c r="C8478" t="str">
        <f>"9780309101844"</f>
        <v>9780309101844</v>
      </c>
      <c r="D8478" t="str">
        <f>"9780309660068"</f>
        <v>9780309660068</v>
      </c>
      <c r="E8478" t="s">
        <v>8939</v>
      </c>
      <c r="F8478" t="s">
        <v>8939</v>
      </c>
      <c r="G8478" s="1">
        <v>38990</v>
      </c>
      <c r="H8478" s="1">
        <v>39022</v>
      </c>
      <c r="I8478" t="s">
        <v>4869</v>
      </c>
      <c r="J8478" t="s">
        <v>19248</v>
      </c>
    </row>
    <row r="8479" spans="1:10" x14ac:dyDescent="0.25">
      <c r="A8479">
        <v>3378123</v>
      </c>
      <c r="B8479" t="s">
        <v>8962</v>
      </c>
      <c r="C8479" t="str">
        <f>"9780309101462"</f>
        <v>9780309101462</v>
      </c>
      <c r="D8479" t="str">
        <f>"9780309658539"</f>
        <v>9780309658539</v>
      </c>
      <c r="E8479" t="s">
        <v>8939</v>
      </c>
      <c r="F8479" t="s">
        <v>8939</v>
      </c>
      <c r="G8479" s="1">
        <v>38883</v>
      </c>
      <c r="H8479" s="1">
        <v>39022</v>
      </c>
      <c r="I8479" t="s">
        <v>4869</v>
      </c>
      <c r="J8479" t="s">
        <v>19249</v>
      </c>
    </row>
    <row r="8480" spans="1:10" x14ac:dyDescent="0.25">
      <c r="A8480">
        <v>3378124</v>
      </c>
      <c r="B8480" t="s">
        <v>8963</v>
      </c>
      <c r="C8480" t="str">
        <f>"9780309099509"</f>
        <v>9780309099509</v>
      </c>
      <c r="D8480" t="str">
        <f>"9780309653107"</f>
        <v>9780309653107</v>
      </c>
      <c r="E8480" t="s">
        <v>8939</v>
      </c>
      <c r="F8480" t="s">
        <v>8939</v>
      </c>
      <c r="G8480" s="1">
        <v>38843</v>
      </c>
      <c r="H8480" s="1">
        <v>39022</v>
      </c>
      <c r="I8480" t="s">
        <v>12</v>
      </c>
      <c r="J8480" t="s">
        <v>19250</v>
      </c>
    </row>
    <row r="8481" spans="1:10" x14ac:dyDescent="0.25">
      <c r="A8481">
        <v>3378134</v>
      </c>
      <c r="B8481" t="s">
        <v>8964</v>
      </c>
      <c r="C8481" t="str">
        <f>"9780309102759"</f>
        <v>9780309102759</v>
      </c>
      <c r="D8481" t="str">
        <f>"9780309663243"</f>
        <v>9780309663243</v>
      </c>
      <c r="E8481" t="s">
        <v>8939</v>
      </c>
      <c r="F8481" t="s">
        <v>8939</v>
      </c>
      <c r="G8481" s="1">
        <v>38954</v>
      </c>
      <c r="H8481" s="1">
        <v>39022</v>
      </c>
      <c r="I8481" t="s">
        <v>4869</v>
      </c>
      <c r="J8481" t="s">
        <v>19251</v>
      </c>
    </row>
    <row r="8482" spans="1:10" x14ac:dyDescent="0.25">
      <c r="A8482">
        <v>3378136</v>
      </c>
      <c r="B8482" t="s">
        <v>8965</v>
      </c>
      <c r="C8482" t="str">
        <f>"9780309101165"</f>
        <v>9780309101165</v>
      </c>
      <c r="D8482" t="str">
        <f>"9780309657426"</f>
        <v>9780309657426</v>
      </c>
      <c r="E8482" t="s">
        <v>8939</v>
      </c>
      <c r="F8482" t="s">
        <v>8939</v>
      </c>
      <c r="G8482" s="1">
        <v>38940</v>
      </c>
      <c r="H8482" s="1">
        <v>39022</v>
      </c>
      <c r="I8482" t="s">
        <v>4869</v>
      </c>
      <c r="J8482" t="s">
        <v>19252</v>
      </c>
    </row>
    <row r="8483" spans="1:10" x14ac:dyDescent="0.25">
      <c r="A8483">
        <v>3378151</v>
      </c>
      <c r="B8483" t="s">
        <v>8966</v>
      </c>
      <c r="C8483" t="str">
        <f>"9780309102193"</f>
        <v>9780309102193</v>
      </c>
      <c r="D8483" t="str">
        <f>"9780309661232"</f>
        <v>9780309661232</v>
      </c>
      <c r="E8483" t="s">
        <v>8939</v>
      </c>
      <c r="F8483" t="s">
        <v>8939</v>
      </c>
      <c r="G8483" s="1">
        <v>39024</v>
      </c>
      <c r="H8483" s="1">
        <v>39056</v>
      </c>
      <c r="I8483" t="s">
        <v>12</v>
      </c>
      <c r="J8483" t="s">
        <v>19253</v>
      </c>
    </row>
    <row r="8484" spans="1:10" x14ac:dyDescent="0.25">
      <c r="A8484">
        <v>3378157</v>
      </c>
      <c r="B8484" t="s">
        <v>8967</v>
      </c>
      <c r="C8484" t="str">
        <f>"9780309102230"</f>
        <v>9780309102230</v>
      </c>
      <c r="D8484" t="str">
        <f>"9780309661386"</f>
        <v>9780309661386</v>
      </c>
      <c r="E8484" t="s">
        <v>8939</v>
      </c>
      <c r="F8484" t="s">
        <v>8939</v>
      </c>
      <c r="G8484" s="1">
        <v>39081</v>
      </c>
      <c r="H8484" s="1">
        <v>39108</v>
      </c>
      <c r="I8484" t="s">
        <v>12</v>
      </c>
      <c r="J8484" t="s">
        <v>19254</v>
      </c>
    </row>
    <row r="8485" spans="1:10" x14ac:dyDescent="0.25">
      <c r="A8485">
        <v>3378192</v>
      </c>
      <c r="B8485" t="s">
        <v>8968</v>
      </c>
      <c r="C8485" t="str">
        <f>"9780309103800"</f>
        <v>9780309103800</v>
      </c>
      <c r="D8485" t="str">
        <f>"9780309667029"</f>
        <v>9780309667029</v>
      </c>
      <c r="E8485" t="s">
        <v>8939</v>
      </c>
      <c r="F8485" t="s">
        <v>8939</v>
      </c>
      <c r="G8485" s="1">
        <v>39149</v>
      </c>
      <c r="H8485" s="1">
        <v>39161</v>
      </c>
      <c r="I8485" t="s">
        <v>12</v>
      </c>
      <c r="J8485" t="s">
        <v>19255</v>
      </c>
    </row>
    <row r="8486" spans="1:10" x14ac:dyDescent="0.25">
      <c r="A8486">
        <v>3378193</v>
      </c>
      <c r="B8486" t="s">
        <v>8969</v>
      </c>
      <c r="C8486" t="str">
        <f>"9780309103527"</f>
        <v>9780309103527</v>
      </c>
      <c r="D8486" t="str">
        <f>"9780309666664"</f>
        <v>9780309666664</v>
      </c>
      <c r="E8486" t="s">
        <v>8939</v>
      </c>
      <c r="F8486" t="s">
        <v>8939</v>
      </c>
      <c r="G8486" s="1">
        <v>39153</v>
      </c>
      <c r="H8486" s="1">
        <v>39161</v>
      </c>
      <c r="I8486" t="s">
        <v>4869</v>
      </c>
      <c r="J8486" t="s">
        <v>19256</v>
      </c>
    </row>
    <row r="8487" spans="1:10" x14ac:dyDescent="0.25">
      <c r="A8487">
        <v>3378220</v>
      </c>
      <c r="B8487" t="s">
        <v>8970</v>
      </c>
      <c r="C8487" t="str">
        <f>"9780309102209"</f>
        <v>9780309102209</v>
      </c>
      <c r="D8487" t="str">
        <f>"9780309661263"</f>
        <v>9780309661263</v>
      </c>
      <c r="E8487" t="s">
        <v>8939</v>
      </c>
      <c r="F8487" t="s">
        <v>8939</v>
      </c>
      <c r="G8487" s="1">
        <v>39132</v>
      </c>
      <c r="H8487" s="1">
        <v>39224</v>
      </c>
      <c r="I8487" t="s">
        <v>12</v>
      </c>
      <c r="J8487" t="s">
        <v>19257</v>
      </c>
    </row>
    <row r="8488" spans="1:10" x14ac:dyDescent="0.25">
      <c r="A8488">
        <v>3378266</v>
      </c>
      <c r="B8488" t="s">
        <v>8971</v>
      </c>
      <c r="C8488" t="str">
        <f>"9780309103947"</f>
        <v>9780309103947</v>
      </c>
      <c r="D8488" t="str">
        <f>"9780309667388"</f>
        <v>9780309667388</v>
      </c>
      <c r="E8488" t="s">
        <v>8939</v>
      </c>
      <c r="F8488" t="s">
        <v>8939</v>
      </c>
      <c r="G8488" s="1">
        <v>39339</v>
      </c>
      <c r="H8488" s="1">
        <v>39421</v>
      </c>
      <c r="I8488" t="s">
        <v>12</v>
      </c>
      <c r="J8488" t="s">
        <v>19258</v>
      </c>
    </row>
    <row r="8489" spans="1:10" x14ac:dyDescent="0.25">
      <c r="A8489">
        <v>3378269</v>
      </c>
      <c r="B8489" t="s">
        <v>8972</v>
      </c>
      <c r="C8489" t="str">
        <f>"9780309111119"</f>
        <v>9780309111119</v>
      </c>
      <c r="D8489" t="str">
        <f>"9780309111126"</f>
        <v>9780309111126</v>
      </c>
      <c r="E8489" t="s">
        <v>8939</v>
      </c>
      <c r="F8489" t="s">
        <v>8939</v>
      </c>
      <c r="G8489" s="1">
        <v>39359</v>
      </c>
      <c r="H8489" s="1">
        <v>39421</v>
      </c>
      <c r="I8489" t="s">
        <v>4869</v>
      </c>
      <c r="J8489" t="s">
        <v>19259</v>
      </c>
    </row>
    <row r="8490" spans="1:10" x14ac:dyDescent="0.25">
      <c r="A8490">
        <v>3378283</v>
      </c>
      <c r="B8490" t="s">
        <v>8973</v>
      </c>
      <c r="C8490" t="str">
        <f>"9780309111287"</f>
        <v>9780309111287</v>
      </c>
      <c r="D8490" t="str">
        <f>"9780309111294"</f>
        <v>9780309111294</v>
      </c>
      <c r="E8490" t="s">
        <v>8939</v>
      </c>
      <c r="F8490" t="s">
        <v>8939</v>
      </c>
      <c r="G8490" s="1">
        <v>39349</v>
      </c>
      <c r="H8490" s="1">
        <v>39421</v>
      </c>
      <c r="I8490" t="s">
        <v>12</v>
      </c>
      <c r="J8490" t="s">
        <v>19260</v>
      </c>
    </row>
    <row r="8491" spans="1:10" x14ac:dyDescent="0.25">
      <c r="A8491">
        <v>3378287</v>
      </c>
      <c r="B8491" t="s">
        <v>8974</v>
      </c>
      <c r="C8491" t="str">
        <f>"9780309111874"</f>
        <v>9780309111874</v>
      </c>
      <c r="D8491" t="str">
        <f>"9780309111881"</f>
        <v>9780309111881</v>
      </c>
      <c r="E8491" t="s">
        <v>8939</v>
      </c>
      <c r="F8491" t="s">
        <v>8939</v>
      </c>
      <c r="G8491" s="1">
        <v>39373</v>
      </c>
      <c r="H8491" s="1">
        <v>39421</v>
      </c>
      <c r="I8491" t="s">
        <v>4869</v>
      </c>
      <c r="J8491" t="s">
        <v>19261</v>
      </c>
    </row>
    <row r="8492" spans="1:10" x14ac:dyDescent="0.25">
      <c r="A8492">
        <v>3378288</v>
      </c>
      <c r="B8492" t="s">
        <v>8975</v>
      </c>
      <c r="C8492" t="str">
        <f>"9780309111836"</f>
        <v>9780309111836</v>
      </c>
      <c r="D8492" t="str">
        <f>"9780309111843"</f>
        <v>9780309111843</v>
      </c>
      <c r="E8492" t="s">
        <v>8939</v>
      </c>
      <c r="F8492" t="s">
        <v>8939</v>
      </c>
      <c r="G8492" s="1">
        <v>39373</v>
      </c>
      <c r="H8492" s="1">
        <v>39421</v>
      </c>
      <c r="I8492" t="s">
        <v>4869</v>
      </c>
      <c r="J8492" t="s">
        <v>19262</v>
      </c>
    </row>
    <row r="8493" spans="1:10" x14ac:dyDescent="0.25">
      <c r="A8493">
        <v>3378292</v>
      </c>
      <c r="B8493" t="s">
        <v>8976</v>
      </c>
      <c r="C8493" t="str">
        <f>"9780309108447"</f>
        <v>9780309108447</v>
      </c>
      <c r="D8493" t="str">
        <f>"9780309108454"</f>
        <v>9780309108454</v>
      </c>
      <c r="E8493" t="s">
        <v>8939</v>
      </c>
      <c r="F8493" t="s">
        <v>8939</v>
      </c>
      <c r="G8493" s="1">
        <v>39348</v>
      </c>
      <c r="H8493" s="1">
        <v>39421</v>
      </c>
      <c r="I8493" t="s">
        <v>4869</v>
      </c>
      <c r="J8493" t="s">
        <v>19263</v>
      </c>
    </row>
    <row r="8494" spans="1:10" x14ac:dyDescent="0.25">
      <c r="A8494">
        <v>3378293</v>
      </c>
      <c r="B8494" t="s">
        <v>8977</v>
      </c>
      <c r="C8494" t="str">
        <f>"9780309104975"</f>
        <v>9780309104975</v>
      </c>
      <c r="D8494" t="str">
        <f>"9780309669429"</f>
        <v>9780309669429</v>
      </c>
      <c r="E8494" t="s">
        <v>8939</v>
      </c>
      <c r="F8494" t="s">
        <v>8939</v>
      </c>
      <c r="G8494" s="1">
        <v>39331</v>
      </c>
      <c r="H8494" s="1">
        <v>39421</v>
      </c>
      <c r="I8494" t="s">
        <v>12</v>
      </c>
      <c r="J8494" t="s">
        <v>19264</v>
      </c>
    </row>
    <row r="8495" spans="1:10" x14ac:dyDescent="0.25">
      <c r="A8495">
        <v>3378655</v>
      </c>
      <c r="B8495" t="s">
        <v>8978</v>
      </c>
      <c r="C8495" t="str">
        <f>"9780309149853"</f>
        <v>9780309149853</v>
      </c>
      <c r="D8495" t="str">
        <f>"9780309149860"</f>
        <v>9780309149860</v>
      </c>
      <c r="E8495" t="s">
        <v>8939</v>
      </c>
      <c r="F8495" t="s">
        <v>8939</v>
      </c>
      <c r="G8495" s="1">
        <v>40431</v>
      </c>
      <c r="H8495" s="1">
        <v>40416</v>
      </c>
      <c r="I8495" t="s">
        <v>12</v>
      </c>
      <c r="J8495" t="s">
        <v>19265</v>
      </c>
    </row>
    <row r="8496" spans="1:10" x14ac:dyDescent="0.25">
      <c r="A8496">
        <v>3378695</v>
      </c>
      <c r="B8496" t="s">
        <v>8979</v>
      </c>
      <c r="C8496" t="str">
        <f>"9780309152730"</f>
        <v>9780309152730</v>
      </c>
      <c r="D8496" t="str">
        <f>"9780309152747"</f>
        <v>9780309152747</v>
      </c>
      <c r="E8496" t="s">
        <v>8939</v>
      </c>
      <c r="F8496" t="s">
        <v>8939</v>
      </c>
      <c r="G8496" s="1">
        <v>40516</v>
      </c>
      <c r="H8496" s="1">
        <v>40521</v>
      </c>
      <c r="I8496" t="s">
        <v>12</v>
      </c>
      <c r="J8496" t="s">
        <v>19266</v>
      </c>
    </row>
    <row r="8497" spans="1:10" x14ac:dyDescent="0.25">
      <c r="A8497">
        <v>3378755</v>
      </c>
      <c r="B8497" t="s">
        <v>8980</v>
      </c>
      <c r="C8497" t="str">
        <f>"9780309176989"</f>
        <v>9780309176989</v>
      </c>
      <c r="D8497" t="str">
        <f>"9780309176996"</f>
        <v>9780309176996</v>
      </c>
      <c r="E8497" t="s">
        <v>8939</v>
      </c>
      <c r="F8497" t="s">
        <v>8939</v>
      </c>
      <c r="G8497" s="1">
        <v>40641</v>
      </c>
      <c r="H8497" s="1">
        <v>40640</v>
      </c>
      <c r="I8497" t="s">
        <v>12</v>
      </c>
      <c r="J8497" t="s">
        <v>19267</v>
      </c>
    </row>
    <row r="8498" spans="1:10" x14ac:dyDescent="0.25">
      <c r="A8498">
        <v>3378885</v>
      </c>
      <c r="B8498" t="s">
        <v>8981</v>
      </c>
      <c r="C8498" t="str">
        <f>"9780309212267"</f>
        <v>9780309212267</v>
      </c>
      <c r="D8498" t="str">
        <f>"9780309212274"</f>
        <v>9780309212274</v>
      </c>
      <c r="E8498" t="s">
        <v>8939</v>
      </c>
      <c r="F8498" t="s">
        <v>8939</v>
      </c>
      <c r="G8498" s="1">
        <v>40824</v>
      </c>
      <c r="H8498" s="1">
        <v>40826</v>
      </c>
      <c r="I8498" t="s">
        <v>12</v>
      </c>
      <c r="J8498" t="s">
        <v>19268</v>
      </c>
    </row>
    <row r="8499" spans="1:10" x14ac:dyDescent="0.25">
      <c r="A8499">
        <v>3382411</v>
      </c>
      <c r="B8499" t="s">
        <v>8982</v>
      </c>
      <c r="C8499" t="str">
        <f>"9780982384374"</f>
        <v>9780982384374</v>
      </c>
      <c r="D8499" t="str">
        <f>""</f>
        <v/>
      </c>
      <c r="E8499" t="s">
        <v>8983</v>
      </c>
      <c r="F8499" t="s">
        <v>8984</v>
      </c>
      <c r="G8499" s="1">
        <v>40269</v>
      </c>
      <c r="H8499" s="1">
        <v>40717</v>
      </c>
      <c r="I8499" t="s">
        <v>12</v>
      </c>
      <c r="J8499" t="s">
        <v>19269</v>
      </c>
    </row>
    <row r="8500" spans="1:10" x14ac:dyDescent="0.25">
      <c r="A8500">
        <v>3383559</v>
      </c>
      <c r="B8500" t="s">
        <v>8985</v>
      </c>
      <c r="C8500" t="str">
        <f>"9781933019185"</f>
        <v>9781933019185</v>
      </c>
      <c r="D8500" t="str">
        <f>"9781933019659"</f>
        <v>9781933019659</v>
      </c>
      <c r="E8500" t="s">
        <v>8986</v>
      </c>
      <c r="F8500" t="s">
        <v>8986</v>
      </c>
      <c r="G8500" s="1">
        <v>38687</v>
      </c>
      <c r="H8500" s="1">
        <v>38918</v>
      </c>
      <c r="I8500" t="s">
        <v>12</v>
      </c>
      <c r="J8500" t="s">
        <v>19270</v>
      </c>
    </row>
    <row r="8501" spans="1:10" x14ac:dyDescent="0.25">
      <c r="A8501">
        <v>3383560</v>
      </c>
      <c r="B8501" t="s">
        <v>8987</v>
      </c>
      <c r="C8501" t="str">
        <f>"9781933019345"</f>
        <v>9781933019345</v>
      </c>
      <c r="D8501" t="str">
        <f>"9781933019826"</f>
        <v>9781933019826</v>
      </c>
      <c r="E8501" t="s">
        <v>8986</v>
      </c>
      <c r="F8501" t="s">
        <v>8986</v>
      </c>
      <c r="G8501" s="1">
        <v>38687</v>
      </c>
      <c r="H8501" s="1">
        <v>38918</v>
      </c>
      <c r="I8501" t="s">
        <v>12</v>
      </c>
      <c r="J8501" t="s">
        <v>19271</v>
      </c>
    </row>
    <row r="8502" spans="1:10" x14ac:dyDescent="0.25">
      <c r="A8502">
        <v>3383565</v>
      </c>
      <c r="B8502" t="s">
        <v>8988</v>
      </c>
      <c r="C8502" t="str">
        <f>"9781933019178"</f>
        <v>9781933019178</v>
      </c>
      <c r="D8502" t="str">
        <f>"9781933019642"</f>
        <v>9781933019642</v>
      </c>
      <c r="E8502" t="s">
        <v>8986</v>
      </c>
      <c r="F8502" t="s">
        <v>8986</v>
      </c>
      <c r="G8502" s="1">
        <v>38657</v>
      </c>
      <c r="H8502" s="1">
        <v>38918</v>
      </c>
      <c r="I8502" t="s">
        <v>12</v>
      </c>
      <c r="J8502" t="s">
        <v>19272</v>
      </c>
    </row>
    <row r="8503" spans="1:10" x14ac:dyDescent="0.25">
      <c r="A8503">
        <v>3383572</v>
      </c>
      <c r="B8503" t="s">
        <v>8989</v>
      </c>
      <c r="C8503" t="str">
        <f>"9781933019253"</f>
        <v>9781933019253</v>
      </c>
      <c r="D8503" t="str">
        <f>"9781933019710"</f>
        <v>9781933019710</v>
      </c>
      <c r="E8503" t="s">
        <v>8986</v>
      </c>
      <c r="F8503" t="s">
        <v>8986</v>
      </c>
      <c r="G8503" s="1">
        <v>38808</v>
      </c>
      <c r="H8503" s="1">
        <v>38975</v>
      </c>
      <c r="I8503" t="s">
        <v>12</v>
      </c>
      <c r="J8503" t="s">
        <v>19273</v>
      </c>
    </row>
    <row r="8504" spans="1:10" x14ac:dyDescent="0.25">
      <c r="A8504">
        <v>3383574</v>
      </c>
      <c r="B8504" t="s">
        <v>8990</v>
      </c>
      <c r="C8504" t="str">
        <f>"9781933019123"</f>
        <v>9781933019123</v>
      </c>
      <c r="D8504" t="str">
        <f>"9781933019666"</f>
        <v>9781933019666</v>
      </c>
      <c r="E8504" t="s">
        <v>8986</v>
      </c>
      <c r="F8504" t="s">
        <v>8986</v>
      </c>
      <c r="G8504" s="1">
        <v>38687</v>
      </c>
      <c r="H8504" s="1">
        <v>38975</v>
      </c>
      <c r="I8504" t="s">
        <v>12</v>
      </c>
      <c r="J8504" t="s">
        <v>19274</v>
      </c>
    </row>
    <row r="8505" spans="1:10" x14ac:dyDescent="0.25">
      <c r="A8505">
        <v>3383584</v>
      </c>
      <c r="B8505" t="s">
        <v>8991</v>
      </c>
      <c r="C8505" t="str">
        <f>"9781933019376"</f>
        <v>9781933019376</v>
      </c>
      <c r="D8505" t="str">
        <f>"9781933019840"</f>
        <v>9781933019840</v>
      </c>
      <c r="E8505" t="s">
        <v>8986</v>
      </c>
      <c r="F8505" t="s">
        <v>8986</v>
      </c>
      <c r="G8505" s="1">
        <v>38899</v>
      </c>
      <c r="H8505" s="1">
        <v>38999</v>
      </c>
      <c r="I8505" t="s">
        <v>12</v>
      </c>
      <c r="J8505" t="s">
        <v>19275</v>
      </c>
    </row>
    <row r="8506" spans="1:10" x14ac:dyDescent="0.25">
      <c r="A8506">
        <v>3383585</v>
      </c>
      <c r="B8506" t="s">
        <v>8992</v>
      </c>
      <c r="C8506" t="str">
        <f>""</f>
        <v/>
      </c>
      <c r="D8506" t="str">
        <f>"9781933019888"</f>
        <v>9781933019888</v>
      </c>
      <c r="E8506" t="s">
        <v>8986</v>
      </c>
      <c r="F8506" t="s">
        <v>8986</v>
      </c>
      <c r="G8506" s="1">
        <v>40634</v>
      </c>
      <c r="H8506" s="1">
        <v>38999</v>
      </c>
      <c r="I8506" t="s">
        <v>12</v>
      </c>
      <c r="J8506" t="s">
        <v>19276</v>
      </c>
    </row>
    <row r="8507" spans="1:10" x14ac:dyDescent="0.25">
      <c r="A8507">
        <v>3383598</v>
      </c>
      <c r="B8507" t="s">
        <v>8993</v>
      </c>
      <c r="C8507" t="str">
        <f>"9781601980168"</f>
        <v>9781601980168</v>
      </c>
      <c r="D8507" t="str">
        <f>"9781601980175"</f>
        <v>9781601980175</v>
      </c>
      <c r="E8507" t="s">
        <v>8986</v>
      </c>
      <c r="F8507" t="s">
        <v>8986</v>
      </c>
      <c r="G8507" s="1">
        <v>39052</v>
      </c>
      <c r="H8507" s="1">
        <v>39393</v>
      </c>
      <c r="I8507" t="s">
        <v>12</v>
      </c>
      <c r="J8507" t="s">
        <v>19277</v>
      </c>
    </row>
    <row r="8508" spans="1:10" x14ac:dyDescent="0.25">
      <c r="A8508">
        <v>3383602</v>
      </c>
      <c r="B8508" t="s">
        <v>8994</v>
      </c>
      <c r="C8508" t="str">
        <f>"9781601980564"</f>
        <v>9781601980564</v>
      </c>
      <c r="D8508" t="str">
        <f>"9781601980571"</f>
        <v>9781601980571</v>
      </c>
      <c r="E8508" t="s">
        <v>8986</v>
      </c>
      <c r="F8508" t="s">
        <v>8986</v>
      </c>
      <c r="G8508" s="1">
        <v>39295</v>
      </c>
      <c r="H8508" s="1">
        <v>39393</v>
      </c>
      <c r="I8508" t="s">
        <v>12</v>
      </c>
      <c r="J8508" t="s">
        <v>19278</v>
      </c>
    </row>
    <row r="8509" spans="1:10" x14ac:dyDescent="0.25">
      <c r="A8509">
        <v>3383608</v>
      </c>
      <c r="B8509" t="s">
        <v>8995</v>
      </c>
      <c r="C8509" t="str">
        <f>"9781601980328"</f>
        <v>9781601980328</v>
      </c>
      <c r="D8509" t="str">
        <f>"9781601980335"</f>
        <v>9781601980335</v>
      </c>
      <c r="E8509" t="s">
        <v>8986</v>
      </c>
      <c r="F8509" t="s">
        <v>8986</v>
      </c>
      <c r="G8509" s="1">
        <v>39052</v>
      </c>
      <c r="H8509" s="1">
        <v>39393</v>
      </c>
      <c r="I8509" t="s">
        <v>12</v>
      </c>
      <c r="J8509" t="s">
        <v>19279</v>
      </c>
    </row>
    <row r="8510" spans="1:10" x14ac:dyDescent="0.25">
      <c r="A8510">
        <v>3383623</v>
      </c>
      <c r="B8510" t="s">
        <v>8996</v>
      </c>
      <c r="C8510" t="str">
        <f>"9781601980281"</f>
        <v>9781601980281</v>
      </c>
      <c r="D8510" t="str">
        <f>"9781601980298"</f>
        <v>9781601980298</v>
      </c>
      <c r="E8510" t="s">
        <v>8986</v>
      </c>
      <c r="F8510" t="s">
        <v>8986</v>
      </c>
      <c r="G8510" s="1">
        <v>39234</v>
      </c>
      <c r="H8510" s="1">
        <v>39398</v>
      </c>
      <c r="I8510" t="s">
        <v>12</v>
      </c>
      <c r="J8510" t="s">
        <v>19280</v>
      </c>
    </row>
    <row r="8511" spans="1:10" x14ac:dyDescent="0.25">
      <c r="A8511">
        <v>3384084</v>
      </c>
      <c r="B8511" t="s">
        <v>8997</v>
      </c>
      <c r="C8511" t="str">
        <f>"9781890504908"</f>
        <v>9781890504908</v>
      </c>
      <c r="D8511" t="str">
        <f>"9781935864929"</f>
        <v>9781935864929</v>
      </c>
      <c r="E8511" t="s">
        <v>8998</v>
      </c>
      <c r="F8511" t="s">
        <v>8998</v>
      </c>
      <c r="G8511" s="1">
        <v>40148</v>
      </c>
      <c r="H8511" s="1">
        <v>40933</v>
      </c>
      <c r="I8511" t="s">
        <v>12</v>
      </c>
      <c r="J8511" t="s">
        <v>19281</v>
      </c>
    </row>
    <row r="8512" spans="1:10" x14ac:dyDescent="0.25">
      <c r="A8512">
        <v>3384085</v>
      </c>
      <c r="B8512" t="s">
        <v>8999</v>
      </c>
      <c r="C8512" t="str">
        <f>"9781890504885"</f>
        <v>9781890504885</v>
      </c>
      <c r="D8512" t="str">
        <f>"9781890504885"</f>
        <v>9781890504885</v>
      </c>
      <c r="E8512" t="s">
        <v>8998</v>
      </c>
      <c r="F8512" t="s">
        <v>8998</v>
      </c>
      <c r="G8512" s="1">
        <v>40148</v>
      </c>
      <c r="H8512" s="1">
        <v>40933</v>
      </c>
      <c r="I8512" t="s">
        <v>12</v>
      </c>
      <c r="J8512" t="s">
        <v>19282</v>
      </c>
    </row>
    <row r="8513" spans="1:10" x14ac:dyDescent="0.25">
      <c r="A8513">
        <v>3384088</v>
      </c>
      <c r="B8513" t="s">
        <v>9000</v>
      </c>
      <c r="C8513" t="str">
        <f>"9781890504892"</f>
        <v>9781890504892</v>
      </c>
      <c r="D8513" t="str">
        <f>"9781935864530"</f>
        <v>9781935864530</v>
      </c>
      <c r="E8513" t="s">
        <v>8998</v>
      </c>
      <c r="F8513" t="s">
        <v>8998</v>
      </c>
      <c r="G8513" s="1">
        <v>40148</v>
      </c>
      <c r="H8513" s="1">
        <v>40933</v>
      </c>
      <c r="I8513" t="s">
        <v>12</v>
      </c>
      <c r="J8513" t="s">
        <v>19283</v>
      </c>
    </row>
    <row r="8514" spans="1:10" x14ac:dyDescent="0.25">
      <c r="A8514">
        <v>3384139</v>
      </c>
      <c r="B8514" t="s">
        <v>9001</v>
      </c>
      <c r="C8514" t="str">
        <f>"9789627707707"</f>
        <v>9789627707707</v>
      </c>
      <c r="D8514" t="str">
        <f>"9789627707769"</f>
        <v>9789627707769</v>
      </c>
      <c r="E8514" t="s">
        <v>9002</v>
      </c>
      <c r="F8514" t="s">
        <v>9002</v>
      </c>
      <c r="G8514" s="1">
        <v>40360</v>
      </c>
      <c r="H8514" s="1">
        <v>40486</v>
      </c>
      <c r="I8514" t="s">
        <v>12</v>
      </c>
      <c r="J8514" t="s">
        <v>19284</v>
      </c>
    </row>
    <row r="8515" spans="1:10" x14ac:dyDescent="0.25">
      <c r="A8515">
        <v>3384184</v>
      </c>
      <c r="B8515" t="s">
        <v>9003</v>
      </c>
      <c r="C8515" t="str">
        <f>"9780970951120"</f>
        <v>9780970951120</v>
      </c>
      <c r="D8515" t="str">
        <f>"9780974423937"</f>
        <v>9780974423937</v>
      </c>
      <c r="E8515" t="s">
        <v>9004</v>
      </c>
      <c r="F8515" t="s">
        <v>9004</v>
      </c>
      <c r="G8515" s="1">
        <v>37680</v>
      </c>
      <c r="H8515" s="1">
        <v>38538</v>
      </c>
      <c r="I8515" t="s">
        <v>12</v>
      </c>
      <c r="J8515" t="s">
        <v>19285</v>
      </c>
    </row>
    <row r="8516" spans="1:10" x14ac:dyDescent="0.25">
      <c r="A8516">
        <v>3384186</v>
      </c>
      <c r="B8516" t="s">
        <v>9005</v>
      </c>
      <c r="C8516" t="str">
        <f>"9780974423999"</f>
        <v>9780974423999</v>
      </c>
      <c r="D8516" t="str">
        <f>"9781934404003"</f>
        <v>9781934404003</v>
      </c>
      <c r="E8516" t="s">
        <v>9004</v>
      </c>
      <c r="F8516" t="s">
        <v>9004</v>
      </c>
      <c r="G8516" s="1">
        <v>38687</v>
      </c>
      <c r="H8516" s="1">
        <v>39071</v>
      </c>
      <c r="I8516" t="s">
        <v>12</v>
      </c>
      <c r="J8516" t="s">
        <v>19286</v>
      </c>
    </row>
    <row r="8517" spans="1:10" x14ac:dyDescent="0.25">
      <c r="A8517">
        <v>3384187</v>
      </c>
      <c r="B8517" t="s">
        <v>9006</v>
      </c>
      <c r="C8517" t="str">
        <f>"9781934404034"</f>
        <v>9781934404034</v>
      </c>
      <c r="D8517" t="str">
        <f>"9781934404041"</f>
        <v>9781934404041</v>
      </c>
      <c r="E8517" t="s">
        <v>9004</v>
      </c>
      <c r="F8517" t="s">
        <v>9004</v>
      </c>
      <c r="G8517" s="1">
        <v>39120</v>
      </c>
      <c r="H8517" s="1">
        <v>39136</v>
      </c>
      <c r="I8517" t="s">
        <v>12</v>
      </c>
      <c r="J8517" t="s">
        <v>19287</v>
      </c>
    </row>
    <row r="8518" spans="1:10" x14ac:dyDescent="0.25">
      <c r="A8518">
        <v>3384188</v>
      </c>
      <c r="B8518" t="s">
        <v>9007</v>
      </c>
      <c r="C8518" t="str">
        <f>"9781934404010"</f>
        <v>9781934404010</v>
      </c>
      <c r="D8518" t="str">
        <f>"9781934404027"</f>
        <v>9781934404027</v>
      </c>
      <c r="E8518" t="s">
        <v>9004</v>
      </c>
      <c r="F8518" t="s">
        <v>9004</v>
      </c>
      <c r="G8518" s="1">
        <v>39120</v>
      </c>
      <c r="H8518" s="1">
        <v>39136</v>
      </c>
      <c r="I8518" t="s">
        <v>12</v>
      </c>
      <c r="J8518" t="s">
        <v>19288</v>
      </c>
    </row>
    <row r="8519" spans="1:10" x14ac:dyDescent="0.25">
      <c r="A8519">
        <v>3384189</v>
      </c>
      <c r="B8519" t="s">
        <v>9008</v>
      </c>
      <c r="C8519" t="str">
        <f>"9781934404058"</f>
        <v>9781934404058</v>
      </c>
      <c r="D8519" t="str">
        <f>"9781934404065"</f>
        <v>9781934404065</v>
      </c>
      <c r="E8519" t="s">
        <v>9004</v>
      </c>
      <c r="F8519" t="s">
        <v>9004</v>
      </c>
      <c r="G8519" s="1">
        <v>39083</v>
      </c>
      <c r="H8519" s="1">
        <v>39136</v>
      </c>
      <c r="I8519" t="s">
        <v>12</v>
      </c>
      <c r="J8519" t="s">
        <v>19289</v>
      </c>
    </row>
    <row r="8520" spans="1:10" x14ac:dyDescent="0.25">
      <c r="A8520">
        <v>3384190</v>
      </c>
      <c r="B8520" t="s">
        <v>9009</v>
      </c>
      <c r="C8520" t="str">
        <f>"9781934404072"</f>
        <v>9781934404072</v>
      </c>
      <c r="D8520" t="str">
        <f>"9781934404089"</f>
        <v>9781934404089</v>
      </c>
      <c r="E8520" t="s">
        <v>9004</v>
      </c>
      <c r="F8520" t="s">
        <v>9004</v>
      </c>
      <c r="G8520" s="1">
        <v>39083</v>
      </c>
      <c r="H8520" s="1">
        <v>39343</v>
      </c>
      <c r="I8520" t="s">
        <v>12</v>
      </c>
      <c r="J8520" t="s">
        <v>19290</v>
      </c>
    </row>
    <row r="8521" spans="1:10" x14ac:dyDescent="0.25">
      <c r="A8521">
        <v>3384191</v>
      </c>
      <c r="B8521" t="s">
        <v>9010</v>
      </c>
      <c r="C8521" t="str">
        <f>"9781934404119"</f>
        <v>9781934404119</v>
      </c>
      <c r="D8521" t="str">
        <f>"9781934404126"</f>
        <v>9781934404126</v>
      </c>
      <c r="E8521" t="s">
        <v>9004</v>
      </c>
      <c r="F8521" t="s">
        <v>9004</v>
      </c>
      <c r="G8521" s="1">
        <v>39559</v>
      </c>
      <c r="H8521" s="1">
        <v>39604</v>
      </c>
      <c r="I8521" t="s">
        <v>12</v>
      </c>
      <c r="J8521" t="s">
        <v>19291</v>
      </c>
    </row>
    <row r="8522" spans="1:10" x14ac:dyDescent="0.25">
      <c r="A8522">
        <v>3384194</v>
      </c>
      <c r="B8522" t="s">
        <v>9011</v>
      </c>
      <c r="C8522" t="str">
        <f>"9781934404171"</f>
        <v>9781934404171</v>
      </c>
      <c r="D8522" t="str">
        <f>"9781934404188"</f>
        <v>9781934404188</v>
      </c>
      <c r="E8522" t="s">
        <v>9004</v>
      </c>
      <c r="F8522" t="s">
        <v>9004</v>
      </c>
      <c r="G8522" s="1">
        <v>39884</v>
      </c>
      <c r="H8522" s="1">
        <v>39893</v>
      </c>
      <c r="I8522" t="s">
        <v>12</v>
      </c>
      <c r="J8522" t="s">
        <v>19292</v>
      </c>
    </row>
    <row r="8523" spans="1:10" x14ac:dyDescent="0.25">
      <c r="A8523">
        <v>3384195</v>
      </c>
      <c r="B8523" t="s">
        <v>9012</v>
      </c>
      <c r="C8523" t="str">
        <f>"9781934404195"</f>
        <v>9781934404195</v>
      </c>
      <c r="D8523" t="str">
        <f>"9781934404201"</f>
        <v>9781934404201</v>
      </c>
      <c r="E8523" t="s">
        <v>9004</v>
      </c>
      <c r="F8523" t="s">
        <v>9004</v>
      </c>
      <c r="G8523" s="1">
        <v>39989</v>
      </c>
      <c r="H8523" s="1">
        <v>40012</v>
      </c>
      <c r="I8523" t="s">
        <v>12</v>
      </c>
      <c r="J8523" t="s">
        <v>19293</v>
      </c>
    </row>
    <row r="8524" spans="1:10" x14ac:dyDescent="0.25">
      <c r="A8524">
        <v>3384196</v>
      </c>
      <c r="B8524" t="s">
        <v>9013</v>
      </c>
      <c r="C8524" t="str">
        <f>"9781934404218"</f>
        <v>9781934404218</v>
      </c>
      <c r="D8524" t="str">
        <f>"9781934404225"</f>
        <v>9781934404225</v>
      </c>
      <c r="E8524" t="s">
        <v>9004</v>
      </c>
      <c r="F8524" t="s">
        <v>9004</v>
      </c>
      <c r="G8524" s="1">
        <v>40756</v>
      </c>
      <c r="H8524" s="1">
        <v>40808</v>
      </c>
      <c r="I8524" t="s">
        <v>12</v>
      </c>
      <c r="J8524" t="s">
        <v>19294</v>
      </c>
    </row>
    <row r="8525" spans="1:10" x14ac:dyDescent="0.25">
      <c r="A8525">
        <v>3384749</v>
      </c>
      <c r="B8525" t="s">
        <v>9014</v>
      </c>
      <c r="C8525" t="str">
        <f>"9781930972285"</f>
        <v>9781930972285</v>
      </c>
      <c r="D8525" t="str">
        <f>"9781930972575"</f>
        <v>9781930972575</v>
      </c>
      <c r="E8525" t="s">
        <v>9015</v>
      </c>
      <c r="F8525" t="s">
        <v>9015</v>
      </c>
      <c r="G8525" s="1">
        <v>39772</v>
      </c>
      <c r="H8525" s="1">
        <v>39970</v>
      </c>
      <c r="I8525" t="s">
        <v>12</v>
      </c>
      <c r="J8525" t="s">
        <v>19295</v>
      </c>
    </row>
    <row r="8526" spans="1:10" x14ac:dyDescent="0.25">
      <c r="A8526">
        <v>3384753</v>
      </c>
      <c r="B8526" t="s">
        <v>9016</v>
      </c>
      <c r="C8526" t="str">
        <f>"9781930972322"</f>
        <v>9781930972322</v>
      </c>
      <c r="D8526" t="str">
        <f>"9781930972612"</f>
        <v>9781930972612</v>
      </c>
      <c r="E8526" t="s">
        <v>9015</v>
      </c>
      <c r="F8526" t="s">
        <v>9015</v>
      </c>
      <c r="G8526" s="1">
        <v>40303</v>
      </c>
      <c r="H8526" s="1">
        <v>40339</v>
      </c>
      <c r="I8526" t="s">
        <v>12</v>
      </c>
      <c r="J8526" t="s">
        <v>19296</v>
      </c>
    </row>
    <row r="8527" spans="1:10" x14ac:dyDescent="0.25">
      <c r="A8527">
        <v>3385456</v>
      </c>
      <c r="B8527" t="s">
        <v>9017</v>
      </c>
      <c r="C8527" t="str">
        <f>"9780881324051"</f>
        <v>9780881324051</v>
      </c>
      <c r="D8527" t="str">
        <f>"9780881324815"</f>
        <v>9780881324815</v>
      </c>
      <c r="E8527" t="s">
        <v>9018</v>
      </c>
      <c r="F8527" t="s">
        <v>9018</v>
      </c>
      <c r="G8527" s="1">
        <v>39356</v>
      </c>
      <c r="H8527" s="1">
        <v>39471</v>
      </c>
      <c r="I8527" t="s">
        <v>12</v>
      </c>
      <c r="J8527" t="s">
        <v>19297</v>
      </c>
    </row>
    <row r="8528" spans="1:10" x14ac:dyDescent="0.25">
      <c r="A8528">
        <v>3385467</v>
      </c>
      <c r="B8528" t="s">
        <v>9019</v>
      </c>
      <c r="C8528" t="str">
        <f>"9780881324075"</f>
        <v>9780881324075</v>
      </c>
      <c r="D8528" t="str">
        <f>"9780881324822"</f>
        <v>9780881324822</v>
      </c>
      <c r="E8528" t="s">
        <v>9018</v>
      </c>
      <c r="F8528" t="s">
        <v>9018</v>
      </c>
      <c r="G8528" s="1">
        <v>39387</v>
      </c>
      <c r="H8528" s="1">
        <v>39471</v>
      </c>
      <c r="I8528" t="s">
        <v>12</v>
      </c>
      <c r="J8528" t="s">
        <v>19298</v>
      </c>
    </row>
    <row r="8529" spans="1:10" x14ac:dyDescent="0.25">
      <c r="A8529">
        <v>3385470</v>
      </c>
      <c r="B8529" t="s">
        <v>9020</v>
      </c>
      <c r="C8529" t="str">
        <f>"9780881323658"</f>
        <v>9780881323658</v>
      </c>
      <c r="D8529" t="str">
        <f>"9780881324594"</f>
        <v>9780881324594</v>
      </c>
      <c r="E8529" t="s">
        <v>9018</v>
      </c>
      <c r="F8529" t="s">
        <v>9018</v>
      </c>
      <c r="G8529" s="1">
        <v>38139</v>
      </c>
      <c r="H8529" s="1">
        <v>39669</v>
      </c>
      <c r="I8529" t="s">
        <v>12</v>
      </c>
      <c r="J8529" t="s">
        <v>19299</v>
      </c>
    </row>
    <row r="8530" spans="1:10" x14ac:dyDescent="0.25">
      <c r="A8530">
        <v>3385471</v>
      </c>
      <c r="B8530" t="s">
        <v>9021</v>
      </c>
      <c r="C8530" t="str">
        <f>"9780881323498"</f>
        <v>9780881323498</v>
      </c>
      <c r="D8530" t="str">
        <f>"9780881324532"</f>
        <v>9780881324532</v>
      </c>
      <c r="E8530" t="s">
        <v>9018</v>
      </c>
      <c r="F8530" t="s">
        <v>9018</v>
      </c>
      <c r="G8530" s="1">
        <v>38018</v>
      </c>
      <c r="H8530" s="1">
        <v>39667</v>
      </c>
      <c r="I8530" t="s">
        <v>12</v>
      </c>
      <c r="J8530" t="s">
        <v>19300</v>
      </c>
    </row>
    <row r="8531" spans="1:10" x14ac:dyDescent="0.25">
      <c r="A8531">
        <v>3385473</v>
      </c>
      <c r="B8531" t="s">
        <v>9022</v>
      </c>
      <c r="C8531" t="str">
        <f>"9780881323719"</f>
        <v>9780881323719</v>
      </c>
      <c r="D8531" t="str">
        <f>"9780881324600"</f>
        <v>9780881324600</v>
      </c>
      <c r="E8531" t="s">
        <v>9018</v>
      </c>
      <c r="F8531" t="s">
        <v>9018</v>
      </c>
      <c r="G8531" s="1">
        <v>38200</v>
      </c>
      <c r="H8531" s="1">
        <v>39667</v>
      </c>
      <c r="I8531" t="s">
        <v>12</v>
      </c>
      <c r="J8531" t="s">
        <v>19301</v>
      </c>
    </row>
    <row r="8532" spans="1:10" x14ac:dyDescent="0.25">
      <c r="A8532">
        <v>3385476</v>
      </c>
      <c r="B8532" t="s">
        <v>9023</v>
      </c>
      <c r="C8532" t="str">
        <f>"9780881324150"</f>
        <v>9780881324150</v>
      </c>
      <c r="D8532" t="str">
        <f>"9780881324860"</f>
        <v>9780881324860</v>
      </c>
      <c r="E8532" t="s">
        <v>9018</v>
      </c>
      <c r="F8532" t="s">
        <v>9018</v>
      </c>
      <c r="G8532" s="1">
        <v>39539</v>
      </c>
      <c r="H8532" s="1">
        <v>39669</v>
      </c>
      <c r="I8532" t="s">
        <v>12</v>
      </c>
      <c r="J8532" t="s">
        <v>19302</v>
      </c>
    </row>
    <row r="8533" spans="1:10" x14ac:dyDescent="0.25">
      <c r="A8533">
        <v>3385484</v>
      </c>
      <c r="B8533" t="s">
        <v>9024</v>
      </c>
      <c r="C8533" t="str">
        <f>"9780881324181"</f>
        <v>9780881324181</v>
      </c>
      <c r="D8533" t="str">
        <f>"9780881324884"</f>
        <v>9780881324884</v>
      </c>
      <c r="E8533" t="s">
        <v>9025</v>
      </c>
      <c r="F8533" t="s">
        <v>9018</v>
      </c>
      <c r="G8533" s="1">
        <v>39600</v>
      </c>
      <c r="H8533" s="1">
        <v>39745</v>
      </c>
      <c r="I8533" t="s">
        <v>12</v>
      </c>
      <c r="J8533" t="s">
        <v>19303</v>
      </c>
    </row>
    <row r="8534" spans="1:10" x14ac:dyDescent="0.25">
      <c r="A8534">
        <v>3385487</v>
      </c>
      <c r="B8534" t="s">
        <v>9026</v>
      </c>
      <c r="C8534" t="str">
        <f>"9780881323610"</f>
        <v>9780881323610</v>
      </c>
      <c r="D8534" t="str">
        <f>"9780881324587"</f>
        <v>9780881324587</v>
      </c>
      <c r="E8534" t="s">
        <v>9025</v>
      </c>
      <c r="F8534" t="s">
        <v>9018</v>
      </c>
      <c r="G8534" s="1">
        <v>38078</v>
      </c>
      <c r="H8534" s="1">
        <v>39745</v>
      </c>
      <c r="I8534" t="s">
        <v>12</v>
      </c>
      <c r="J8534" t="s">
        <v>19304</v>
      </c>
    </row>
    <row r="8535" spans="1:10" x14ac:dyDescent="0.25">
      <c r="A8535">
        <v>3385489</v>
      </c>
      <c r="B8535" t="s">
        <v>9027</v>
      </c>
      <c r="C8535" t="str">
        <f>"9780881322415"</f>
        <v>9780881322415</v>
      </c>
      <c r="D8535" t="str">
        <f>"9780881323160"</f>
        <v>9780881323160</v>
      </c>
      <c r="E8535" t="s">
        <v>9018</v>
      </c>
      <c r="F8535" t="s">
        <v>9018</v>
      </c>
      <c r="G8535" s="1">
        <v>35490</v>
      </c>
      <c r="H8535" s="1">
        <v>39745</v>
      </c>
      <c r="I8535" t="s">
        <v>12</v>
      </c>
      <c r="J8535" t="s">
        <v>19305</v>
      </c>
    </row>
    <row r="8536" spans="1:10" x14ac:dyDescent="0.25">
      <c r="A8536">
        <v>3385493</v>
      </c>
      <c r="B8536" t="s">
        <v>9028</v>
      </c>
      <c r="C8536" t="str">
        <f>"9780881323504"</f>
        <v>9780881323504</v>
      </c>
      <c r="D8536" t="str">
        <f>"9780881324549"</f>
        <v>9780881324549</v>
      </c>
      <c r="E8536" t="s">
        <v>9018</v>
      </c>
      <c r="F8536" t="s">
        <v>9018</v>
      </c>
      <c r="G8536" s="1">
        <v>37681</v>
      </c>
      <c r="H8536" s="1">
        <v>39771</v>
      </c>
      <c r="I8536" t="s">
        <v>12</v>
      </c>
      <c r="J8536" t="s">
        <v>19306</v>
      </c>
    </row>
    <row r="8537" spans="1:10" x14ac:dyDescent="0.25">
      <c r="A8537">
        <v>3385495</v>
      </c>
      <c r="B8537" t="s">
        <v>9029</v>
      </c>
      <c r="C8537" t="str">
        <f>"9780881323818"</f>
        <v>9780881323818</v>
      </c>
      <c r="D8537" t="str">
        <f>"9780881324631"</f>
        <v>9780881324631</v>
      </c>
      <c r="E8537" t="s">
        <v>9018</v>
      </c>
      <c r="F8537" t="s">
        <v>9018</v>
      </c>
      <c r="G8537" s="1">
        <v>38443</v>
      </c>
      <c r="H8537" s="1">
        <v>39771</v>
      </c>
      <c r="I8537" t="s">
        <v>12</v>
      </c>
      <c r="J8537" t="s">
        <v>19307</v>
      </c>
    </row>
    <row r="8538" spans="1:10" x14ac:dyDescent="0.25">
      <c r="A8538">
        <v>3385508</v>
      </c>
      <c r="B8538" t="s">
        <v>9030</v>
      </c>
      <c r="C8538" t="str">
        <f>"9780881322743"</f>
        <v>9780881322743</v>
      </c>
      <c r="D8538" t="str">
        <f>"9780881324433"</f>
        <v>9780881324433</v>
      </c>
      <c r="E8538" t="s">
        <v>9018</v>
      </c>
      <c r="F8538" t="s">
        <v>9018</v>
      </c>
      <c r="G8538" s="1">
        <v>36708</v>
      </c>
      <c r="H8538" s="1">
        <v>39844</v>
      </c>
      <c r="I8538" t="s">
        <v>12</v>
      </c>
      <c r="J8538" t="s">
        <v>19308</v>
      </c>
    </row>
    <row r="8539" spans="1:10" x14ac:dyDescent="0.25">
      <c r="A8539">
        <v>3385512</v>
      </c>
      <c r="B8539" t="s">
        <v>9031</v>
      </c>
      <c r="C8539" t="str">
        <f>"9780881324259"</f>
        <v>9780881324259</v>
      </c>
      <c r="D8539" t="str">
        <f>"9780881324938"</f>
        <v>9780881324938</v>
      </c>
      <c r="E8539" t="s">
        <v>9018</v>
      </c>
      <c r="F8539" t="s">
        <v>9018</v>
      </c>
      <c r="G8539" s="1">
        <v>39782</v>
      </c>
      <c r="H8539" s="1">
        <v>39871</v>
      </c>
      <c r="I8539" t="s">
        <v>12</v>
      </c>
      <c r="J8539" t="s">
        <v>19309</v>
      </c>
    </row>
    <row r="8540" spans="1:10" x14ac:dyDescent="0.25">
      <c r="A8540">
        <v>3385515</v>
      </c>
      <c r="B8540" t="s">
        <v>9032</v>
      </c>
      <c r="C8540" t="str">
        <f>"9780881324280"</f>
        <v>9780881324280</v>
      </c>
      <c r="D8540" t="str">
        <f>"9781282094116"</f>
        <v>9781282094116</v>
      </c>
      <c r="E8540" t="s">
        <v>9018</v>
      </c>
      <c r="F8540" t="s">
        <v>9025</v>
      </c>
      <c r="G8540" s="1">
        <v>39873</v>
      </c>
      <c r="H8540" s="1">
        <v>39928</v>
      </c>
      <c r="I8540" t="s">
        <v>12</v>
      </c>
      <c r="J8540" t="s">
        <v>19310</v>
      </c>
    </row>
    <row r="8541" spans="1:10" x14ac:dyDescent="0.25">
      <c r="A8541">
        <v>3385516</v>
      </c>
      <c r="B8541" t="s">
        <v>9033</v>
      </c>
      <c r="C8541" t="str">
        <f>"9780881324327"</f>
        <v>9780881324327</v>
      </c>
      <c r="D8541" t="str">
        <f>"9780881324969"</f>
        <v>9780881324969</v>
      </c>
      <c r="E8541" t="s">
        <v>9018</v>
      </c>
      <c r="F8541" t="s">
        <v>9018</v>
      </c>
      <c r="G8541" s="1">
        <v>39934</v>
      </c>
      <c r="H8541" s="1">
        <v>40005</v>
      </c>
      <c r="I8541" t="s">
        <v>12</v>
      </c>
      <c r="J8541" t="s">
        <v>19311</v>
      </c>
    </row>
    <row r="8542" spans="1:10" x14ac:dyDescent="0.25">
      <c r="A8542">
        <v>3385517</v>
      </c>
      <c r="B8542" t="s">
        <v>9034</v>
      </c>
      <c r="C8542" t="str">
        <f>"9780881324242"</f>
        <v>9780881324242</v>
      </c>
      <c r="D8542" t="str">
        <f>"9780881324921"</f>
        <v>9780881324921</v>
      </c>
      <c r="E8542" t="s">
        <v>9018</v>
      </c>
      <c r="F8542" t="s">
        <v>9018</v>
      </c>
      <c r="G8542" s="1">
        <v>39904</v>
      </c>
      <c r="H8542" s="1">
        <v>40005</v>
      </c>
      <c r="I8542" t="s">
        <v>12</v>
      </c>
      <c r="J8542" t="s">
        <v>19312</v>
      </c>
    </row>
    <row r="8543" spans="1:10" x14ac:dyDescent="0.25">
      <c r="A8543">
        <v>3385668</v>
      </c>
      <c r="B8543" t="s">
        <v>9035</v>
      </c>
      <c r="C8543" t="str">
        <f>"9780881324983"</f>
        <v>9780881324983</v>
      </c>
      <c r="D8543" t="str">
        <f>"9780881325751"</f>
        <v>9780881325751</v>
      </c>
      <c r="E8543" t="s">
        <v>9018</v>
      </c>
      <c r="F8543" t="s">
        <v>9025</v>
      </c>
      <c r="G8543" s="1">
        <v>40446</v>
      </c>
      <c r="H8543" s="1">
        <v>40472</v>
      </c>
      <c r="I8543" t="s">
        <v>12</v>
      </c>
      <c r="J8543" t="s">
        <v>19313</v>
      </c>
    </row>
    <row r="8544" spans="1:10" x14ac:dyDescent="0.25">
      <c r="A8544">
        <v>3385669</v>
      </c>
      <c r="B8544" t="s">
        <v>9036</v>
      </c>
      <c r="C8544" t="str">
        <f>"9780881325126"</f>
        <v>9780881325126</v>
      </c>
      <c r="D8544" t="str">
        <f>"9780881325539"</f>
        <v>9780881325539</v>
      </c>
      <c r="E8544" t="s">
        <v>9018</v>
      </c>
      <c r="F8544" t="s">
        <v>9025</v>
      </c>
      <c r="G8544" s="1">
        <v>40360</v>
      </c>
      <c r="H8544" s="1">
        <v>40472</v>
      </c>
      <c r="I8544" t="s">
        <v>12</v>
      </c>
      <c r="J8544" t="s">
        <v>19314</v>
      </c>
    </row>
    <row r="8545" spans="1:10" x14ac:dyDescent="0.25">
      <c r="A8545">
        <v>3385670</v>
      </c>
      <c r="B8545" t="s">
        <v>9037</v>
      </c>
      <c r="C8545" t="str">
        <f>"9780881324990"</f>
        <v>9780881324990</v>
      </c>
      <c r="D8545" t="str">
        <f>"9780881325553"</f>
        <v>9780881325553</v>
      </c>
      <c r="E8545" t="s">
        <v>9018</v>
      </c>
      <c r="F8545" t="s">
        <v>9025</v>
      </c>
      <c r="G8545" s="1">
        <v>40313</v>
      </c>
      <c r="H8545" s="1">
        <v>40472</v>
      </c>
      <c r="I8545" t="s">
        <v>12</v>
      </c>
      <c r="J8545" t="s">
        <v>19315</v>
      </c>
    </row>
    <row r="8546" spans="1:10" x14ac:dyDescent="0.25">
      <c r="A8546">
        <v>3386140</v>
      </c>
      <c r="B8546" t="s">
        <v>9038</v>
      </c>
      <c r="C8546" t="str">
        <f>"9780745326917"</f>
        <v>9780745326917</v>
      </c>
      <c r="D8546" t="str">
        <f>"9781849643696"</f>
        <v>9781849643696</v>
      </c>
      <c r="E8546" t="s">
        <v>9039</v>
      </c>
      <c r="F8546" t="s">
        <v>9039</v>
      </c>
      <c r="G8546" s="1">
        <v>40123</v>
      </c>
      <c r="H8546" s="1">
        <v>40731</v>
      </c>
      <c r="I8546" t="s">
        <v>12</v>
      </c>
      <c r="J8546" t="s">
        <v>19316</v>
      </c>
    </row>
    <row r="8547" spans="1:10" x14ac:dyDescent="0.25">
      <c r="A8547">
        <v>3386168</v>
      </c>
      <c r="B8547" t="s">
        <v>9040</v>
      </c>
      <c r="C8547" t="str">
        <f>"9780745330051"</f>
        <v>9780745330051</v>
      </c>
      <c r="D8547" t="str">
        <f>"9781849644518"</f>
        <v>9781849644518</v>
      </c>
      <c r="E8547" t="s">
        <v>9039</v>
      </c>
      <c r="F8547" t="s">
        <v>9039</v>
      </c>
      <c r="G8547" s="1">
        <v>40240</v>
      </c>
      <c r="H8547" s="1">
        <v>40731</v>
      </c>
      <c r="I8547" t="s">
        <v>12</v>
      </c>
      <c r="J8547" t="s">
        <v>19317</v>
      </c>
    </row>
    <row r="8548" spans="1:10" x14ac:dyDescent="0.25">
      <c r="A8548">
        <v>3386180</v>
      </c>
      <c r="B8548" t="s">
        <v>9041</v>
      </c>
      <c r="C8548" t="str">
        <f>"9780745319933"</f>
        <v>9780745319933</v>
      </c>
      <c r="D8548" t="str">
        <f>"9781849644921"</f>
        <v>9781849644921</v>
      </c>
      <c r="E8548" t="s">
        <v>9039</v>
      </c>
      <c r="F8548" t="s">
        <v>9039</v>
      </c>
      <c r="G8548" s="1">
        <v>38492</v>
      </c>
      <c r="H8548" s="1">
        <v>40731</v>
      </c>
      <c r="I8548" t="s">
        <v>12</v>
      </c>
      <c r="J8548" t="s">
        <v>19318</v>
      </c>
    </row>
    <row r="8549" spans="1:10" x14ac:dyDescent="0.25">
      <c r="A8549">
        <v>3386255</v>
      </c>
      <c r="B8549" t="s">
        <v>9042</v>
      </c>
      <c r="C8549" t="str">
        <f>"9780745330433"</f>
        <v>9780745330433</v>
      </c>
      <c r="D8549" t="str">
        <f>"9781849645669"</f>
        <v>9781849645669</v>
      </c>
      <c r="E8549" t="s">
        <v>9039</v>
      </c>
      <c r="F8549" t="s">
        <v>9039</v>
      </c>
      <c r="G8549" s="1">
        <v>40429</v>
      </c>
      <c r="H8549" s="1">
        <v>40731</v>
      </c>
      <c r="I8549" t="s">
        <v>12</v>
      </c>
      <c r="J8549" t="s">
        <v>19319</v>
      </c>
    </row>
    <row r="8550" spans="1:10" x14ac:dyDescent="0.25">
      <c r="A8550">
        <v>3386287</v>
      </c>
      <c r="B8550" t="s">
        <v>9043</v>
      </c>
      <c r="C8550" t="str">
        <f>"9780745330501"</f>
        <v>9780745330501</v>
      </c>
      <c r="D8550" t="str">
        <f>"9781849645676"</f>
        <v>9781849645676</v>
      </c>
      <c r="E8550" t="s">
        <v>9039</v>
      </c>
      <c r="F8550" t="s">
        <v>9039</v>
      </c>
      <c r="G8550" s="1">
        <v>40333</v>
      </c>
      <c r="H8550" s="1">
        <v>40731</v>
      </c>
      <c r="I8550" t="s">
        <v>12</v>
      </c>
      <c r="J8550" t="s">
        <v>19320</v>
      </c>
    </row>
    <row r="8551" spans="1:10" x14ac:dyDescent="0.25">
      <c r="A8551">
        <v>3386346</v>
      </c>
      <c r="B8551" t="s">
        <v>9044</v>
      </c>
      <c r="C8551" t="str">
        <f>"9780745329260"</f>
        <v>9780745329260</v>
      </c>
      <c r="D8551" t="str">
        <f>"9781849644273"</f>
        <v>9781849644273</v>
      </c>
      <c r="E8551" t="s">
        <v>9039</v>
      </c>
      <c r="F8551" t="s">
        <v>9039</v>
      </c>
      <c r="G8551" s="1">
        <v>40063</v>
      </c>
      <c r="H8551" s="1">
        <v>40731</v>
      </c>
      <c r="I8551" t="s">
        <v>12</v>
      </c>
      <c r="J8551" t="s">
        <v>19321</v>
      </c>
    </row>
    <row r="8552" spans="1:10" x14ac:dyDescent="0.25">
      <c r="A8552">
        <v>3386440</v>
      </c>
      <c r="B8552" t="s">
        <v>9045</v>
      </c>
      <c r="C8552" t="str">
        <f>"9780745329956"</f>
        <v>9780745329956</v>
      </c>
      <c r="D8552" t="str">
        <f>"9781849644501"</f>
        <v>9781849644501</v>
      </c>
      <c r="E8552" t="s">
        <v>9039</v>
      </c>
      <c r="F8552" t="s">
        <v>9039</v>
      </c>
      <c r="G8552" s="1">
        <v>40277</v>
      </c>
      <c r="H8552" s="1">
        <v>40731</v>
      </c>
      <c r="I8552" t="s">
        <v>12</v>
      </c>
      <c r="J8552" t="s">
        <v>19322</v>
      </c>
    </row>
    <row r="8553" spans="1:10" x14ac:dyDescent="0.25">
      <c r="A8553">
        <v>3386531</v>
      </c>
      <c r="B8553" t="s">
        <v>9046</v>
      </c>
      <c r="C8553" t="str">
        <f>"9780745330488"</f>
        <v>9780745330488</v>
      </c>
      <c r="D8553" t="str">
        <f>"9781783713769"</f>
        <v>9781783713769</v>
      </c>
      <c r="E8553" t="s">
        <v>9039</v>
      </c>
      <c r="F8553" t="s">
        <v>9039</v>
      </c>
      <c r="G8553" s="1">
        <v>40365</v>
      </c>
      <c r="H8553" s="1">
        <v>40731</v>
      </c>
      <c r="I8553" t="s">
        <v>12</v>
      </c>
      <c r="J8553" t="s">
        <v>19323</v>
      </c>
    </row>
    <row r="8554" spans="1:10" x14ac:dyDescent="0.25">
      <c r="A8554">
        <v>3386579</v>
      </c>
      <c r="B8554" t="s">
        <v>9047</v>
      </c>
      <c r="C8554" t="str">
        <f>"9780745331492"</f>
        <v>9780745331492</v>
      </c>
      <c r="D8554" t="str">
        <f>"9781849647069"</f>
        <v>9781849647069</v>
      </c>
      <c r="E8554" t="s">
        <v>9039</v>
      </c>
      <c r="F8554" t="s">
        <v>9039</v>
      </c>
      <c r="G8554" s="1">
        <v>40956</v>
      </c>
      <c r="H8554" s="1">
        <v>40936</v>
      </c>
      <c r="I8554" t="s">
        <v>12</v>
      </c>
      <c r="J8554" t="s">
        <v>19324</v>
      </c>
    </row>
    <row r="8555" spans="1:10" x14ac:dyDescent="0.25">
      <c r="A8555">
        <v>3386603</v>
      </c>
      <c r="B8555" t="s">
        <v>9048</v>
      </c>
      <c r="C8555" t="str">
        <f>"9780745323084"</f>
        <v>9780745323084</v>
      </c>
      <c r="D8555" t="str">
        <f>"9781849642613"</f>
        <v>9781849642613</v>
      </c>
      <c r="E8555" t="s">
        <v>9039</v>
      </c>
      <c r="F8555" t="s">
        <v>9039</v>
      </c>
      <c r="G8555" s="1">
        <v>39283</v>
      </c>
      <c r="H8555" s="1">
        <v>41110</v>
      </c>
      <c r="I8555" t="s">
        <v>12</v>
      </c>
      <c r="J8555" t="s">
        <v>19325</v>
      </c>
    </row>
    <row r="8556" spans="1:10" x14ac:dyDescent="0.25">
      <c r="A8556">
        <v>3386906</v>
      </c>
      <c r="B8556" t="s">
        <v>9049</v>
      </c>
      <c r="C8556" t="str">
        <f>"9781607950042"</f>
        <v>9781607950042</v>
      </c>
      <c r="D8556" t="str">
        <f>"9781607951247"</f>
        <v>9781607951247</v>
      </c>
      <c r="E8556" t="s">
        <v>9050</v>
      </c>
      <c r="F8556" t="s">
        <v>9051</v>
      </c>
      <c r="G8556" s="1">
        <v>39814</v>
      </c>
      <c r="H8556" s="1">
        <v>40414</v>
      </c>
      <c r="I8556" t="s">
        <v>12</v>
      </c>
      <c r="J8556" t="s">
        <v>19326</v>
      </c>
    </row>
    <row r="8557" spans="1:10" x14ac:dyDescent="0.25">
      <c r="A8557">
        <v>3386912</v>
      </c>
      <c r="B8557" t="s">
        <v>9052</v>
      </c>
      <c r="C8557" t="str">
        <f>"9781607950059"</f>
        <v>9781607950059</v>
      </c>
      <c r="D8557" t="str">
        <f>"9781607951230"</f>
        <v>9781607951230</v>
      </c>
      <c r="E8557" t="s">
        <v>9050</v>
      </c>
      <c r="F8557" t="s">
        <v>9051</v>
      </c>
      <c r="G8557" s="1">
        <v>36526</v>
      </c>
      <c r="H8557" s="1">
        <v>40414</v>
      </c>
      <c r="I8557" t="s">
        <v>12</v>
      </c>
      <c r="J8557" t="s">
        <v>19327</v>
      </c>
    </row>
    <row r="8558" spans="1:10" x14ac:dyDescent="0.25">
      <c r="A8558">
        <v>3399989</v>
      </c>
      <c r="B8558" t="s">
        <v>9053</v>
      </c>
      <c r="C8558" t="str">
        <f>"9781906985448"</f>
        <v>9781906985448</v>
      </c>
      <c r="D8558" t="str">
        <f>"9781906985530"</f>
        <v>9781906985530</v>
      </c>
      <c r="E8558" t="s">
        <v>9054</v>
      </c>
      <c r="F8558" t="s">
        <v>9055</v>
      </c>
      <c r="G8558" s="1">
        <v>40725</v>
      </c>
      <c r="H8558" s="1">
        <v>40794</v>
      </c>
      <c r="I8558" t="s">
        <v>12</v>
      </c>
      <c r="J8558" t="s">
        <v>19328</v>
      </c>
    </row>
    <row r="8559" spans="1:10" x14ac:dyDescent="0.25">
      <c r="A8559">
        <v>3400079</v>
      </c>
      <c r="B8559" t="s">
        <v>9056</v>
      </c>
      <c r="C8559" t="str">
        <f>""</f>
        <v/>
      </c>
      <c r="D8559" t="str">
        <f>"9781859865460"</f>
        <v>9781859865460</v>
      </c>
      <c r="E8559" t="s">
        <v>2075</v>
      </c>
      <c r="F8559" t="s">
        <v>2075</v>
      </c>
      <c r="G8559" s="1">
        <v>38687</v>
      </c>
      <c r="H8559" s="1">
        <v>39398</v>
      </c>
      <c r="I8559" t="s">
        <v>12</v>
      </c>
      <c r="J8559" t="s">
        <v>19329</v>
      </c>
    </row>
    <row r="8560" spans="1:10" x14ac:dyDescent="0.25">
      <c r="A8560">
        <v>3400386</v>
      </c>
      <c r="B8560" t="s">
        <v>9057</v>
      </c>
      <c r="C8560" t="str">
        <f>"9781587653964"</f>
        <v>9781587653964</v>
      </c>
      <c r="D8560" t="str">
        <f>"9781587654107"</f>
        <v>9781587654107</v>
      </c>
      <c r="E8560" t="s">
        <v>9058</v>
      </c>
      <c r="F8560" t="s">
        <v>9058</v>
      </c>
      <c r="G8560" s="1">
        <v>39295</v>
      </c>
      <c r="H8560" s="1">
        <v>39553</v>
      </c>
      <c r="I8560" t="s">
        <v>12</v>
      </c>
      <c r="J8560" t="s">
        <v>19330</v>
      </c>
    </row>
    <row r="8561" spans="1:10" x14ac:dyDescent="0.25">
      <c r="A8561">
        <v>3400414</v>
      </c>
      <c r="B8561" t="s">
        <v>9059</v>
      </c>
      <c r="C8561" t="str">
        <f>"9781587653926"</f>
        <v>9781587653926</v>
      </c>
      <c r="D8561" t="str">
        <f>"9781587654114"</f>
        <v>9781587654114</v>
      </c>
      <c r="E8561" t="s">
        <v>9058</v>
      </c>
      <c r="F8561" t="s">
        <v>9058</v>
      </c>
      <c r="G8561" s="1">
        <v>39652</v>
      </c>
      <c r="H8561" s="1">
        <v>39553</v>
      </c>
      <c r="I8561" t="s">
        <v>12</v>
      </c>
      <c r="J8561" t="s">
        <v>19331</v>
      </c>
    </row>
    <row r="8562" spans="1:10" x14ac:dyDescent="0.25">
      <c r="A8562">
        <v>3400415</v>
      </c>
      <c r="B8562" t="s">
        <v>9060</v>
      </c>
      <c r="C8562" t="str">
        <f>"9781587654657"</f>
        <v>9781587654657</v>
      </c>
      <c r="D8562" t="str">
        <f>"9781587654664"</f>
        <v>9781587654664</v>
      </c>
      <c r="E8562" t="s">
        <v>9058</v>
      </c>
      <c r="F8562" t="s">
        <v>9058</v>
      </c>
      <c r="G8562" s="1">
        <v>39692</v>
      </c>
      <c r="H8562" s="1">
        <v>39771</v>
      </c>
      <c r="I8562" t="s">
        <v>12</v>
      </c>
      <c r="J8562" t="s">
        <v>19332</v>
      </c>
    </row>
    <row r="8563" spans="1:10" x14ac:dyDescent="0.25">
      <c r="A8563">
        <v>3400417</v>
      </c>
      <c r="B8563" t="s">
        <v>9061</v>
      </c>
      <c r="C8563" t="str">
        <f>"9781587654602"</f>
        <v>9781587654602</v>
      </c>
      <c r="D8563" t="str">
        <f>"9781587654619"</f>
        <v>9781587654619</v>
      </c>
      <c r="E8563" t="s">
        <v>9058</v>
      </c>
      <c r="F8563" t="s">
        <v>9058</v>
      </c>
      <c r="G8563" s="1">
        <v>39661</v>
      </c>
      <c r="H8563" s="1">
        <v>39771</v>
      </c>
      <c r="I8563" t="s">
        <v>12</v>
      </c>
      <c r="J8563" t="s">
        <v>19333</v>
      </c>
    </row>
    <row r="8564" spans="1:10" x14ac:dyDescent="0.25">
      <c r="A8564">
        <v>3400426</v>
      </c>
      <c r="B8564" t="s">
        <v>9062</v>
      </c>
      <c r="C8564" t="str">
        <f>"9781587655159"</f>
        <v>9781587655159</v>
      </c>
      <c r="D8564" t="str">
        <f>"9781587655289"</f>
        <v>9781587655289</v>
      </c>
      <c r="E8564" t="s">
        <v>9058</v>
      </c>
      <c r="F8564" t="s">
        <v>9058</v>
      </c>
      <c r="G8564" s="1">
        <v>39934</v>
      </c>
      <c r="H8564" s="1">
        <v>39991</v>
      </c>
      <c r="I8564" t="s">
        <v>12</v>
      </c>
      <c r="J8564" t="s">
        <v>19334</v>
      </c>
    </row>
    <row r="8565" spans="1:10" x14ac:dyDescent="0.25">
      <c r="A8565">
        <v>3400702</v>
      </c>
      <c r="B8565" t="s">
        <v>9063</v>
      </c>
      <c r="C8565" t="str">
        <f>"9781587656446"</f>
        <v>9781587656446</v>
      </c>
      <c r="D8565" t="str">
        <f>"9781587656491"</f>
        <v>9781587656491</v>
      </c>
      <c r="E8565" t="s">
        <v>9064</v>
      </c>
      <c r="F8565" t="s">
        <v>9064</v>
      </c>
      <c r="G8565" s="1">
        <v>40392</v>
      </c>
      <c r="H8565" s="1">
        <v>41810</v>
      </c>
      <c r="I8565" t="s">
        <v>12</v>
      </c>
      <c r="J8565" t="s">
        <v>19335</v>
      </c>
    </row>
    <row r="8566" spans="1:10" x14ac:dyDescent="0.25">
      <c r="A8566">
        <v>3404264</v>
      </c>
      <c r="B8566" t="s">
        <v>9065</v>
      </c>
      <c r="C8566" t="str">
        <f>"9781578085095"</f>
        <v>9781578085095</v>
      </c>
      <c r="D8566" t="str">
        <f>"9781578085521"</f>
        <v>9781578085521</v>
      </c>
      <c r="E8566" t="s">
        <v>15</v>
      </c>
      <c r="F8566" t="s">
        <v>139</v>
      </c>
      <c r="G8566" s="1">
        <v>39088</v>
      </c>
      <c r="H8566" s="1">
        <v>39790</v>
      </c>
      <c r="I8566" t="s">
        <v>12</v>
      </c>
      <c r="J8566" t="s">
        <v>19336</v>
      </c>
    </row>
    <row r="8567" spans="1:10" x14ac:dyDescent="0.25">
      <c r="A8567">
        <v>3404269</v>
      </c>
      <c r="B8567" t="s">
        <v>9066</v>
      </c>
      <c r="C8567" t="str">
        <f>"9781578085194"</f>
        <v>9781578085194</v>
      </c>
      <c r="D8567" t="str">
        <f>"9781578085545"</f>
        <v>9781578085545</v>
      </c>
      <c r="E8567" t="s">
        <v>144</v>
      </c>
      <c r="F8567" t="s">
        <v>144</v>
      </c>
      <c r="G8567" s="1">
        <v>39326</v>
      </c>
      <c r="H8567" s="1">
        <v>39790</v>
      </c>
      <c r="I8567" t="s">
        <v>12</v>
      </c>
      <c r="J8567" t="s">
        <v>19337</v>
      </c>
    </row>
    <row r="8568" spans="1:10" x14ac:dyDescent="0.25">
      <c r="A8568">
        <v>3404283</v>
      </c>
      <c r="B8568" t="s">
        <v>9067</v>
      </c>
      <c r="C8568" t="str">
        <f>"9781578084296"</f>
        <v>9781578084296</v>
      </c>
      <c r="D8568" t="str">
        <f>"9781578085484"</f>
        <v>9781578085484</v>
      </c>
      <c r="E8568" t="s">
        <v>15</v>
      </c>
      <c r="F8568" t="s">
        <v>139</v>
      </c>
      <c r="G8568" s="1">
        <v>38723</v>
      </c>
      <c r="H8568" s="1">
        <v>39790</v>
      </c>
      <c r="I8568" t="s">
        <v>12</v>
      </c>
      <c r="J8568" t="s">
        <v>19338</v>
      </c>
    </row>
    <row r="8569" spans="1:10" x14ac:dyDescent="0.25">
      <c r="A8569">
        <v>3404297</v>
      </c>
      <c r="B8569" t="s">
        <v>9068</v>
      </c>
      <c r="C8569" t="str">
        <f>"9781578082148"</f>
        <v>9781578082148</v>
      </c>
      <c r="D8569" t="str">
        <f>"9781578086573"</f>
        <v>9781578086573</v>
      </c>
      <c r="E8569" t="s">
        <v>15</v>
      </c>
      <c r="F8569" t="s">
        <v>139</v>
      </c>
      <c r="G8569" s="1">
        <v>37626</v>
      </c>
      <c r="H8569" s="1">
        <v>39790</v>
      </c>
      <c r="I8569" t="s">
        <v>12</v>
      </c>
      <c r="J8569" t="s">
        <v>19339</v>
      </c>
    </row>
    <row r="8570" spans="1:10" x14ac:dyDescent="0.25">
      <c r="A8570">
        <v>3410607</v>
      </c>
      <c r="B8570" t="s">
        <v>9069</v>
      </c>
      <c r="C8570" t="str">
        <f>"9781590958025"</f>
        <v>9781590958025</v>
      </c>
      <c r="D8570" t="str">
        <f>"9781590958148"</f>
        <v>9781590958148</v>
      </c>
      <c r="E8570" t="s">
        <v>9070</v>
      </c>
      <c r="F8570" t="s">
        <v>9070</v>
      </c>
      <c r="G8570" s="1">
        <v>39222</v>
      </c>
      <c r="H8570" s="1">
        <v>39801</v>
      </c>
      <c r="I8570" t="s">
        <v>12</v>
      </c>
      <c r="J8570" t="s">
        <v>19340</v>
      </c>
    </row>
    <row r="8571" spans="1:10" x14ac:dyDescent="0.25">
      <c r="A8571">
        <v>3410612</v>
      </c>
      <c r="B8571" t="s">
        <v>9071</v>
      </c>
      <c r="C8571" t="str">
        <f>"9781590958049"</f>
        <v>9781590958049</v>
      </c>
      <c r="D8571" t="str">
        <f>"9781590958162"</f>
        <v>9781590958162</v>
      </c>
      <c r="E8571" t="s">
        <v>9070</v>
      </c>
      <c r="F8571" t="s">
        <v>9070</v>
      </c>
      <c r="G8571" s="1">
        <v>39052</v>
      </c>
      <c r="H8571" s="1">
        <v>39801</v>
      </c>
      <c r="I8571" t="s">
        <v>12</v>
      </c>
      <c r="J8571" t="s">
        <v>19341</v>
      </c>
    </row>
    <row r="8572" spans="1:10" x14ac:dyDescent="0.25">
      <c r="A8572">
        <v>3410614</v>
      </c>
      <c r="B8572" t="s">
        <v>9072</v>
      </c>
      <c r="C8572" t="str">
        <f>"9781590958926"</f>
        <v>9781590958926</v>
      </c>
      <c r="D8572" t="str">
        <f>"9781590958933"</f>
        <v>9781590958933</v>
      </c>
      <c r="E8572" t="s">
        <v>9070</v>
      </c>
      <c r="F8572" t="s">
        <v>9070</v>
      </c>
      <c r="G8572" s="1">
        <v>41773</v>
      </c>
      <c r="H8572" s="1">
        <v>39801</v>
      </c>
      <c r="I8572" t="s">
        <v>12</v>
      </c>
      <c r="J8572" t="s">
        <v>19342</v>
      </c>
    </row>
    <row r="8573" spans="1:10" x14ac:dyDescent="0.25">
      <c r="A8573">
        <v>3410615</v>
      </c>
      <c r="B8573" t="s">
        <v>9073</v>
      </c>
      <c r="C8573" t="str">
        <f>"9781590958032"</f>
        <v>9781590958032</v>
      </c>
      <c r="D8573" t="str">
        <f>"9781590958155"</f>
        <v>9781590958155</v>
      </c>
      <c r="E8573" t="s">
        <v>9070</v>
      </c>
      <c r="F8573" t="s">
        <v>9070</v>
      </c>
      <c r="G8573" s="1">
        <v>39222</v>
      </c>
      <c r="H8573" s="1">
        <v>39801</v>
      </c>
      <c r="I8573" t="s">
        <v>12</v>
      </c>
      <c r="J8573" t="s">
        <v>19343</v>
      </c>
    </row>
    <row r="8574" spans="1:10" x14ac:dyDescent="0.25">
      <c r="A8574">
        <v>3410621</v>
      </c>
      <c r="B8574" t="s">
        <v>9074</v>
      </c>
      <c r="C8574" t="str">
        <f>"9781590958018"</f>
        <v>9781590958018</v>
      </c>
      <c r="D8574" t="str">
        <f>"9781590958131"</f>
        <v>9781590958131</v>
      </c>
      <c r="E8574" t="s">
        <v>9070</v>
      </c>
      <c r="F8574" t="s">
        <v>9070</v>
      </c>
      <c r="G8574" s="1">
        <v>39222</v>
      </c>
      <c r="H8574" s="1">
        <v>39801</v>
      </c>
      <c r="I8574" t="s">
        <v>12</v>
      </c>
      <c r="J8574" t="s">
        <v>19344</v>
      </c>
    </row>
    <row r="8575" spans="1:10" x14ac:dyDescent="0.25">
      <c r="A8575">
        <v>3410623</v>
      </c>
      <c r="B8575" t="s">
        <v>9075</v>
      </c>
      <c r="C8575" t="str">
        <f>"9781590958780"</f>
        <v>9781590958780</v>
      </c>
      <c r="D8575" t="str">
        <f>"9781590958797"</f>
        <v>9781590958797</v>
      </c>
      <c r="E8575" t="s">
        <v>9070</v>
      </c>
      <c r="F8575" t="s">
        <v>9070</v>
      </c>
      <c r="G8575" s="1">
        <v>41773</v>
      </c>
      <c r="H8575" s="1">
        <v>39801</v>
      </c>
      <c r="I8575" t="s">
        <v>12</v>
      </c>
      <c r="J8575" t="s">
        <v>19345</v>
      </c>
    </row>
    <row r="8576" spans="1:10" x14ac:dyDescent="0.25">
      <c r="A8576">
        <v>3410625</v>
      </c>
      <c r="B8576" t="s">
        <v>9076</v>
      </c>
      <c r="C8576" t="str">
        <f>"9781590958056"</f>
        <v>9781590958056</v>
      </c>
      <c r="D8576" t="str">
        <f>"9781590958179"</f>
        <v>9781590958179</v>
      </c>
      <c r="E8576" t="s">
        <v>9070</v>
      </c>
      <c r="F8576" t="s">
        <v>9070</v>
      </c>
      <c r="G8576" s="1">
        <v>39234</v>
      </c>
      <c r="H8576" s="1">
        <v>39801</v>
      </c>
      <c r="I8576" t="s">
        <v>12</v>
      </c>
      <c r="J8576" t="s">
        <v>19346</v>
      </c>
    </row>
    <row r="8577" spans="1:10" x14ac:dyDescent="0.25">
      <c r="A8577">
        <v>3410737</v>
      </c>
      <c r="B8577" t="s">
        <v>9077</v>
      </c>
      <c r="C8577" t="str">
        <f>"9781412807272"</f>
        <v>9781412807272</v>
      </c>
      <c r="D8577" t="str">
        <f>"9781412813839"</f>
        <v>9781412813839</v>
      </c>
      <c r="E8577" t="s">
        <v>9078</v>
      </c>
      <c r="F8577" t="s">
        <v>9078</v>
      </c>
      <c r="G8577" s="1">
        <v>39521</v>
      </c>
      <c r="H8577" s="1">
        <v>40227</v>
      </c>
      <c r="I8577" t="s">
        <v>12</v>
      </c>
      <c r="J8577" t="s">
        <v>19347</v>
      </c>
    </row>
    <row r="8578" spans="1:10" x14ac:dyDescent="0.25">
      <c r="A8578">
        <v>3410767</v>
      </c>
      <c r="B8578" t="s">
        <v>9079</v>
      </c>
      <c r="C8578" t="str">
        <f>"9780765803986"</f>
        <v>9780765803986</v>
      </c>
      <c r="D8578" t="str">
        <f>"9781412809030"</f>
        <v>9781412809030</v>
      </c>
      <c r="E8578" t="s">
        <v>9078</v>
      </c>
      <c r="F8578" t="s">
        <v>9078</v>
      </c>
      <c r="G8578" s="1">
        <v>39385</v>
      </c>
      <c r="H8578" s="1">
        <v>40227</v>
      </c>
      <c r="I8578" t="s">
        <v>12</v>
      </c>
      <c r="J8578" t="s">
        <v>19348</v>
      </c>
    </row>
    <row r="8579" spans="1:10" x14ac:dyDescent="0.25">
      <c r="A8579">
        <v>3410842</v>
      </c>
      <c r="B8579" t="s">
        <v>9080</v>
      </c>
      <c r="C8579" t="str">
        <f>"9780765803634"</f>
        <v>9780765803634</v>
      </c>
      <c r="D8579" t="str">
        <f>"9781412809771"</f>
        <v>9781412809771</v>
      </c>
      <c r="E8579" t="s">
        <v>9078</v>
      </c>
      <c r="F8579" t="s">
        <v>9078</v>
      </c>
      <c r="G8579" s="1">
        <v>38855</v>
      </c>
      <c r="H8579" s="1">
        <v>40227</v>
      </c>
      <c r="I8579" t="s">
        <v>12</v>
      </c>
      <c r="J8579" t="s">
        <v>19349</v>
      </c>
    </row>
    <row r="8580" spans="1:10" x14ac:dyDescent="0.25">
      <c r="A8580">
        <v>3410856</v>
      </c>
      <c r="B8580" t="s">
        <v>9081</v>
      </c>
      <c r="C8580" t="str">
        <f>"9780202309804"</f>
        <v>9780202309804</v>
      </c>
      <c r="D8580" t="str">
        <f>"9780202363134"</f>
        <v>9780202363134</v>
      </c>
      <c r="E8580" t="s">
        <v>15</v>
      </c>
      <c r="F8580" t="s">
        <v>16</v>
      </c>
      <c r="G8580" s="1">
        <v>39097</v>
      </c>
      <c r="H8580" s="1">
        <v>40236</v>
      </c>
      <c r="I8580" t="s">
        <v>12</v>
      </c>
      <c r="J8580" t="s">
        <v>19350</v>
      </c>
    </row>
    <row r="8581" spans="1:10" x14ac:dyDescent="0.25">
      <c r="A8581">
        <v>3410862</v>
      </c>
      <c r="B8581" t="s">
        <v>9082</v>
      </c>
      <c r="C8581" t="str">
        <f>"9781412806794"</f>
        <v>9781412806794</v>
      </c>
      <c r="D8581" t="str">
        <f>"9781412812221"</f>
        <v>9781412812221</v>
      </c>
      <c r="E8581" t="s">
        <v>9078</v>
      </c>
      <c r="F8581" t="s">
        <v>9078</v>
      </c>
      <c r="G8581" s="1">
        <v>39248</v>
      </c>
      <c r="H8581" s="1">
        <v>40324</v>
      </c>
      <c r="I8581" t="s">
        <v>12</v>
      </c>
      <c r="J8581" t="s">
        <v>19351</v>
      </c>
    </row>
    <row r="8582" spans="1:10" x14ac:dyDescent="0.25">
      <c r="A8582">
        <v>3412402</v>
      </c>
      <c r="B8582" t="s">
        <v>9083</v>
      </c>
      <c r="C8582" t="str">
        <f>"9780774813808"</f>
        <v>9780774813808</v>
      </c>
      <c r="D8582" t="str">
        <f>"9780774855730"</f>
        <v>9780774855730</v>
      </c>
      <c r="E8582" t="s">
        <v>9084</v>
      </c>
      <c r="F8582" t="s">
        <v>9084</v>
      </c>
      <c r="G8582" s="1">
        <v>39228</v>
      </c>
      <c r="H8582" s="1">
        <v>39603</v>
      </c>
      <c r="I8582" t="s">
        <v>12</v>
      </c>
      <c r="J8582" t="s">
        <v>19352</v>
      </c>
    </row>
    <row r="8583" spans="1:10" x14ac:dyDescent="0.25">
      <c r="A8583">
        <v>3412627</v>
      </c>
      <c r="B8583" t="s">
        <v>9085</v>
      </c>
      <c r="C8583" t="str">
        <f>"9780774814911"</f>
        <v>9780774814911</v>
      </c>
      <c r="D8583" t="str">
        <f>"9780774814935"</f>
        <v>9780774814935</v>
      </c>
      <c r="E8583" t="s">
        <v>9084</v>
      </c>
      <c r="F8583" t="s">
        <v>9084</v>
      </c>
      <c r="G8583" s="1">
        <v>39727</v>
      </c>
      <c r="H8583" s="1">
        <v>40163</v>
      </c>
      <c r="I8583" t="s">
        <v>12</v>
      </c>
      <c r="J8583" t="s">
        <v>19353</v>
      </c>
    </row>
    <row r="8584" spans="1:10" x14ac:dyDescent="0.25">
      <c r="A8584">
        <v>3413228</v>
      </c>
      <c r="B8584" t="s">
        <v>9086</v>
      </c>
      <c r="C8584" t="str">
        <f>"9780824832438"</f>
        <v>9780824832438</v>
      </c>
      <c r="D8584" t="str">
        <f>"9780824862183"</f>
        <v>9780824862183</v>
      </c>
      <c r="E8584" t="s">
        <v>9087</v>
      </c>
      <c r="F8584" t="s">
        <v>9087</v>
      </c>
      <c r="G8584" s="1">
        <v>39513</v>
      </c>
      <c r="H8584" s="1">
        <v>40305</v>
      </c>
      <c r="I8584" t="s">
        <v>12</v>
      </c>
      <c r="J8584" t="s">
        <v>19354</v>
      </c>
    </row>
    <row r="8585" spans="1:10" x14ac:dyDescent="0.25">
      <c r="A8585">
        <v>3413235</v>
      </c>
      <c r="B8585" t="s">
        <v>9088</v>
      </c>
      <c r="C8585" t="str">
        <f>"9780824830939"</f>
        <v>9780824830939</v>
      </c>
      <c r="D8585" t="str">
        <f>"9780824864675"</f>
        <v>9780824864675</v>
      </c>
      <c r="E8585" t="s">
        <v>9087</v>
      </c>
      <c r="F8585" t="s">
        <v>9087</v>
      </c>
      <c r="G8585" s="1">
        <v>39386</v>
      </c>
      <c r="H8585" s="1">
        <v>40305</v>
      </c>
      <c r="I8585" t="s">
        <v>12</v>
      </c>
      <c r="J8585" t="s">
        <v>19355</v>
      </c>
    </row>
    <row r="8586" spans="1:10" x14ac:dyDescent="0.25">
      <c r="A8586">
        <v>3413239</v>
      </c>
      <c r="B8586" t="s">
        <v>9089</v>
      </c>
      <c r="C8586" t="str">
        <f>"9780824830632"</f>
        <v>9780824830632</v>
      </c>
      <c r="D8586" t="str">
        <f>"9780824865580"</f>
        <v>9780824865580</v>
      </c>
      <c r="E8586" t="s">
        <v>9087</v>
      </c>
      <c r="F8586" t="s">
        <v>9087</v>
      </c>
      <c r="G8586" s="1">
        <v>39419</v>
      </c>
      <c r="H8586" s="1">
        <v>40305</v>
      </c>
      <c r="I8586" t="s">
        <v>12</v>
      </c>
      <c r="J8586" t="s">
        <v>19356</v>
      </c>
    </row>
    <row r="8587" spans="1:10" x14ac:dyDescent="0.25">
      <c r="A8587">
        <v>3413243</v>
      </c>
      <c r="B8587" t="s">
        <v>9090</v>
      </c>
      <c r="C8587" t="str">
        <f>"9780824830014"</f>
        <v>9780824830014</v>
      </c>
      <c r="D8587" t="str">
        <f>"9780824863647"</f>
        <v>9780824863647</v>
      </c>
      <c r="E8587" t="s">
        <v>9087</v>
      </c>
      <c r="F8587" t="s">
        <v>9087</v>
      </c>
      <c r="G8587" s="1">
        <v>39113</v>
      </c>
      <c r="H8587" s="1">
        <v>40305</v>
      </c>
      <c r="I8587" t="s">
        <v>12</v>
      </c>
      <c r="J8587" t="s">
        <v>19357</v>
      </c>
    </row>
    <row r="8588" spans="1:10" x14ac:dyDescent="0.25">
      <c r="A8588">
        <v>3413246</v>
      </c>
      <c r="B8588" t="s">
        <v>9091</v>
      </c>
      <c r="C8588" t="str">
        <f>"9780824832049"</f>
        <v>9780824832049</v>
      </c>
      <c r="D8588" t="str">
        <f>"9780824862152"</f>
        <v>9780824862152</v>
      </c>
      <c r="E8588" t="s">
        <v>9087</v>
      </c>
      <c r="F8588" t="s">
        <v>9087</v>
      </c>
      <c r="G8588" s="1">
        <v>39680</v>
      </c>
      <c r="H8588" s="1">
        <v>40305</v>
      </c>
      <c r="I8588" t="s">
        <v>12</v>
      </c>
      <c r="J8588" t="s">
        <v>19358</v>
      </c>
    </row>
    <row r="8589" spans="1:10" x14ac:dyDescent="0.25">
      <c r="A8589">
        <v>3413250</v>
      </c>
      <c r="B8589" t="s">
        <v>9092</v>
      </c>
      <c r="C8589" t="str">
        <f>"9780824833350"</f>
        <v>9780824833350</v>
      </c>
      <c r="D8589" t="str">
        <f>"9780824864354"</f>
        <v>9780824864354</v>
      </c>
      <c r="E8589" t="s">
        <v>9087</v>
      </c>
      <c r="F8589" t="s">
        <v>9087</v>
      </c>
      <c r="G8589" s="1">
        <v>39832</v>
      </c>
      <c r="H8589" s="1">
        <v>40305</v>
      </c>
      <c r="I8589" t="s">
        <v>12</v>
      </c>
      <c r="J8589" t="s">
        <v>19359</v>
      </c>
    </row>
    <row r="8590" spans="1:10" x14ac:dyDescent="0.25">
      <c r="A8590">
        <v>3413251</v>
      </c>
      <c r="B8590" t="s">
        <v>9093</v>
      </c>
      <c r="C8590" t="str">
        <f>"9780824829940"</f>
        <v>9780824829940</v>
      </c>
      <c r="D8590" t="str">
        <f>"9780824862251"</f>
        <v>9780824862251</v>
      </c>
      <c r="E8590" t="s">
        <v>9087</v>
      </c>
      <c r="F8590" t="s">
        <v>9087</v>
      </c>
      <c r="G8590" s="1">
        <v>39083</v>
      </c>
      <c r="H8590" s="1">
        <v>40305</v>
      </c>
      <c r="I8590" t="s">
        <v>12</v>
      </c>
      <c r="J8590" t="s">
        <v>19360</v>
      </c>
    </row>
    <row r="8591" spans="1:10" x14ac:dyDescent="0.25">
      <c r="A8591">
        <v>3413252</v>
      </c>
      <c r="B8591" t="s">
        <v>9094</v>
      </c>
      <c r="C8591" t="str">
        <f>"9780824821517"</f>
        <v>9780824821517</v>
      </c>
      <c r="D8591" t="str">
        <f>"9780824861384"</f>
        <v>9780824861384</v>
      </c>
      <c r="E8591" t="s">
        <v>9087</v>
      </c>
      <c r="F8591" t="s">
        <v>9087</v>
      </c>
      <c r="G8591" s="1">
        <v>38718</v>
      </c>
      <c r="H8591" s="1">
        <v>40305</v>
      </c>
      <c r="I8591" t="s">
        <v>12</v>
      </c>
      <c r="J8591" t="s">
        <v>19361</v>
      </c>
    </row>
    <row r="8592" spans="1:10" x14ac:dyDescent="0.25">
      <c r="A8592">
        <v>3413258</v>
      </c>
      <c r="B8592" t="s">
        <v>9095</v>
      </c>
      <c r="C8592" t="str">
        <f>"9780824831691"</f>
        <v>9780824831691</v>
      </c>
      <c r="D8592" t="str">
        <f>"9780824861698"</f>
        <v>9780824861698</v>
      </c>
      <c r="E8592" t="s">
        <v>9087</v>
      </c>
      <c r="F8592" t="s">
        <v>9087</v>
      </c>
      <c r="G8592" s="1">
        <v>39448</v>
      </c>
      <c r="H8592" s="1">
        <v>40305</v>
      </c>
      <c r="I8592" t="s">
        <v>12</v>
      </c>
      <c r="J8592" t="s">
        <v>19362</v>
      </c>
    </row>
    <row r="8593" spans="1:10" x14ac:dyDescent="0.25">
      <c r="A8593">
        <v>3413259</v>
      </c>
      <c r="B8593" t="s">
        <v>9096</v>
      </c>
      <c r="C8593" t="str">
        <f>"9780824831318"</f>
        <v>9780824831318</v>
      </c>
      <c r="D8593" t="str">
        <f>"9780824862602"</f>
        <v>9780824862602</v>
      </c>
      <c r="E8593" t="s">
        <v>9087</v>
      </c>
      <c r="F8593" t="s">
        <v>9087</v>
      </c>
      <c r="G8593" s="1">
        <v>39973</v>
      </c>
      <c r="H8593" s="1">
        <v>40305</v>
      </c>
      <c r="I8593" t="s">
        <v>12</v>
      </c>
      <c r="J8593" t="s">
        <v>19363</v>
      </c>
    </row>
    <row r="8594" spans="1:10" x14ac:dyDescent="0.25">
      <c r="A8594">
        <v>3413263</v>
      </c>
      <c r="B8594" t="s">
        <v>9097</v>
      </c>
      <c r="C8594" t="str">
        <f>"9780824832926"</f>
        <v>9780824832926</v>
      </c>
      <c r="D8594" t="str">
        <f>"9780824864576"</f>
        <v>9780824864576</v>
      </c>
      <c r="E8594" t="s">
        <v>9087</v>
      </c>
      <c r="F8594" t="s">
        <v>9087</v>
      </c>
      <c r="G8594" s="1">
        <v>39870</v>
      </c>
      <c r="H8594" s="1">
        <v>40305</v>
      </c>
      <c r="I8594" t="s">
        <v>12</v>
      </c>
      <c r="J8594" t="s">
        <v>19364</v>
      </c>
    </row>
    <row r="8595" spans="1:10" x14ac:dyDescent="0.25">
      <c r="A8595">
        <v>3413273</v>
      </c>
      <c r="B8595" t="s">
        <v>9098</v>
      </c>
      <c r="C8595" t="str">
        <f>"9780824830502"</f>
        <v>9780824830502</v>
      </c>
      <c r="D8595" t="str">
        <f>"9780824864101"</f>
        <v>9780824864101</v>
      </c>
      <c r="E8595" t="s">
        <v>9087</v>
      </c>
      <c r="F8595" t="s">
        <v>9087</v>
      </c>
      <c r="G8595" s="1">
        <v>39295</v>
      </c>
      <c r="H8595" s="1">
        <v>40305</v>
      </c>
      <c r="I8595" t="s">
        <v>12</v>
      </c>
      <c r="J8595" t="s">
        <v>19365</v>
      </c>
    </row>
    <row r="8596" spans="1:10" x14ac:dyDescent="0.25">
      <c r="A8596">
        <v>3413280</v>
      </c>
      <c r="B8596" t="s">
        <v>9099</v>
      </c>
      <c r="C8596" t="str">
        <f>"9780824828813"</f>
        <v>9780824828813</v>
      </c>
      <c r="D8596" t="str">
        <f>"9780824861650"</f>
        <v>9780824861650</v>
      </c>
      <c r="E8596" t="s">
        <v>9087</v>
      </c>
      <c r="F8596" t="s">
        <v>9087</v>
      </c>
      <c r="G8596" s="1">
        <v>39693</v>
      </c>
      <c r="H8596" s="1">
        <v>40305</v>
      </c>
      <c r="I8596" t="s">
        <v>12</v>
      </c>
      <c r="J8596" t="s">
        <v>19366</v>
      </c>
    </row>
    <row r="8597" spans="1:10" x14ac:dyDescent="0.25">
      <c r="A8597">
        <v>3413282</v>
      </c>
      <c r="B8597" t="s">
        <v>9100</v>
      </c>
      <c r="C8597" t="str">
        <f>"9780824832001"</f>
        <v>9780824832001</v>
      </c>
      <c r="D8597" t="str">
        <f>"9780824863210"</f>
        <v>9780824863210</v>
      </c>
      <c r="E8597" t="s">
        <v>9087</v>
      </c>
      <c r="F8597" t="s">
        <v>9087</v>
      </c>
      <c r="G8597" s="1">
        <v>39752</v>
      </c>
      <c r="H8597" s="1">
        <v>40305</v>
      </c>
      <c r="I8597" t="s">
        <v>12</v>
      </c>
      <c r="J8597" t="s">
        <v>19367</v>
      </c>
    </row>
    <row r="8598" spans="1:10" x14ac:dyDescent="0.25">
      <c r="A8598">
        <v>3413289</v>
      </c>
      <c r="B8598" t="s">
        <v>9101</v>
      </c>
      <c r="C8598" t="str">
        <f>"9780824830816"</f>
        <v>9780824830816</v>
      </c>
      <c r="D8598" t="str">
        <f>"9780824863562"</f>
        <v>9780824863562</v>
      </c>
      <c r="E8598" t="s">
        <v>9087</v>
      </c>
      <c r="F8598" t="s">
        <v>9087</v>
      </c>
      <c r="G8598" s="1">
        <v>39294</v>
      </c>
      <c r="H8598" s="1">
        <v>40305</v>
      </c>
      <c r="I8598" t="s">
        <v>12</v>
      </c>
      <c r="J8598" t="s">
        <v>19368</v>
      </c>
    </row>
    <row r="8599" spans="1:10" x14ac:dyDescent="0.25">
      <c r="A8599">
        <v>3413291</v>
      </c>
      <c r="B8599" t="s">
        <v>9102</v>
      </c>
      <c r="C8599" t="str">
        <f>"9780824831868"</f>
        <v>9780824831868</v>
      </c>
      <c r="D8599" t="str">
        <f>"9780824862824"</f>
        <v>9780824862824</v>
      </c>
      <c r="E8599" t="s">
        <v>9087</v>
      </c>
      <c r="F8599" t="s">
        <v>9087</v>
      </c>
      <c r="G8599" s="1">
        <v>39576</v>
      </c>
      <c r="H8599" s="1">
        <v>40305</v>
      </c>
      <c r="I8599" t="s">
        <v>12</v>
      </c>
      <c r="J8599" t="s">
        <v>19369</v>
      </c>
    </row>
    <row r="8600" spans="1:10" x14ac:dyDescent="0.25">
      <c r="A8600">
        <v>3413292</v>
      </c>
      <c r="B8600" t="s">
        <v>9103</v>
      </c>
      <c r="C8600" t="str">
        <f>"9780824831639"</f>
        <v>9780824831639</v>
      </c>
      <c r="D8600" t="str">
        <f>"9780824864606"</f>
        <v>9780824864606</v>
      </c>
      <c r="E8600" t="s">
        <v>9087</v>
      </c>
      <c r="F8600" t="s">
        <v>9087</v>
      </c>
      <c r="G8600" s="1">
        <v>39569</v>
      </c>
      <c r="H8600" s="1">
        <v>40305</v>
      </c>
      <c r="I8600" t="s">
        <v>12</v>
      </c>
      <c r="J8600" t="s">
        <v>19370</v>
      </c>
    </row>
    <row r="8601" spans="1:10" x14ac:dyDescent="0.25">
      <c r="A8601">
        <v>3413302</v>
      </c>
      <c r="B8601" t="s">
        <v>9104</v>
      </c>
      <c r="C8601" t="str">
        <f>"9780824829728"</f>
        <v>9780824829728</v>
      </c>
      <c r="D8601" t="str">
        <f>"9780824862077"</f>
        <v>9780824862077</v>
      </c>
      <c r="E8601" t="s">
        <v>9087</v>
      </c>
      <c r="F8601" t="s">
        <v>9087</v>
      </c>
      <c r="G8601" s="1">
        <v>39142</v>
      </c>
      <c r="H8601" s="1">
        <v>40305</v>
      </c>
      <c r="I8601" t="s">
        <v>12</v>
      </c>
      <c r="J8601" t="s">
        <v>19371</v>
      </c>
    </row>
    <row r="8602" spans="1:10" x14ac:dyDescent="0.25">
      <c r="A8602">
        <v>3413304</v>
      </c>
      <c r="B8602" t="s">
        <v>9105</v>
      </c>
      <c r="C8602" t="str">
        <f>"9780824833060"</f>
        <v>9780824833060</v>
      </c>
      <c r="D8602" t="str">
        <f>"9780824864095"</f>
        <v>9780824864095</v>
      </c>
      <c r="E8602" t="s">
        <v>9087</v>
      </c>
      <c r="F8602" t="s">
        <v>9087</v>
      </c>
      <c r="G8602" s="1">
        <v>40009</v>
      </c>
      <c r="H8602" s="1">
        <v>40305</v>
      </c>
      <c r="I8602" t="s">
        <v>12</v>
      </c>
      <c r="J8602" t="s">
        <v>19372</v>
      </c>
    </row>
    <row r="8603" spans="1:10" x14ac:dyDescent="0.25">
      <c r="A8603">
        <v>3413320</v>
      </c>
      <c r="B8603" t="s">
        <v>9106</v>
      </c>
      <c r="C8603" t="str">
        <f>"9780824829568"</f>
        <v>9780824829568</v>
      </c>
      <c r="D8603" t="str">
        <f>"9780824861612"</f>
        <v>9780824861612</v>
      </c>
      <c r="E8603" t="s">
        <v>9087</v>
      </c>
      <c r="F8603" t="s">
        <v>9087</v>
      </c>
      <c r="G8603" s="1">
        <v>39539</v>
      </c>
      <c r="H8603" s="1">
        <v>40305</v>
      </c>
      <c r="I8603" t="s">
        <v>12</v>
      </c>
      <c r="J8603" t="s">
        <v>19373</v>
      </c>
    </row>
    <row r="8604" spans="1:10" x14ac:dyDescent="0.25">
      <c r="A8604">
        <v>3413322</v>
      </c>
      <c r="B8604" t="s">
        <v>9107</v>
      </c>
      <c r="C8604" t="str">
        <f>"9780824833312"</f>
        <v>9780824833312</v>
      </c>
      <c r="D8604" t="str">
        <f>"9780824862961"</f>
        <v>9780824862961</v>
      </c>
      <c r="E8604" t="s">
        <v>9087</v>
      </c>
      <c r="F8604" t="s">
        <v>9087</v>
      </c>
      <c r="G8604" s="1">
        <v>40002</v>
      </c>
      <c r="H8604" s="1">
        <v>40305</v>
      </c>
      <c r="I8604" t="s">
        <v>12</v>
      </c>
      <c r="J8604" t="s">
        <v>19374</v>
      </c>
    </row>
    <row r="8605" spans="1:10" x14ac:dyDescent="0.25">
      <c r="A8605">
        <v>3413324</v>
      </c>
      <c r="B8605" t="s">
        <v>9108</v>
      </c>
      <c r="C8605" t="str">
        <f>"9780824829094"</f>
        <v>9780824829094</v>
      </c>
      <c r="D8605" t="str">
        <f>"9780824861780"</f>
        <v>9780824861780</v>
      </c>
      <c r="E8605" t="s">
        <v>9087</v>
      </c>
      <c r="F8605" t="s">
        <v>9087</v>
      </c>
      <c r="G8605" s="1">
        <v>38960</v>
      </c>
      <c r="H8605" s="1">
        <v>40305</v>
      </c>
      <c r="I8605" t="s">
        <v>12</v>
      </c>
      <c r="J8605" t="s">
        <v>19375</v>
      </c>
    </row>
    <row r="8606" spans="1:10" x14ac:dyDescent="0.25">
      <c r="A8606">
        <v>3413333</v>
      </c>
      <c r="B8606" t="s">
        <v>9109</v>
      </c>
      <c r="C8606" t="str">
        <f>"9780824831257"</f>
        <v>9780824831257</v>
      </c>
      <c r="D8606" t="str">
        <f>"9780824864828"</f>
        <v>9780824864828</v>
      </c>
      <c r="E8606" t="s">
        <v>9087</v>
      </c>
      <c r="F8606" t="s">
        <v>9087</v>
      </c>
      <c r="G8606" s="1">
        <v>39513</v>
      </c>
      <c r="H8606" s="1">
        <v>40305</v>
      </c>
      <c r="I8606" t="s">
        <v>12</v>
      </c>
      <c r="J8606" t="s">
        <v>19376</v>
      </c>
    </row>
    <row r="8607" spans="1:10" x14ac:dyDescent="0.25">
      <c r="A8607">
        <v>3413337</v>
      </c>
      <c r="B8607" t="s">
        <v>9110</v>
      </c>
      <c r="C8607" t="str">
        <f>"9780824831820"</f>
        <v>9780824831820</v>
      </c>
      <c r="D8607" t="str">
        <f>"9780824863746"</f>
        <v>9780824863746</v>
      </c>
      <c r="E8607" t="s">
        <v>9087</v>
      </c>
      <c r="F8607" t="s">
        <v>9087</v>
      </c>
      <c r="G8607" s="1">
        <v>39508</v>
      </c>
      <c r="H8607" s="1">
        <v>40305</v>
      </c>
      <c r="I8607" t="s">
        <v>12</v>
      </c>
      <c r="J8607" t="s">
        <v>19377</v>
      </c>
    </row>
    <row r="8608" spans="1:10" x14ac:dyDescent="0.25">
      <c r="A8608">
        <v>3413341</v>
      </c>
      <c r="B8608" t="s">
        <v>9111</v>
      </c>
      <c r="C8608" t="str">
        <f>"9780824830915"</f>
        <v>9780824830915</v>
      </c>
      <c r="D8608" t="str">
        <f>"9780824864934"</f>
        <v>9780824864934</v>
      </c>
      <c r="E8608" t="s">
        <v>9087</v>
      </c>
      <c r="F8608" t="s">
        <v>9087</v>
      </c>
      <c r="G8608" s="1">
        <v>39263</v>
      </c>
      <c r="H8608" s="1">
        <v>40305</v>
      </c>
      <c r="I8608" t="s">
        <v>12</v>
      </c>
      <c r="J8608" t="s">
        <v>19378</v>
      </c>
    </row>
    <row r="8609" spans="1:10" x14ac:dyDescent="0.25">
      <c r="A8609">
        <v>3413347</v>
      </c>
      <c r="B8609" t="s">
        <v>9112</v>
      </c>
      <c r="C8609" t="str">
        <f>"9780824831264"</f>
        <v>9780824831264</v>
      </c>
      <c r="D8609" t="str">
        <f>"9780824862466"</f>
        <v>9780824862466</v>
      </c>
      <c r="E8609" t="s">
        <v>9087</v>
      </c>
      <c r="F8609" t="s">
        <v>9087</v>
      </c>
      <c r="G8609" s="1">
        <v>39326</v>
      </c>
      <c r="H8609" s="1">
        <v>40305</v>
      </c>
      <c r="I8609" t="s">
        <v>12</v>
      </c>
      <c r="J8609" t="s">
        <v>19379</v>
      </c>
    </row>
    <row r="8610" spans="1:10" x14ac:dyDescent="0.25">
      <c r="A8610">
        <v>3413353</v>
      </c>
      <c r="B8610" t="s">
        <v>9113</v>
      </c>
      <c r="C8610" t="str">
        <f>"9780824832339"</f>
        <v>9780824832339</v>
      </c>
      <c r="D8610" t="str">
        <f>"9780824863265"</f>
        <v>9780824863265</v>
      </c>
      <c r="E8610" t="s">
        <v>9087</v>
      </c>
      <c r="F8610" t="s">
        <v>9087</v>
      </c>
      <c r="G8610" s="1">
        <v>39539</v>
      </c>
      <c r="H8610" s="1">
        <v>40305</v>
      </c>
      <c r="I8610" t="s">
        <v>12</v>
      </c>
      <c r="J8610" t="s">
        <v>19380</v>
      </c>
    </row>
    <row r="8611" spans="1:10" x14ac:dyDescent="0.25">
      <c r="A8611">
        <v>3414503</v>
      </c>
      <c r="B8611" t="s">
        <v>9114</v>
      </c>
      <c r="C8611" t="str">
        <f>"9780472030118"</f>
        <v>9780472030118</v>
      </c>
      <c r="D8611" t="str">
        <f>"9780472022304"</f>
        <v>9780472022304</v>
      </c>
      <c r="E8611" t="s">
        <v>9115</v>
      </c>
      <c r="F8611" t="s">
        <v>9115</v>
      </c>
      <c r="G8611" s="1">
        <v>38139</v>
      </c>
      <c r="H8611" s="1">
        <v>40026</v>
      </c>
      <c r="I8611" t="s">
        <v>12</v>
      </c>
      <c r="J8611" t="s">
        <v>19381</v>
      </c>
    </row>
    <row r="8612" spans="1:10" x14ac:dyDescent="0.25">
      <c r="A8612">
        <v>3414752</v>
      </c>
      <c r="B8612" t="s">
        <v>9116</v>
      </c>
      <c r="C8612" t="str">
        <f>"9780472109180"</f>
        <v>9780472109180</v>
      </c>
      <c r="D8612" t="str">
        <f>"9780472026418"</f>
        <v>9780472026418</v>
      </c>
      <c r="E8612" t="s">
        <v>9115</v>
      </c>
      <c r="F8612" t="s">
        <v>9115</v>
      </c>
      <c r="G8612" s="1">
        <v>35766</v>
      </c>
      <c r="H8612" s="1">
        <v>40263</v>
      </c>
      <c r="I8612" t="s">
        <v>12</v>
      </c>
      <c r="J8612" t="s">
        <v>19382</v>
      </c>
    </row>
    <row r="8613" spans="1:10" x14ac:dyDescent="0.25">
      <c r="A8613">
        <v>3414757</v>
      </c>
      <c r="B8613" t="s">
        <v>9117</v>
      </c>
      <c r="C8613" t="str">
        <f>"9780472108138"</f>
        <v>9780472108138</v>
      </c>
      <c r="D8613" t="str">
        <f>"9780472023264"</f>
        <v>9780472023264</v>
      </c>
      <c r="E8613" t="s">
        <v>9115</v>
      </c>
      <c r="F8613" t="s">
        <v>9115</v>
      </c>
      <c r="G8613" s="1">
        <v>35773</v>
      </c>
      <c r="H8613" s="1">
        <v>40263</v>
      </c>
      <c r="I8613" t="s">
        <v>12</v>
      </c>
      <c r="J8613" t="s">
        <v>19383</v>
      </c>
    </row>
    <row r="8614" spans="1:10" x14ac:dyDescent="0.25">
      <c r="A8614">
        <v>3414958</v>
      </c>
      <c r="B8614" t="s">
        <v>9118</v>
      </c>
      <c r="C8614" t="str">
        <f>"9780472109098"</f>
        <v>9780472109098</v>
      </c>
      <c r="D8614" t="str">
        <f>"9780472027125"</f>
        <v>9780472027125</v>
      </c>
      <c r="E8614" t="s">
        <v>9115</v>
      </c>
      <c r="F8614" t="s">
        <v>9115</v>
      </c>
      <c r="G8614" s="1">
        <v>36487</v>
      </c>
      <c r="H8614" s="1">
        <v>40477</v>
      </c>
      <c r="I8614" t="s">
        <v>12</v>
      </c>
      <c r="J8614" t="s">
        <v>19384</v>
      </c>
    </row>
    <row r="8615" spans="1:10" x14ac:dyDescent="0.25">
      <c r="A8615">
        <v>3414975</v>
      </c>
      <c r="B8615" t="s">
        <v>9119</v>
      </c>
      <c r="C8615" t="str">
        <f>"9780472117499"</f>
        <v>9780472117499</v>
      </c>
      <c r="D8615" t="str">
        <f>"9780472025732"</f>
        <v>9780472025732</v>
      </c>
      <c r="E8615" t="s">
        <v>9115</v>
      </c>
      <c r="F8615" t="s">
        <v>9115</v>
      </c>
      <c r="G8615" s="1">
        <v>40561</v>
      </c>
      <c r="H8615" s="1">
        <v>40605</v>
      </c>
      <c r="I8615" t="s">
        <v>12</v>
      </c>
      <c r="J8615" t="s">
        <v>19385</v>
      </c>
    </row>
    <row r="8616" spans="1:10" x14ac:dyDescent="0.25">
      <c r="A8616">
        <v>3416243</v>
      </c>
      <c r="B8616" t="s">
        <v>9120</v>
      </c>
      <c r="C8616" t="str">
        <f>"9781904380405"</f>
        <v>9781904380405</v>
      </c>
      <c r="D8616" t="str">
        <f>"9781906534677"</f>
        <v>9781906534677</v>
      </c>
      <c r="E8616" t="s">
        <v>9121</v>
      </c>
      <c r="F8616" t="s">
        <v>9121</v>
      </c>
      <c r="G8616" s="1">
        <v>39498</v>
      </c>
      <c r="H8616" s="1">
        <v>41404</v>
      </c>
      <c r="I8616" t="s">
        <v>12</v>
      </c>
      <c r="J8616" t="s">
        <v>19386</v>
      </c>
    </row>
    <row r="8617" spans="1:10" x14ac:dyDescent="0.25">
      <c r="A8617">
        <v>3416251</v>
      </c>
      <c r="B8617" t="s">
        <v>9122</v>
      </c>
      <c r="C8617" t="str">
        <f>"9781904380320"</f>
        <v>9781904380320</v>
      </c>
      <c r="D8617" t="str">
        <f>"9781906534325"</f>
        <v>9781906534325</v>
      </c>
      <c r="E8617" t="s">
        <v>9121</v>
      </c>
      <c r="F8617" t="s">
        <v>9121</v>
      </c>
      <c r="G8617" s="1">
        <v>39022</v>
      </c>
      <c r="H8617" s="1">
        <v>41404</v>
      </c>
      <c r="I8617" t="s">
        <v>12</v>
      </c>
      <c r="J8617" t="s">
        <v>19387</v>
      </c>
    </row>
    <row r="8618" spans="1:10" x14ac:dyDescent="0.25">
      <c r="A8618">
        <v>3419828</v>
      </c>
      <c r="B8618" t="s">
        <v>9123</v>
      </c>
      <c r="C8618" t="str">
        <f>"9780300107814"</f>
        <v>9780300107814</v>
      </c>
      <c r="D8618" t="str">
        <f>"9780300133783"</f>
        <v>9780300133783</v>
      </c>
      <c r="E8618" t="s">
        <v>9124</v>
      </c>
      <c r="F8618" t="s">
        <v>9124</v>
      </c>
      <c r="G8618" s="1">
        <v>38687</v>
      </c>
      <c r="H8618" s="1">
        <v>39189</v>
      </c>
      <c r="I8618" t="s">
        <v>12</v>
      </c>
      <c r="J8618" t="s">
        <v>19388</v>
      </c>
    </row>
    <row r="8619" spans="1:10" x14ac:dyDescent="0.25">
      <c r="A8619">
        <v>3419853</v>
      </c>
      <c r="B8619" t="s">
        <v>9125</v>
      </c>
      <c r="C8619" t="str">
        <f>"9780300104097"</f>
        <v>9780300104097</v>
      </c>
      <c r="D8619" t="str">
        <f>"9780300132069"</f>
        <v>9780300132069</v>
      </c>
      <c r="E8619" t="s">
        <v>9124</v>
      </c>
      <c r="F8619" t="s">
        <v>9124</v>
      </c>
      <c r="G8619" s="1">
        <v>38322</v>
      </c>
      <c r="H8619" s="1">
        <v>39189</v>
      </c>
      <c r="I8619" t="s">
        <v>12</v>
      </c>
      <c r="J8619" t="s">
        <v>19389</v>
      </c>
    </row>
    <row r="8620" spans="1:10" x14ac:dyDescent="0.25">
      <c r="A8620">
        <v>3419854</v>
      </c>
      <c r="B8620" t="s">
        <v>9126</v>
      </c>
      <c r="C8620" t="str">
        <f>"9780300106503"</f>
        <v>9780300106503</v>
      </c>
      <c r="D8620" t="str">
        <f>"9780300133165"</f>
        <v>9780300133165</v>
      </c>
      <c r="E8620" t="s">
        <v>9124</v>
      </c>
      <c r="F8620" t="s">
        <v>9124</v>
      </c>
      <c r="G8620" s="1">
        <v>38639</v>
      </c>
      <c r="H8620" s="1">
        <v>39189</v>
      </c>
      <c r="I8620" t="s">
        <v>12</v>
      </c>
      <c r="J8620" t="s">
        <v>19390</v>
      </c>
    </row>
    <row r="8621" spans="1:10" x14ac:dyDescent="0.25">
      <c r="A8621">
        <v>3419879</v>
      </c>
      <c r="B8621" t="s">
        <v>9127</v>
      </c>
      <c r="C8621" t="str">
        <f>"9780300101096"</f>
        <v>9780300101096</v>
      </c>
      <c r="D8621" t="str">
        <f>"9780300133110"</f>
        <v>9780300133110</v>
      </c>
      <c r="E8621" t="s">
        <v>9124</v>
      </c>
      <c r="F8621" t="s">
        <v>9124</v>
      </c>
      <c r="G8621" s="1">
        <v>38244</v>
      </c>
      <c r="H8621" s="1">
        <v>39189</v>
      </c>
      <c r="I8621" t="s">
        <v>12</v>
      </c>
      <c r="J8621" t="s">
        <v>19391</v>
      </c>
    </row>
    <row r="8622" spans="1:10" x14ac:dyDescent="0.25">
      <c r="A8622">
        <v>3419892</v>
      </c>
      <c r="B8622" t="s">
        <v>9128</v>
      </c>
      <c r="C8622" t="str">
        <f>"9780300080551"</f>
        <v>9780300080551</v>
      </c>
      <c r="D8622" t="str">
        <f>"9780300130829"</f>
        <v>9780300130829</v>
      </c>
      <c r="E8622" t="s">
        <v>9124</v>
      </c>
      <c r="F8622" t="s">
        <v>9124</v>
      </c>
      <c r="G8622" s="1">
        <v>36565</v>
      </c>
      <c r="H8622" s="1">
        <v>39189</v>
      </c>
      <c r="I8622" t="s">
        <v>12</v>
      </c>
      <c r="J8622" t="s">
        <v>19392</v>
      </c>
    </row>
    <row r="8623" spans="1:10" x14ac:dyDescent="0.25">
      <c r="A8623">
        <v>3419903</v>
      </c>
      <c r="B8623" t="s">
        <v>9129</v>
      </c>
      <c r="C8623" t="str">
        <f>"9780300100587"</f>
        <v>9780300100587</v>
      </c>
      <c r="D8623" t="str">
        <f>"9780300130386"</f>
        <v>9780300130386</v>
      </c>
      <c r="E8623" t="s">
        <v>9124</v>
      </c>
      <c r="F8623" t="s">
        <v>9124</v>
      </c>
      <c r="G8623" s="1">
        <v>38282</v>
      </c>
      <c r="H8623" s="1">
        <v>39189</v>
      </c>
      <c r="I8623" t="s">
        <v>12</v>
      </c>
      <c r="J8623" t="s">
        <v>19393</v>
      </c>
    </row>
    <row r="8624" spans="1:10" x14ac:dyDescent="0.25">
      <c r="A8624">
        <v>3419916</v>
      </c>
      <c r="B8624" t="s">
        <v>9130</v>
      </c>
      <c r="C8624" t="str">
        <f>"9780300103847"</f>
        <v>9780300103847</v>
      </c>
      <c r="D8624" t="str">
        <f>"9780300127478"</f>
        <v>9780300127478</v>
      </c>
      <c r="E8624" t="s">
        <v>9124</v>
      </c>
      <c r="F8624" t="s">
        <v>9124</v>
      </c>
      <c r="G8624" s="1">
        <v>38282</v>
      </c>
      <c r="H8624" s="1">
        <v>39216</v>
      </c>
      <c r="I8624" t="s">
        <v>12</v>
      </c>
      <c r="J8624" t="s">
        <v>19394</v>
      </c>
    </row>
    <row r="8625" spans="1:10" x14ac:dyDescent="0.25">
      <c r="A8625">
        <v>3419939</v>
      </c>
      <c r="B8625" t="s">
        <v>9131</v>
      </c>
      <c r="C8625" t="str">
        <f>"9780300108040"</f>
        <v>9780300108040</v>
      </c>
      <c r="D8625" t="str">
        <f>"9780300129557"</f>
        <v>9780300129557</v>
      </c>
      <c r="E8625" t="s">
        <v>9124</v>
      </c>
      <c r="F8625" t="s">
        <v>9124</v>
      </c>
      <c r="G8625" s="1">
        <v>38657</v>
      </c>
      <c r="H8625" s="1">
        <v>39216</v>
      </c>
      <c r="I8625" t="s">
        <v>12</v>
      </c>
      <c r="J8625" t="s">
        <v>19395</v>
      </c>
    </row>
    <row r="8626" spans="1:10" x14ac:dyDescent="0.25">
      <c r="A8626">
        <v>3419940</v>
      </c>
      <c r="B8626" t="s">
        <v>9132</v>
      </c>
      <c r="C8626" t="str">
        <f>"9780300108897"</f>
        <v>9780300108897</v>
      </c>
      <c r="D8626" t="str">
        <f>"9780300128185"</f>
        <v>9780300128185</v>
      </c>
      <c r="E8626" t="s">
        <v>9124</v>
      </c>
      <c r="F8626" t="s">
        <v>9124</v>
      </c>
      <c r="G8626" s="1">
        <v>38687</v>
      </c>
      <c r="H8626" s="1">
        <v>39216</v>
      </c>
      <c r="I8626" t="s">
        <v>12</v>
      </c>
      <c r="J8626" t="s">
        <v>19396</v>
      </c>
    </row>
    <row r="8627" spans="1:10" x14ac:dyDescent="0.25">
      <c r="A8627">
        <v>3419955</v>
      </c>
      <c r="B8627" t="s">
        <v>9133</v>
      </c>
      <c r="C8627" t="str">
        <f>"9780300100266"</f>
        <v>9780300100266</v>
      </c>
      <c r="D8627" t="str">
        <f>"9780300129410"</f>
        <v>9780300129410</v>
      </c>
      <c r="E8627" t="s">
        <v>9124</v>
      </c>
      <c r="F8627" t="s">
        <v>9124</v>
      </c>
      <c r="G8627" s="1">
        <v>37967</v>
      </c>
      <c r="H8627" s="1">
        <v>39216</v>
      </c>
      <c r="I8627" t="s">
        <v>12</v>
      </c>
      <c r="J8627" t="s">
        <v>19397</v>
      </c>
    </row>
    <row r="8628" spans="1:10" x14ac:dyDescent="0.25">
      <c r="A8628">
        <v>3419961</v>
      </c>
      <c r="B8628" t="s">
        <v>9134</v>
      </c>
      <c r="C8628" t="str">
        <f>"9780300099201"</f>
        <v>9780300099201</v>
      </c>
      <c r="D8628" t="str">
        <f>"9780300128567"</f>
        <v>9780300128567</v>
      </c>
      <c r="E8628" t="s">
        <v>9124</v>
      </c>
      <c r="F8628" t="s">
        <v>9124</v>
      </c>
      <c r="G8628" s="1">
        <v>37953</v>
      </c>
      <c r="H8628" s="1">
        <v>39216</v>
      </c>
      <c r="I8628" t="s">
        <v>12</v>
      </c>
      <c r="J8628" t="s">
        <v>19398</v>
      </c>
    </row>
    <row r="8629" spans="1:10" x14ac:dyDescent="0.25">
      <c r="A8629">
        <v>3420003</v>
      </c>
      <c r="B8629" t="s">
        <v>9135</v>
      </c>
      <c r="C8629" t="str">
        <f>"9780300100495"</f>
        <v>9780300100495</v>
      </c>
      <c r="D8629" t="str">
        <f>"9780300130140"</f>
        <v>9780300130140</v>
      </c>
      <c r="E8629" t="s">
        <v>9124</v>
      </c>
      <c r="F8629" t="s">
        <v>9124</v>
      </c>
      <c r="G8629" s="1">
        <v>38322</v>
      </c>
      <c r="H8629" s="1">
        <v>39216</v>
      </c>
      <c r="I8629" t="s">
        <v>12</v>
      </c>
      <c r="J8629" t="s">
        <v>19399</v>
      </c>
    </row>
    <row r="8630" spans="1:10" x14ac:dyDescent="0.25">
      <c r="A8630">
        <v>3420025</v>
      </c>
      <c r="B8630" t="s">
        <v>9136</v>
      </c>
      <c r="C8630" t="str">
        <f>"9780300100488"</f>
        <v>9780300100488</v>
      </c>
      <c r="D8630" t="str">
        <f>"9780300127751"</f>
        <v>9780300127751</v>
      </c>
      <c r="E8630" t="s">
        <v>9124</v>
      </c>
      <c r="F8630" t="s">
        <v>9124</v>
      </c>
      <c r="G8630" s="1">
        <v>38322</v>
      </c>
      <c r="H8630" s="1">
        <v>39216</v>
      </c>
      <c r="I8630" t="s">
        <v>12</v>
      </c>
      <c r="J8630" t="s">
        <v>19400</v>
      </c>
    </row>
    <row r="8631" spans="1:10" x14ac:dyDescent="0.25">
      <c r="A8631">
        <v>3420039</v>
      </c>
      <c r="B8631" t="s">
        <v>9137</v>
      </c>
      <c r="C8631" t="str">
        <f>"9780300107074"</f>
        <v>9780300107074</v>
      </c>
      <c r="D8631" t="str">
        <f>"9780300129793"</f>
        <v>9780300129793</v>
      </c>
      <c r="E8631" t="s">
        <v>9124</v>
      </c>
      <c r="F8631" t="s">
        <v>9124</v>
      </c>
      <c r="G8631" s="1">
        <v>38687</v>
      </c>
      <c r="H8631" s="1">
        <v>39216</v>
      </c>
      <c r="I8631" t="s">
        <v>12</v>
      </c>
      <c r="J8631" t="s">
        <v>19401</v>
      </c>
    </row>
    <row r="8632" spans="1:10" x14ac:dyDescent="0.25">
      <c r="A8632">
        <v>3420040</v>
      </c>
      <c r="B8632" t="s">
        <v>9138</v>
      </c>
      <c r="C8632" t="str">
        <f>"9780300106749"</f>
        <v>9780300106749</v>
      </c>
      <c r="D8632" t="str">
        <f>"9780300128031"</f>
        <v>9780300128031</v>
      </c>
      <c r="E8632" t="s">
        <v>9124</v>
      </c>
      <c r="F8632" t="s">
        <v>9124</v>
      </c>
      <c r="G8632" s="1">
        <v>38687</v>
      </c>
      <c r="H8632" s="1">
        <v>39216</v>
      </c>
      <c r="I8632" t="s">
        <v>12</v>
      </c>
      <c r="J8632" t="s">
        <v>19402</v>
      </c>
    </row>
    <row r="8633" spans="1:10" x14ac:dyDescent="0.25">
      <c r="A8633">
        <v>3420052</v>
      </c>
      <c r="B8633" t="s">
        <v>9139</v>
      </c>
      <c r="C8633" t="str">
        <f>"9780300110319"</f>
        <v>9780300110319</v>
      </c>
      <c r="D8633" t="str">
        <f>"9780300128338"</f>
        <v>9780300128338</v>
      </c>
      <c r="E8633" t="s">
        <v>9124</v>
      </c>
      <c r="F8633" t="s">
        <v>9124</v>
      </c>
      <c r="G8633" s="1">
        <v>38849</v>
      </c>
      <c r="H8633" s="1">
        <v>39216</v>
      </c>
      <c r="I8633" t="s">
        <v>12</v>
      </c>
      <c r="J8633" t="s">
        <v>19403</v>
      </c>
    </row>
    <row r="8634" spans="1:10" x14ac:dyDescent="0.25">
      <c r="A8634">
        <v>3420055</v>
      </c>
      <c r="B8634" t="s">
        <v>9140</v>
      </c>
      <c r="C8634" t="str">
        <f>"9780300093643"</f>
        <v>9780300093643</v>
      </c>
      <c r="D8634" t="str">
        <f>"9780300127393"</f>
        <v>9780300127393</v>
      </c>
      <c r="E8634" t="s">
        <v>9124</v>
      </c>
      <c r="F8634" t="s">
        <v>9124</v>
      </c>
      <c r="G8634" s="1">
        <v>37591</v>
      </c>
      <c r="H8634" s="1">
        <v>39216</v>
      </c>
      <c r="I8634" t="s">
        <v>12</v>
      </c>
      <c r="J8634" t="s">
        <v>19404</v>
      </c>
    </row>
    <row r="8635" spans="1:10" x14ac:dyDescent="0.25">
      <c r="A8635">
        <v>3420063</v>
      </c>
      <c r="B8635" t="s">
        <v>9141</v>
      </c>
      <c r="C8635" t="str">
        <f>"9780300095234"</f>
        <v>9780300095234</v>
      </c>
      <c r="D8635" t="str">
        <f>"9780300133578"</f>
        <v>9780300133578</v>
      </c>
      <c r="E8635" t="s">
        <v>9124</v>
      </c>
      <c r="F8635" t="s">
        <v>9124</v>
      </c>
      <c r="G8635" s="1">
        <v>37591</v>
      </c>
      <c r="H8635" s="1">
        <v>39218</v>
      </c>
      <c r="I8635" t="s">
        <v>12</v>
      </c>
      <c r="J8635" t="s">
        <v>19405</v>
      </c>
    </row>
    <row r="8636" spans="1:10" x14ac:dyDescent="0.25">
      <c r="A8636">
        <v>3420112</v>
      </c>
      <c r="B8636" t="s">
        <v>9142</v>
      </c>
      <c r="C8636" t="str">
        <f>"9780300100198"</f>
        <v>9780300100198</v>
      </c>
      <c r="D8636" t="str">
        <f>"9780300128499"</f>
        <v>9780300128499</v>
      </c>
      <c r="E8636" t="s">
        <v>9124</v>
      </c>
      <c r="F8636" t="s">
        <v>9124</v>
      </c>
      <c r="G8636" s="1">
        <v>37953</v>
      </c>
      <c r="H8636" s="1">
        <v>39218</v>
      </c>
      <c r="I8636" t="s">
        <v>12</v>
      </c>
      <c r="J8636" t="s">
        <v>19406</v>
      </c>
    </row>
    <row r="8637" spans="1:10" x14ac:dyDescent="0.25">
      <c r="A8637">
        <v>3420139</v>
      </c>
      <c r="B8637" t="s">
        <v>9143</v>
      </c>
      <c r="C8637" t="str">
        <f>"9780300106602"</f>
        <v>9780300106602</v>
      </c>
      <c r="D8637" t="str">
        <f>"9780300130300"</f>
        <v>9780300130300</v>
      </c>
      <c r="E8637" t="s">
        <v>9124</v>
      </c>
      <c r="F8637" t="s">
        <v>9124</v>
      </c>
      <c r="G8637" s="1">
        <v>37540</v>
      </c>
      <c r="H8637" s="1">
        <v>39218</v>
      </c>
      <c r="I8637" t="s">
        <v>12</v>
      </c>
      <c r="J8637" t="s">
        <v>19407</v>
      </c>
    </row>
    <row r="8638" spans="1:10" x14ac:dyDescent="0.25">
      <c r="A8638">
        <v>3420144</v>
      </c>
      <c r="B8638" t="s">
        <v>9144</v>
      </c>
      <c r="C8638" t="str">
        <f>"9780300108729"</f>
        <v>9780300108729</v>
      </c>
      <c r="D8638" t="str">
        <f>"9780300130003"</f>
        <v>9780300130003</v>
      </c>
      <c r="E8638" t="s">
        <v>9124</v>
      </c>
      <c r="F8638" t="s">
        <v>9124</v>
      </c>
      <c r="G8638" s="1">
        <v>38615</v>
      </c>
      <c r="H8638" s="1">
        <v>39218</v>
      </c>
      <c r="I8638" t="s">
        <v>12</v>
      </c>
      <c r="J8638" t="s">
        <v>19408</v>
      </c>
    </row>
    <row r="8639" spans="1:10" x14ac:dyDescent="0.25">
      <c r="A8639">
        <v>3420148</v>
      </c>
      <c r="B8639" t="s">
        <v>9145</v>
      </c>
      <c r="C8639" t="str">
        <f>"9780300075373"</f>
        <v>9780300075373</v>
      </c>
      <c r="D8639" t="str">
        <f>"9780300129366"</f>
        <v>9780300129366</v>
      </c>
      <c r="E8639" t="s">
        <v>9124</v>
      </c>
      <c r="F8639" t="s">
        <v>9124</v>
      </c>
      <c r="G8639" s="1">
        <v>37226</v>
      </c>
      <c r="H8639" s="1">
        <v>39218</v>
      </c>
      <c r="I8639" t="s">
        <v>12</v>
      </c>
      <c r="J8639" t="s">
        <v>19409</v>
      </c>
    </row>
    <row r="8640" spans="1:10" x14ac:dyDescent="0.25">
      <c r="A8640">
        <v>3420168</v>
      </c>
      <c r="B8640" t="s">
        <v>9146</v>
      </c>
      <c r="C8640" t="str">
        <f>"9780300085471"</f>
        <v>9780300085471</v>
      </c>
      <c r="D8640" t="str">
        <f>"9780300133806"</f>
        <v>9780300133806</v>
      </c>
      <c r="E8640" t="s">
        <v>9124</v>
      </c>
      <c r="F8640" t="s">
        <v>9124</v>
      </c>
      <c r="G8640" s="1">
        <v>38687</v>
      </c>
      <c r="H8640" s="1">
        <v>39218</v>
      </c>
      <c r="I8640" t="s">
        <v>12</v>
      </c>
      <c r="J8640" t="s">
        <v>19410</v>
      </c>
    </row>
    <row r="8641" spans="1:10" x14ac:dyDescent="0.25">
      <c r="A8641">
        <v>3420170</v>
      </c>
      <c r="B8641" t="s">
        <v>9147</v>
      </c>
      <c r="C8641" t="str">
        <f>"9780300104592"</f>
        <v>9780300104592</v>
      </c>
      <c r="D8641" t="str">
        <f>"9780300128451"</f>
        <v>9780300128451</v>
      </c>
      <c r="E8641" t="s">
        <v>9124</v>
      </c>
      <c r="F8641" t="s">
        <v>9124</v>
      </c>
      <c r="G8641" s="1">
        <v>38322</v>
      </c>
      <c r="H8641" s="1">
        <v>39218</v>
      </c>
      <c r="I8641" t="s">
        <v>12</v>
      </c>
      <c r="J8641" t="s">
        <v>19411</v>
      </c>
    </row>
    <row r="8642" spans="1:10" x14ac:dyDescent="0.25">
      <c r="A8642">
        <v>3420176</v>
      </c>
      <c r="B8642" t="s">
        <v>9148</v>
      </c>
      <c r="C8642" t="str">
        <f>"9780300099645"</f>
        <v>9780300099645</v>
      </c>
      <c r="D8642" t="str">
        <f>"9780300129038"</f>
        <v>9780300129038</v>
      </c>
      <c r="E8642" t="s">
        <v>9124</v>
      </c>
      <c r="F8642" t="s">
        <v>9124</v>
      </c>
      <c r="G8642" s="1">
        <v>37956</v>
      </c>
      <c r="H8642" s="1">
        <v>39218</v>
      </c>
      <c r="I8642" t="s">
        <v>12</v>
      </c>
      <c r="J8642" t="s">
        <v>19412</v>
      </c>
    </row>
    <row r="8643" spans="1:10" x14ac:dyDescent="0.25">
      <c r="A8643">
        <v>3420183</v>
      </c>
      <c r="B8643" t="s">
        <v>9149</v>
      </c>
      <c r="C8643" t="str">
        <f>"9780300092097"</f>
        <v>9780300092097</v>
      </c>
      <c r="D8643" t="str">
        <f>"9780300130157"</f>
        <v>9780300130157</v>
      </c>
      <c r="E8643" t="s">
        <v>9124</v>
      </c>
      <c r="F8643" t="s">
        <v>9124</v>
      </c>
      <c r="G8643" s="1">
        <v>38322</v>
      </c>
      <c r="H8643" s="1">
        <v>39218</v>
      </c>
      <c r="I8643" t="s">
        <v>12</v>
      </c>
      <c r="J8643" t="s">
        <v>19413</v>
      </c>
    </row>
    <row r="8644" spans="1:10" x14ac:dyDescent="0.25">
      <c r="A8644">
        <v>3420196</v>
      </c>
      <c r="B8644" t="s">
        <v>9150</v>
      </c>
      <c r="C8644" t="str">
        <f>"9780300097818"</f>
        <v>9780300097818</v>
      </c>
      <c r="D8644" t="str">
        <f>"9780300130836"</f>
        <v>9780300130836</v>
      </c>
      <c r="E8644" t="s">
        <v>9124</v>
      </c>
      <c r="F8644" t="s">
        <v>9124</v>
      </c>
      <c r="G8644" s="1">
        <v>37726</v>
      </c>
      <c r="H8644" s="1">
        <v>39218</v>
      </c>
      <c r="I8644" t="s">
        <v>12</v>
      </c>
      <c r="J8644" t="s">
        <v>19414</v>
      </c>
    </row>
    <row r="8645" spans="1:10" x14ac:dyDescent="0.25">
      <c r="A8645">
        <v>3420216</v>
      </c>
      <c r="B8645" t="s">
        <v>9151</v>
      </c>
      <c r="C8645" t="str">
        <f>"9780300108200"</f>
        <v>9780300108200</v>
      </c>
      <c r="D8645" t="str">
        <f>"9780300128840"</f>
        <v>9780300128840</v>
      </c>
      <c r="E8645" t="s">
        <v>9124</v>
      </c>
      <c r="F8645" t="s">
        <v>9124</v>
      </c>
      <c r="G8645" s="1">
        <v>38730</v>
      </c>
      <c r="H8645" s="1">
        <v>39273</v>
      </c>
      <c r="I8645" t="s">
        <v>12</v>
      </c>
      <c r="J8645" t="s">
        <v>19415</v>
      </c>
    </row>
    <row r="8646" spans="1:10" x14ac:dyDescent="0.25">
      <c r="A8646">
        <v>3420240</v>
      </c>
      <c r="B8646" t="s">
        <v>9152</v>
      </c>
      <c r="C8646" t="str">
        <f>"9780300097078"</f>
        <v>9780300097078</v>
      </c>
      <c r="D8646" t="str">
        <f>"9780300128987"</f>
        <v>9780300128987</v>
      </c>
      <c r="E8646" t="s">
        <v>9124</v>
      </c>
      <c r="F8646" t="s">
        <v>9124</v>
      </c>
      <c r="G8646" s="1">
        <v>37591</v>
      </c>
      <c r="H8646" s="1">
        <v>39343</v>
      </c>
      <c r="I8646" t="s">
        <v>12</v>
      </c>
      <c r="J8646" t="s">
        <v>19416</v>
      </c>
    </row>
    <row r="8647" spans="1:10" x14ac:dyDescent="0.25">
      <c r="A8647">
        <v>3420244</v>
      </c>
      <c r="B8647" t="s">
        <v>9153</v>
      </c>
      <c r="C8647" t="str">
        <f>"9780300100990"</f>
        <v>9780300100990</v>
      </c>
      <c r="D8647" t="str">
        <f>"9780300137675"</f>
        <v>9780300137675</v>
      </c>
      <c r="E8647" t="s">
        <v>9124</v>
      </c>
      <c r="F8647" t="s">
        <v>9124</v>
      </c>
      <c r="G8647" s="1">
        <v>39343</v>
      </c>
      <c r="H8647" s="1">
        <v>39378</v>
      </c>
      <c r="I8647" t="s">
        <v>12</v>
      </c>
      <c r="J8647" t="s">
        <v>19417</v>
      </c>
    </row>
    <row r="8648" spans="1:10" x14ac:dyDescent="0.25">
      <c r="A8648">
        <v>3420248</v>
      </c>
      <c r="B8648" t="s">
        <v>9154</v>
      </c>
      <c r="C8648" t="str">
        <f>"9780300106534"</f>
        <v>9780300106534</v>
      </c>
      <c r="D8648" t="str">
        <f>"9780300164824"</f>
        <v>9780300164824</v>
      </c>
      <c r="E8648" t="s">
        <v>9124</v>
      </c>
      <c r="F8648" t="s">
        <v>9124</v>
      </c>
      <c r="G8648" s="1">
        <v>38419</v>
      </c>
      <c r="H8648" s="1">
        <v>39378</v>
      </c>
      <c r="I8648" t="s">
        <v>12</v>
      </c>
      <c r="J8648" t="s">
        <v>19418</v>
      </c>
    </row>
    <row r="8649" spans="1:10" x14ac:dyDescent="0.25">
      <c r="A8649">
        <v>3420249</v>
      </c>
      <c r="B8649" t="s">
        <v>9155</v>
      </c>
      <c r="C8649" t="str">
        <f>"9780300117035"</f>
        <v>9780300117035</v>
      </c>
      <c r="D8649" t="str">
        <f>"9780300137910"</f>
        <v>9780300137910</v>
      </c>
      <c r="E8649" t="s">
        <v>9124</v>
      </c>
      <c r="F8649" t="s">
        <v>9124</v>
      </c>
      <c r="G8649" s="1">
        <v>39234</v>
      </c>
      <c r="H8649" s="1">
        <v>39378</v>
      </c>
      <c r="I8649" t="s">
        <v>12</v>
      </c>
      <c r="J8649" t="s">
        <v>19419</v>
      </c>
    </row>
    <row r="8650" spans="1:10" x14ac:dyDescent="0.25">
      <c r="A8650">
        <v>3420254</v>
      </c>
      <c r="B8650" t="s">
        <v>9156</v>
      </c>
      <c r="C8650" t="str">
        <f>"9780300120189"</f>
        <v>9780300120189</v>
      </c>
      <c r="D8650" t="str">
        <f>"9780300153408"</f>
        <v>9780300153408</v>
      </c>
      <c r="E8650" t="s">
        <v>9124</v>
      </c>
      <c r="F8650" t="s">
        <v>9124</v>
      </c>
      <c r="G8650" s="1">
        <v>39311</v>
      </c>
      <c r="H8650" s="1">
        <v>39378</v>
      </c>
      <c r="I8650" t="s">
        <v>12</v>
      </c>
      <c r="J8650" t="s">
        <v>19420</v>
      </c>
    </row>
    <row r="8651" spans="1:10" x14ac:dyDescent="0.25">
      <c r="A8651">
        <v>3420258</v>
      </c>
      <c r="B8651" t="s">
        <v>9157</v>
      </c>
      <c r="C8651" t="str">
        <f>"9780300111989"</f>
        <v>9780300111989</v>
      </c>
      <c r="D8651" t="str">
        <f>"9780300138368"</f>
        <v>9780300138368</v>
      </c>
      <c r="E8651" t="s">
        <v>9124</v>
      </c>
      <c r="F8651" t="s">
        <v>9124</v>
      </c>
      <c r="G8651" s="1">
        <v>39241</v>
      </c>
      <c r="H8651" s="1">
        <v>39378</v>
      </c>
      <c r="I8651" t="s">
        <v>12</v>
      </c>
      <c r="J8651" t="s">
        <v>19421</v>
      </c>
    </row>
    <row r="8652" spans="1:10" x14ac:dyDescent="0.25">
      <c r="A8652">
        <v>3420260</v>
      </c>
      <c r="B8652" t="s">
        <v>9158</v>
      </c>
      <c r="C8652" t="str">
        <f>"9780300106541"</f>
        <v>9780300106541</v>
      </c>
      <c r="D8652" t="str">
        <f>"9780300138276"</f>
        <v>9780300138276</v>
      </c>
      <c r="E8652" t="s">
        <v>9124</v>
      </c>
      <c r="F8652" t="s">
        <v>9124</v>
      </c>
      <c r="G8652" s="1">
        <v>38429</v>
      </c>
      <c r="H8652" s="1">
        <v>39378</v>
      </c>
      <c r="I8652" t="s">
        <v>12</v>
      </c>
      <c r="J8652" t="s">
        <v>19422</v>
      </c>
    </row>
    <row r="8653" spans="1:10" x14ac:dyDescent="0.25">
      <c r="A8653">
        <v>3420263</v>
      </c>
      <c r="B8653" t="s">
        <v>9159</v>
      </c>
      <c r="C8653" t="str">
        <f>"9780300124989"</f>
        <v>9780300124989</v>
      </c>
      <c r="D8653" t="str">
        <f>"9780300138191"</f>
        <v>9780300138191</v>
      </c>
      <c r="E8653" t="s">
        <v>9124</v>
      </c>
      <c r="F8653" t="s">
        <v>9124</v>
      </c>
      <c r="G8653" s="1">
        <v>39417</v>
      </c>
      <c r="H8653" s="1">
        <v>39378</v>
      </c>
      <c r="I8653" t="s">
        <v>12</v>
      </c>
      <c r="J8653" t="s">
        <v>19423</v>
      </c>
    </row>
    <row r="8654" spans="1:10" x14ac:dyDescent="0.25">
      <c r="A8654">
        <v>3420269</v>
      </c>
      <c r="B8654" t="s">
        <v>9160</v>
      </c>
      <c r="C8654" t="str">
        <f>"9780300110357"</f>
        <v>9780300110357</v>
      </c>
      <c r="D8654" t="str">
        <f>"9780300138320"</f>
        <v>9780300138320</v>
      </c>
      <c r="E8654" t="s">
        <v>9124</v>
      </c>
      <c r="F8654" t="s">
        <v>9124</v>
      </c>
      <c r="G8654" s="1">
        <v>39417</v>
      </c>
      <c r="H8654" s="1">
        <v>39378</v>
      </c>
      <c r="I8654" t="s">
        <v>12</v>
      </c>
      <c r="J8654" t="s">
        <v>19424</v>
      </c>
    </row>
    <row r="8655" spans="1:10" x14ac:dyDescent="0.25">
      <c r="A8655">
        <v>3420276</v>
      </c>
      <c r="B8655" t="s">
        <v>9161</v>
      </c>
      <c r="C8655" t="str">
        <f>"9780300116090"</f>
        <v>9780300116090</v>
      </c>
      <c r="D8655" t="str">
        <f>"9780300137927"</f>
        <v>9780300137927</v>
      </c>
      <c r="E8655" t="s">
        <v>9124</v>
      </c>
      <c r="F8655" t="s">
        <v>9124</v>
      </c>
      <c r="G8655" s="1">
        <v>39287</v>
      </c>
      <c r="H8655" s="1">
        <v>39378</v>
      </c>
      <c r="I8655" t="s">
        <v>12</v>
      </c>
      <c r="J8655" t="s">
        <v>19425</v>
      </c>
    </row>
    <row r="8656" spans="1:10" x14ac:dyDescent="0.25">
      <c r="A8656">
        <v>3420278</v>
      </c>
      <c r="B8656" t="s">
        <v>9162</v>
      </c>
      <c r="C8656" t="str">
        <f>"9780300088809"</f>
        <v>9780300088809</v>
      </c>
      <c r="D8656" t="str">
        <f>"9780300138139"</f>
        <v>9780300138139</v>
      </c>
      <c r="E8656" t="s">
        <v>9124</v>
      </c>
      <c r="F8656" t="s">
        <v>9124</v>
      </c>
      <c r="G8656" s="1">
        <v>37342</v>
      </c>
      <c r="H8656" s="1">
        <v>39771</v>
      </c>
      <c r="I8656" t="s">
        <v>12</v>
      </c>
      <c r="J8656" t="s">
        <v>19426</v>
      </c>
    </row>
    <row r="8657" spans="1:10" x14ac:dyDescent="0.25">
      <c r="A8657">
        <v>3420287</v>
      </c>
      <c r="B8657" t="s">
        <v>9163</v>
      </c>
      <c r="C8657" t="str">
        <f>"9780300111835"</f>
        <v>9780300111835</v>
      </c>
      <c r="D8657" t="str">
        <f>"9780300138351"</f>
        <v>9780300138351</v>
      </c>
      <c r="E8657" t="s">
        <v>9124</v>
      </c>
      <c r="F8657" t="s">
        <v>9124</v>
      </c>
      <c r="G8657" s="1">
        <v>39417</v>
      </c>
      <c r="H8657" s="1">
        <v>39378</v>
      </c>
      <c r="I8657" t="s">
        <v>12</v>
      </c>
      <c r="J8657" t="s">
        <v>19427</v>
      </c>
    </row>
    <row r="8658" spans="1:10" x14ac:dyDescent="0.25">
      <c r="A8658">
        <v>3420300</v>
      </c>
      <c r="B8658" t="s">
        <v>9164</v>
      </c>
      <c r="C8658" t="str">
        <f>"9780300106732"</f>
        <v>9780300106732</v>
      </c>
      <c r="D8658" t="str">
        <f>"9780300138375"</f>
        <v>9780300138375</v>
      </c>
      <c r="E8658" t="s">
        <v>9124</v>
      </c>
      <c r="F8658" t="s">
        <v>9124</v>
      </c>
      <c r="G8658" s="1">
        <v>38687</v>
      </c>
      <c r="H8658" s="1">
        <v>39426</v>
      </c>
      <c r="I8658" t="s">
        <v>12</v>
      </c>
      <c r="J8658" t="s">
        <v>19428</v>
      </c>
    </row>
    <row r="8659" spans="1:10" x14ac:dyDescent="0.25">
      <c r="A8659">
        <v>3420303</v>
      </c>
      <c r="B8659" t="s">
        <v>9165</v>
      </c>
      <c r="C8659" t="str">
        <f>"9780300106367"</f>
        <v>9780300106367</v>
      </c>
      <c r="D8659" t="str">
        <f>"9780300135220"</f>
        <v>9780300135220</v>
      </c>
      <c r="E8659" t="s">
        <v>9124</v>
      </c>
      <c r="F8659" t="s">
        <v>9124</v>
      </c>
      <c r="G8659" s="1">
        <v>39234</v>
      </c>
      <c r="H8659" s="1">
        <v>39536</v>
      </c>
      <c r="I8659" t="s">
        <v>12</v>
      </c>
      <c r="J8659" t="s">
        <v>19429</v>
      </c>
    </row>
    <row r="8660" spans="1:10" x14ac:dyDescent="0.25">
      <c r="A8660">
        <v>3420337</v>
      </c>
      <c r="B8660" t="s">
        <v>9166</v>
      </c>
      <c r="C8660" t="str">
        <f>"9780300088090"</f>
        <v>9780300088090</v>
      </c>
      <c r="D8660" t="str">
        <f>"9780300133134"</f>
        <v>9780300133134</v>
      </c>
      <c r="E8660" t="s">
        <v>9124</v>
      </c>
      <c r="F8660" t="s">
        <v>9124</v>
      </c>
      <c r="G8660" s="1">
        <v>37226</v>
      </c>
      <c r="H8660" s="1">
        <v>39539</v>
      </c>
      <c r="I8660" t="s">
        <v>12</v>
      </c>
      <c r="J8660" t="s">
        <v>19430</v>
      </c>
    </row>
    <row r="8661" spans="1:10" x14ac:dyDescent="0.25">
      <c r="A8661">
        <v>3420349</v>
      </c>
      <c r="B8661" t="s">
        <v>9167</v>
      </c>
      <c r="C8661" t="str">
        <f>"9780300122008"</f>
        <v>9780300122008</v>
      </c>
      <c r="D8661" t="str">
        <f>"9780300134704"</f>
        <v>9780300134704</v>
      </c>
      <c r="E8661" t="s">
        <v>9124</v>
      </c>
      <c r="F8661" t="s">
        <v>9124</v>
      </c>
      <c r="G8661" s="1">
        <v>39213</v>
      </c>
      <c r="H8661" s="1">
        <v>39540</v>
      </c>
      <c r="I8661" t="s">
        <v>12</v>
      </c>
      <c r="J8661" t="s">
        <v>19431</v>
      </c>
    </row>
    <row r="8662" spans="1:10" x14ac:dyDescent="0.25">
      <c r="A8662">
        <v>3420357</v>
      </c>
      <c r="B8662" t="s">
        <v>9168</v>
      </c>
      <c r="C8662" t="str">
        <f>"9780300110500"</f>
        <v>9780300110500</v>
      </c>
      <c r="D8662" t="str">
        <f>"9780300134667"</f>
        <v>9780300134667</v>
      </c>
      <c r="E8662" t="s">
        <v>9124</v>
      </c>
      <c r="F8662" t="s">
        <v>9124</v>
      </c>
      <c r="G8662" s="1">
        <v>37236</v>
      </c>
      <c r="H8662" s="1">
        <v>39540</v>
      </c>
      <c r="I8662" t="s">
        <v>12</v>
      </c>
      <c r="J8662" t="s">
        <v>19432</v>
      </c>
    </row>
    <row r="8663" spans="1:10" x14ac:dyDescent="0.25">
      <c r="A8663">
        <v>3420368</v>
      </c>
      <c r="B8663" t="s">
        <v>9169</v>
      </c>
      <c r="C8663" t="str">
        <f>"9780300106190"</f>
        <v>9780300106190</v>
      </c>
      <c r="D8663" t="str">
        <f>"9780300134872"</f>
        <v>9780300134872</v>
      </c>
      <c r="E8663" t="s">
        <v>9124</v>
      </c>
      <c r="F8663" t="s">
        <v>9124</v>
      </c>
      <c r="G8663" s="1">
        <v>39175</v>
      </c>
      <c r="H8663" s="1">
        <v>39540</v>
      </c>
      <c r="I8663" t="s">
        <v>12</v>
      </c>
      <c r="J8663" t="s">
        <v>19433</v>
      </c>
    </row>
    <row r="8664" spans="1:10" x14ac:dyDescent="0.25">
      <c r="A8664">
        <v>3420385</v>
      </c>
      <c r="B8664" t="s">
        <v>9170</v>
      </c>
      <c r="C8664" t="str">
        <f>"9780300120141"</f>
        <v>9780300120141</v>
      </c>
      <c r="D8664" t="str">
        <f>"9780300135206"</f>
        <v>9780300135206</v>
      </c>
      <c r="E8664" t="s">
        <v>9124</v>
      </c>
      <c r="F8664" t="s">
        <v>9124</v>
      </c>
      <c r="G8664" s="1">
        <v>39136</v>
      </c>
      <c r="H8664" s="1">
        <v>39540</v>
      </c>
      <c r="I8664" t="s">
        <v>12</v>
      </c>
      <c r="J8664" t="s">
        <v>19434</v>
      </c>
    </row>
    <row r="8665" spans="1:10" x14ac:dyDescent="0.25">
      <c r="A8665">
        <v>3420441</v>
      </c>
      <c r="B8665" t="s">
        <v>9171</v>
      </c>
      <c r="C8665" t="str">
        <f>"9780300122794"</f>
        <v>9780300122794</v>
      </c>
      <c r="D8665" t="str">
        <f>"9780300148183"</f>
        <v>9780300148183</v>
      </c>
      <c r="E8665" t="s">
        <v>9124</v>
      </c>
      <c r="F8665" t="s">
        <v>9124</v>
      </c>
      <c r="G8665" s="1">
        <v>39633</v>
      </c>
      <c r="H8665" s="1">
        <v>40026</v>
      </c>
      <c r="I8665" t="s">
        <v>12</v>
      </c>
      <c r="J8665" t="s">
        <v>19435</v>
      </c>
    </row>
    <row r="8666" spans="1:10" x14ac:dyDescent="0.25">
      <c r="A8666">
        <v>3420452</v>
      </c>
      <c r="B8666" t="s">
        <v>9172</v>
      </c>
      <c r="C8666" t="str">
        <f>"9780300119046"</f>
        <v>9780300119046</v>
      </c>
      <c r="D8666" t="str">
        <f>"9780300148299"</f>
        <v>9780300148299</v>
      </c>
      <c r="E8666" t="s">
        <v>9124</v>
      </c>
      <c r="F8666" t="s">
        <v>9124</v>
      </c>
      <c r="G8666" s="1">
        <v>39783</v>
      </c>
      <c r="H8666" s="1">
        <v>40026</v>
      </c>
      <c r="I8666" t="s">
        <v>12</v>
      </c>
      <c r="J8666" t="s">
        <v>19436</v>
      </c>
    </row>
    <row r="8667" spans="1:10" x14ac:dyDescent="0.25">
      <c r="A8667">
        <v>3420497</v>
      </c>
      <c r="B8667" t="s">
        <v>9173</v>
      </c>
      <c r="C8667" t="str">
        <f>"9780300137316"</f>
        <v>9780300137316</v>
      </c>
      <c r="D8667" t="str">
        <f>"9780300156072"</f>
        <v>9780300156072</v>
      </c>
      <c r="E8667" t="s">
        <v>9124</v>
      </c>
      <c r="F8667" t="s">
        <v>9124</v>
      </c>
      <c r="G8667" s="1">
        <v>40148</v>
      </c>
      <c r="H8667" s="1">
        <v>40159</v>
      </c>
      <c r="I8667" t="s">
        <v>12</v>
      </c>
      <c r="J8667" t="s">
        <v>19437</v>
      </c>
    </row>
    <row r="8668" spans="1:10" x14ac:dyDescent="0.25">
      <c r="A8668">
        <v>3420525</v>
      </c>
      <c r="B8668" t="s">
        <v>9174</v>
      </c>
      <c r="C8668" t="str">
        <f>"9780300121933"</f>
        <v>9780300121933</v>
      </c>
      <c r="D8668" t="str">
        <f>"9780300156249"</f>
        <v>9780300156249</v>
      </c>
      <c r="E8668" t="s">
        <v>9124</v>
      </c>
      <c r="F8668" t="s">
        <v>9124</v>
      </c>
      <c r="G8668" s="1">
        <v>39875</v>
      </c>
      <c r="H8668" s="1">
        <v>40159</v>
      </c>
      <c r="I8668" t="s">
        <v>12</v>
      </c>
      <c r="J8668" t="s">
        <v>19438</v>
      </c>
    </row>
    <row r="8669" spans="1:10" x14ac:dyDescent="0.25">
      <c r="A8669">
        <v>3420529</v>
      </c>
      <c r="B8669" t="s">
        <v>9175</v>
      </c>
      <c r="C8669" t="str">
        <f>"9780300134407"</f>
        <v>9780300134407</v>
      </c>
      <c r="D8669" t="str">
        <f>"9780300153309"</f>
        <v>9780300153309</v>
      </c>
      <c r="E8669" t="s">
        <v>9124</v>
      </c>
      <c r="F8669" t="s">
        <v>9124</v>
      </c>
      <c r="G8669" s="1">
        <v>39828</v>
      </c>
      <c r="H8669" s="1">
        <v>40159</v>
      </c>
      <c r="I8669" t="s">
        <v>12</v>
      </c>
      <c r="J8669" t="s">
        <v>19439</v>
      </c>
    </row>
    <row r="8670" spans="1:10" x14ac:dyDescent="0.25">
      <c r="A8670">
        <v>3420531</v>
      </c>
      <c r="B8670" t="s">
        <v>9176</v>
      </c>
      <c r="C8670" t="str">
        <f>"9780300126969"</f>
        <v>9780300126969</v>
      </c>
      <c r="D8670" t="str">
        <f>"9780300145243"</f>
        <v>9780300145243</v>
      </c>
      <c r="E8670" t="s">
        <v>9124</v>
      </c>
      <c r="F8670" t="s">
        <v>9124</v>
      </c>
      <c r="G8670" s="1">
        <v>39722</v>
      </c>
      <c r="H8670" s="1">
        <v>40159</v>
      </c>
      <c r="I8670" t="s">
        <v>12</v>
      </c>
      <c r="J8670" t="s">
        <v>19440</v>
      </c>
    </row>
    <row r="8671" spans="1:10" x14ac:dyDescent="0.25">
      <c r="A8671">
        <v>3420545</v>
      </c>
      <c r="B8671" t="s">
        <v>9177</v>
      </c>
      <c r="C8671" t="str">
        <f>"9780300117554"</f>
        <v>9780300117554</v>
      </c>
      <c r="D8671" t="str">
        <f>"9780300145083"</f>
        <v>9780300145083</v>
      </c>
      <c r="E8671" t="s">
        <v>9124</v>
      </c>
      <c r="F8671" t="s">
        <v>9124</v>
      </c>
      <c r="G8671" s="1">
        <v>39581</v>
      </c>
      <c r="H8671" s="1">
        <v>40159</v>
      </c>
      <c r="I8671" t="s">
        <v>12</v>
      </c>
      <c r="J8671" t="s">
        <v>19441</v>
      </c>
    </row>
    <row r="8672" spans="1:10" x14ac:dyDescent="0.25">
      <c r="A8672">
        <v>3420549</v>
      </c>
      <c r="B8672" t="s">
        <v>9178</v>
      </c>
      <c r="C8672" t="str">
        <f>"9780300114249"</f>
        <v>9780300114249</v>
      </c>
      <c r="D8672" t="str">
        <f>"9780300142617"</f>
        <v>9780300142617</v>
      </c>
      <c r="E8672" t="s">
        <v>9124</v>
      </c>
      <c r="F8672" t="s">
        <v>9124</v>
      </c>
      <c r="G8672" s="1">
        <v>39797</v>
      </c>
      <c r="H8672" s="1">
        <v>40159</v>
      </c>
      <c r="I8672" t="s">
        <v>12</v>
      </c>
      <c r="J8672" t="s">
        <v>19442</v>
      </c>
    </row>
    <row r="8673" spans="1:10" x14ac:dyDescent="0.25">
      <c r="A8673">
        <v>3420572</v>
      </c>
      <c r="B8673" t="s">
        <v>9179</v>
      </c>
      <c r="C8673" t="str">
        <f>"9780300116496"</f>
        <v>9780300116496</v>
      </c>
      <c r="D8673" t="str">
        <f>"9780300156126"</f>
        <v>9780300156126</v>
      </c>
      <c r="E8673" t="s">
        <v>9124</v>
      </c>
      <c r="F8673" t="s">
        <v>9124</v>
      </c>
      <c r="G8673" s="1">
        <v>40148</v>
      </c>
      <c r="H8673" s="1">
        <v>40159</v>
      </c>
      <c r="I8673" t="s">
        <v>12</v>
      </c>
      <c r="J8673" t="s">
        <v>19443</v>
      </c>
    </row>
    <row r="8674" spans="1:10" x14ac:dyDescent="0.25">
      <c r="A8674">
        <v>3420580</v>
      </c>
      <c r="B8674" t="s">
        <v>9180</v>
      </c>
      <c r="C8674" t="str">
        <f>"9780300141290"</f>
        <v>9780300141290</v>
      </c>
      <c r="D8674" t="str">
        <f>"9780300159158"</f>
        <v>9780300159158</v>
      </c>
      <c r="E8674" t="s">
        <v>9124</v>
      </c>
      <c r="F8674" t="s">
        <v>9124</v>
      </c>
      <c r="G8674" s="1">
        <v>39952</v>
      </c>
      <c r="H8674" s="1">
        <v>40159</v>
      </c>
      <c r="I8674" t="s">
        <v>12</v>
      </c>
      <c r="J8674" t="s">
        <v>19444</v>
      </c>
    </row>
    <row r="8675" spans="1:10" x14ac:dyDescent="0.25">
      <c r="A8675">
        <v>3420589</v>
      </c>
      <c r="B8675" t="s">
        <v>9181</v>
      </c>
      <c r="C8675" t="str">
        <f>"9780300149241"</f>
        <v>9780300149241</v>
      </c>
      <c r="D8675" t="str">
        <f>"9780300156140"</f>
        <v>9780300156140</v>
      </c>
      <c r="E8675" t="s">
        <v>9124</v>
      </c>
      <c r="F8675" t="s">
        <v>9124</v>
      </c>
      <c r="G8675" s="1">
        <v>39904</v>
      </c>
      <c r="H8675" s="1">
        <v>40159</v>
      </c>
      <c r="I8675" t="s">
        <v>12</v>
      </c>
      <c r="J8675" t="s">
        <v>19445</v>
      </c>
    </row>
    <row r="8676" spans="1:10" x14ac:dyDescent="0.25">
      <c r="A8676">
        <v>3420645</v>
      </c>
      <c r="B8676" t="s">
        <v>9182</v>
      </c>
      <c r="C8676" t="str">
        <f>"9780300117585"</f>
        <v>9780300117585</v>
      </c>
      <c r="D8676" t="str">
        <f>"9780300154023"</f>
        <v>9780300154023</v>
      </c>
      <c r="E8676" t="s">
        <v>9124</v>
      </c>
      <c r="F8676" t="s">
        <v>9124</v>
      </c>
      <c r="G8676" s="1">
        <v>39783</v>
      </c>
      <c r="H8676" s="1">
        <v>40256</v>
      </c>
      <c r="I8676" t="s">
        <v>12</v>
      </c>
      <c r="J8676" t="s">
        <v>19446</v>
      </c>
    </row>
    <row r="8677" spans="1:10" x14ac:dyDescent="0.25">
      <c r="A8677">
        <v>3433313</v>
      </c>
      <c r="B8677" t="s">
        <v>9183</v>
      </c>
      <c r="C8677" t="str">
        <f>"9781599040028"</f>
        <v>9781599040028</v>
      </c>
      <c r="D8677" t="str">
        <f>"9781599040035"</f>
        <v>9781599040035</v>
      </c>
      <c r="E8677" t="s">
        <v>624</v>
      </c>
      <c r="F8677" t="s">
        <v>624</v>
      </c>
      <c r="G8677" s="1">
        <v>39380</v>
      </c>
      <c r="H8677" s="1">
        <v>42213</v>
      </c>
      <c r="I8677" t="s">
        <v>12</v>
      </c>
      <c r="J8677" t="s">
        <v>19447</v>
      </c>
    </row>
    <row r="8678" spans="1:10" x14ac:dyDescent="0.25">
      <c r="A8678">
        <v>3440318</v>
      </c>
      <c r="B8678" t="s">
        <v>9184</v>
      </c>
      <c r="C8678" t="str">
        <f>"9781932559026"</f>
        <v>9781932559026</v>
      </c>
      <c r="D8678" t="str">
        <f>"9781932559040"</f>
        <v>9781932559040</v>
      </c>
      <c r="E8678" t="s">
        <v>9185</v>
      </c>
      <c r="F8678" t="s">
        <v>9185</v>
      </c>
      <c r="G8678" s="1">
        <v>37939</v>
      </c>
      <c r="H8678" s="1">
        <v>42185</v>
      </c>
      <c r="I8678" t="s">
        <v>12</v>
      </c>
      <c r="J8678" t="s">
        <v>19448</v>
      </c>
    </row>
    <row r="8679" spans="1:10" x14ac:dyDescent="0.25">
      <c r="A8679">
        <v>3440352</v>
      </c>
      <c r="B8679" t="s">
        <v>9186</v>
      </c>
      <c r="C8679" t="str">
        <f>"9781932559828"</f>
        <v>9781932559828</v>
      </c>
      <c r="D8679" t="str">
        <f>"9781932559842"</f>
        <v>9781932559842</v>
      </c>
      <c r="E8679" t="s">
        <v>9185</v>
      </c>
      <c r="F8679" t="s">
        <v>9185</v>
      </c>
      <c r="G8679" s="1">
        <v>38829</v>
      </c>
      <c r="H8679" s="1">
        <v>42185</v>
      </c>
      <c r="I8679" t="s">
        <v>12</v>
      </c>
      <c r="J8679" t="s">
        <v>19449</v>
      </c>
    </row>
    <row r="8680" spans="1:10" x14ac:dyDescent="0.25">
      <c r="A8680">
        <v>3442978</v>
      </c>
      <c r="B8680" t="s">
        <v>9187</v>
      </c>
      <c r="C8680" t="str">
        <f>"9780292709119"</f>
        <v>9780292709119</v>
      </c>
      <c r="D8680" t="str">
        <f>"9780292796522"</f>
        <v>9780292796522</v>
      </c>
      <c r="E8680" t="s">
        <v>9188</v>
      </c>
      <c r="F8680" t="s">
        <v>9188</v>
      </c>
      <c r="G8680" s="1">
        <v>37591</v>
      </c>
      <c r="H8680" s="1">
        <v>39251</v>
      </c>
      <c r="I8680" t="s">
        <v>12</v>
      </c>
      <c r="J8680" t="s">
        <v>19450</v>
      </c>
    </row>
    <row r="8681" spans="1:10" x14ac:dyDescent="0.25">
      <c r="A8681">
        <v>3442990</v>
      </c>
      <c r="B8681" t="s">
        <v>9189</v>
      </c>
      <c r="C8681" t="str">
        <f>"9780292712959"</f>
        <v>9780292712959</v>
      </c>
      <c r="D8681" t="str">
        <f>"9780292795914"</f>
        <v>9780292795914</v>
      </c>
      <c r="E8681" t="s">
        <v>9188</v>
      </c>
      <c r="F8681" t="s">
        <v>9188</v>
      </c>
      <c r="G8681" s="1">
        <v>39052</v>
      </c>
      <c r="H8681" s="1">
        <v>39251</v>
      </c>
      <c r="I8681" t="s">
        <v>12</v>
      </c>
      <c r="J8681" t="s">
        <v>19451</v>
      </c>
    </row>
    <row r="8682" spans="1:10" x14ac:dyDescent="0.25">
      <c r="A8682">
        <v>3443007</v>
      </c>
      <c r="B8682" t="s">
        <v>9190</v>
      </c>
      <c r="C8682" t="str">
        <f>"9780292714946"</f>
        <v>9780292714946</v>
      </c>
      <c r="D8682" t="str">
        <f>"9780292795303"</f>
        <v>9780292795303</v>
      </c>
      <c r="E8682" t="s">
        <v>9188</v>
      </c>
      <c r="F8682" t="s">
        <v>9188</v>
      </c>
      <c r="G8682" s="1">
        <v>39417</v>
      </c>
      <c r="H8682" s="1">
        <v>39343</v>
      </c>
      <c r="I8682" t="s">
        <v>12</v>
      </c>
      <c r="J8682" t="s">
        <v>19452</v>
      </c>
    </row>
    <row r="8683" spans="1:10" x14ac:dyDescent="0.25">
      <c r="A8683">
        <v>3443014</v>
      </c>
      <c r="B8683" t="s">
        <v>9191</v>
      </c>
      <c r="C8683" t="str">
        <f>"9780292714724"</f>
        <v>9780292714724</v>
      </c>
      <c r="D8683" t="str">
        <f>"9780292795594"</f>
        <v>9780292795594</v>
      </c>
      <c r="E8683" t="s">
        <v>9188</v>
      </c>
      <c r="F8683" t="s">
        <v>9188</v>
      </c>
      <c r="G8683" s="1">
        <v>39052</v>
      </c>
      <c r="H8683" s="1">
        <v>39343</v>
      </c>
      <c r="I8683" t="s">
        <v>12</v>
      </c>
      <c r="J8683" t="s">
        <v>19453</v>
      </c>
    </row>
    <row r="8684" spans="1:10" x14ac:dyDescent="0.25">
      <c r="A8684">
        <v>3443017</v>
      </c>
      <c r="B8684" t="s">
        <v>9192</v>
      </c>
      <c r="C8684" t="str">
        <f>"9780292709232"</f>
        <v>9780292709232</v>
      </c>
      <c r="D8684" t="str">
        <f>"9780292796607"</f>
        <v>9780292796607</v>
      </c>
      <c r="E8684" t="s">
        <v>9188</v>
      </c>
      <c r="F8684" t="s">
        <v>9188</v>
      </c>
      <c r="G8684" s="1">
        <v>38687</v>
      </c>
      <c r="H8684" s="1">
        <v>39343</v>
      </c>
      <c r="I8684" t="s">
        <v>12</v>
      </c>
      <c r="J8684" t="s">
        <v>19454</v>
      </c>
    </row>
    <row r="8685" spans="1:10" x14ac:dyDescent="0.25">
      <c r="A8685">
        <v>3443021</v>
      </c>
      <c r="B8685" t="s">
        <v>9193</v>
      </c>
      <c r="C8685" t="str">
        <f>"9780292713376"</f>
        <v>9780292713376</v>
      </c>
      <c r="D8685" t="str">
        <f>"9780292795297"</f>
        <v>9780292795297</v>
      </c>
      <c r="E8685" t="s">
        <v>9188</v>
      </c>
      <c r="F8685" t="s">
        <v>9188</v>
      </c>
      <c r="G8685" s="1">
        <v>39052</v>
      </c>
      <c r="H8685" s="1">
        <v>39343</v>
      </c>
      <c r="I8685" t="s">
        <v>12</v>
      </c>
      <c r="J8685" t="s">
        <v>19455</v>
      </c>
    </row>
    <row r="8686" spans="1:10" x14ac:dyDescent="0.25">
      <c r="A8686">
        <v>3443039</v>
      </c>
      <c r="B8686" t="s">
        <v>9194</v>
      </c>
      <c r="C8686" t="str">
        <f>"9780292714779"</f>
        <v>9780292714779</v>
      </c>
      <c r="D8686" t="str">
        <f>"9780292795341"</f>
        <v>9780292795341</v>
      </c>
      <c r="E8686" t="s">
        <v>9188</v>
      </c>
      <c r="F8686" t="s">
        <v>9188</v>
      </c>
      <c r="G8686" s="1">
        <v>39417</v>
      </c>
      <c r="H8686" s="1">
        <v>39349</v>
      </c>
      <c r="I8686" t="s">
        <v>12</v>
      </c>
      <c r="J8686" t="s">
        <v>19456</v>
      </c>
    </row>
    <row r="8687" spans="1:10" x14ac:dyDescent="0.25">
      <c r="A8687">
        <v>3443097</v>
      </c>
      <c r="B8687" t="s">
        <v>9195</v>
      </c>
      <c r="C8687" t="str">
        <f>"9780292714649"</f>
        <v>9780292714649</v>
      </c>
      <c r="D8687" t="str">
        <f>"9780292795631"</f>
        <v>9780292795631</v>
      </c>
      <c r="E8687" t="s">
        <v>9188</v>
      </c>
      <c r="F8687" t="s">
        <v>9188</v>
      </c>
      <c r="G8687" s="1">
        <v>39052</v>
      </c>
      <c r="H8687" s="1">
        <v>39426</v>
      </c>
      <c r="I8687" t="s">
        <v>12</v>
      </c>
      <c r="J8687" t="s">
        <v>19457</v>
      </c>
    </row>
    <row r="8688" spans="1:10" x14ac:dyDescent="0.25">
      <c r="A8688">
        <v>3443199</v>
      </c>
      <c r="B8688" t="s">
        <v>9196</v>
      </c>
      <c r="C8688" t="str">
        <f>"9780292716278"</f>
        <v>9780292716278</v>
      </c>
      <c r="D8688" t="str">
        <f>"9780292794900"</f>
        <v>9780292794900</v>
      </c>
      <c r="E8688" t="s">
        <v>9188</v>
      </c>
      <c r="F8688" t="s">
        <v>9188</v>
      </c>
      <c r="G8688" s="1">
        <v>39417</v>
      </c>
      <c r="H8688" s="1">
        <v>39745</v>
      </c>
      <c r="I8688" t="s">
        <v>12</v>
      </c>
      <c r="J8688" t="s">
        <v>19458</v>
      </c>
    </row>
    <row r="8689" spans="1:10" x14ac:dyDescent="0.25">
      <c r="A8689">
        <v>3443217</v>
      </c>
      <c r="B8689" t="s">
        <v>9197</v>
      </c>
      <c r="C8689" t="str">
        <f>"9780292716957"</f>
        <v>9780292716957</v>
      </c>
      <c r="D8689" t="str">
        <f>"9780292794696"</f>
        <v>9780292794696</v>
      </c>
      <c r="E8689" t="s">
        <v>9188</v>
      </c>
      <c r="F8689" t="s">
        <v>9188</v>
      </c>
      <c r="G8689" s="1">
        <v>39417</v>
      </c>
      <c r="H8689" s="1">
        <v>39745</v>
      </c>
      <c r="I8689" t="s">
        <v>12</v>
      </c>
      <c r="J8689" t="s">
        <v>19459</v>
      </c>
    </row>
    <row r="8690" spans="1:10" x14ac:dyDescent="0.25">
      <c r="A8690">
        <v>3443242</v>
      </c>
      <c r="B8690" t="s">
        <v>9198</v>
      </c>
      <c r="C8690" t="str">
        <f>"9780292713345"</f>
        <v>9780292713345</v>
      </c>
      <c r="D8690" t="str">
        <f>"9780292795495"</f>
        <v>9780292795495</v>
      </c>
      <c r="E8690" t="s">
        <v>9188</v>
      </c>
      <c r="F8690" t="s">
        <v>9188</v>
      </c>
      <c r="G8690" s="1">
        <v>39417</v>
      </c>
      <c r="H8690" s="1">
        <v>39745</v>
      </c>
      <c r="I8690" t="s">
        <v>12</v>
      </c>
      <c r="J8690" t="s">
        <v>19460</v>
      </c>
    </row>
    <row r="8691" spans="1:10" x14ac:dyDescent="0.25">
      <c r="A8691">
        <v>3443246</v>
      </c>
      <c r="B8691" t="s">
        <v>9199</v>
      </c>
      <c r="C8691" t="str">
        <f>"9780292712966"</f>
        <v>9780292712966</v>
      </c>
      <c r="D8691" t="str">
        <f>"9780292794702"</f>
        <v>9780292794702</v>
      </c>
      <c r="E8691" t="s">
        <v>9188</v>
      </c>
      <c r="F8691" t="s">
        <v>9188</v>
      </c>
      <c r="G8691" s="1">
        <v>39052</v>
      </c>
      <c r="H8691" s="1">
        <v>39745</v>
      </c>
      <c r="I8691" t="s">
        <v>12</v>
      </c>
      <c r="J8691" t="s">
        <v>19461</v>
      </c>
    </row>
    <row r="8692" spans="1:10" x14ac:dyDescent="0.25">
      <c r="A8692">
        <v>3443274</v>
      </c>
      <c r="B8692" t="s">
        <v>9200</v>
      </c>
      <c r="C8692" t="str">
        <f>"9780292716971"</f>
        <v>9780292716971</v>
      </c>
      <c r="D8692" t="str">
        <f>"9780292794511"</f>
        <v>9780292794511</v>
      </c>
      <c r="E8692" t="s">
        <v>9188</v>
      </c>
      <c r="F8692" t="s">
        <v>9188</v>
      </c>
      <c r="G8692" s="1">
        <v>39783</v>
      </c>
      <c r="H8692" s="1">
        <v>39745</v>
      </c>
      <c r="I8692" t="s">
        <v>12</v>
      </c>
      <c r="J8692" t="s">
        <v>19462</v>
      </c>
    </row>
    <row r="8693" spans="1:10" x14ac:dyDescent="0.25">
      <c r="A8693">
        <v>3443293</v>
      </c>
      <c r="B8693" t="s">
        <v>9201</v>
      </c>
      <c r="C8693" t="str">
        <f>"9780292716421"</f>
        <v>9780292716421</v>
      </c>
      <c r="D8693" t="str">
        <f>"9780292795082"</f>
        <v>9780292795082</v>
      </c>
      <c r="E8693" t="s">
        <v>9188</v>
      </c>
      <c r="F8693" t="s">
        <v>9188</v>
      </c>
      <c r="G8693" s="1">
        <v>39417</v>
      </c>
      <c r="H8693" s="1">
        <v>39745</v>
      </c>
      <c r="I8693" t="s">
        <v>12</v>
      </c>
      <c r="J8693" t="s">
        <v>19463</v>
      </c>
    </row>
    <row r="8694" spans="1:10" x14ac:dyDescent="0.25">
      <c r="A8694">
        <v>3443313</v>
      </c>
      <c r="B8694" t="s">
        <v>9202</v>
      </c>
      <c r="C8694" t="str">
        <f>"9780292718104"</f>
        <v>9780292718104</v>
      </c>
      <c r="D8694" t="str">
        <f>"9780292794757"</f>
        <v>9780292794757</v>
      </c>
      <c r="E8694" t="s">
        <v>9188</v>
      </c>
      <c r="F8694" t="s">
        <v>9188</v>
      </c>
      <c r="G8694" s="1">
        <v>39783</v>
      </c>
      <c r="H8694" s="1">
        <v>39745</v>
      </c>
      <c r="I8694" t="s">
        <v>12</v>
      </c>
      <c r="J8694" t="s">
        <v>19464</v>
      </c>
    </row>
    <row r="8695" spans="1:10" x14ac:dyDescent="0.25">
      <c r="A8695">
        <v>3443324</v>
      </c>
      <c r="B8695" t="s">
        <v>9203</v>
      </c>
      <c r="C8695" t="str">
        <f>"9780292714502"</f>
        <v>9780292714502</v>
      </c>
      <c r="D8695" t="str">
        <f>"9780292794665"</f>
        <v>9780292794665</v>
      </c>
      <c r="E8695" t="s">
        <v>9188</v>
      </c>
      <c r="F8695" t="s">
        <v>9188</v>
      </c>
      <c r="G8695" s="1">
        <v>39783</v>
      </c>
      <c r="H8695" s="1">
        <v>39745</v>
      </c>
      <c r="I8695" t="s">
        <v>12</v>
      </c>
      <c r="J8695" t="s">
        <v>19465</v>
      </c>
    </row>
    <row r="8696" spans="1:10" x14ac:dyDescent="0.25">
      <c r="A8696">
        <v>3443373</v>
      </c>
      <c r="B8696" t="s">
        <v>9204</v>
      </c>
      <c r="C8696" t="str">
        <f>"9780292718623"</f>
        <v>9780292718623</v>
      </c>
      <c r="D8696" t="str">
        <f>"9780292794085"</f>
        <v>9780292794085</v>
      </c>
      <c r="E8696" t="s">
        <v>9188</v>
      </c>
      <c r="F8696" t="s">
        <v>9188</v>
      </c>
      <c r="G8696" s="1">
        <v>39783</v>
      </c>
      <c r="H8696" s="1">
        <v>39851</v>
      </c>
      <c r="I8696" t="s">
        <v>12</v>
      </c>
      <c r="J8696" t="s">
        <v>19466</v>
      </c>
    </row>
    <row r="8697" spans="1:10" x14ac:dyDescent="0.25">
      <c r="A8697">
        <v>3443378</v>
      </c>
      <c r="B8697" t="s">
        <v>9205</v>
      </c>
      <c r="C8697" t="str">
        <f>"9780292718029"</f>
        <v>9780292718029</v>
      </c>
      <c r="D8697" t="str">
        <f>"9780292794221"</f>
        <v>9780292794221</v>
      </c>
      <c r="E8697" t="s">
        <v>9188</v>
      </c>
      <c r="F8697" t="s">
        <v>9188</v>
      </c>
      <c r="G8697" s="1">
        <v>39783</v>
      </c>
      <c r="H8697" s="1">
        <v>39851</v>
      </c>
      <c r="I8697" t="s">
        <v>12</v>
      </c>
      <c r="J8697" t="s">
        <v>19467</v>
      </c>
    </row>
    <row r="8698" spans="1:10" x14ac:dyDescent="0.25">
      <c r="A8698">
        <v>3443379</v>
      </c>
      <c r="B8698" t="s">
        <v>9206</v>
      </c>
      <c r="C8698" t="str">
        <f>"9780292718258"</f>
        <v>9780292718258</v>
      </c>
      <c r="D8698" t="str">
        <f>"9780292793996"</f>
        <v>9780292793996</v>
      </c>
      <c r="E8698" t="s">
        <v>9188</v>
      </c>
      <c r="F8698" t="s">
        <v>9188</v>
      </c>
      <c r="G8698" s="1">
        <v>39783</v>
      </c>
      <c r="H8698" s="1">
        <v>39851</v>
      </c>
      <c r="I8698" t="s">
        <v>12</v>
      </c>
      <c r="J8698" t="s">
        <v>19468</v>
      </c>
    </row>
    <row r="8699" spans="1:10" x14ac:dyDescent="0.25">
      <c r="A8699">
        <v>3443382</v>
      </c>
      <c r="B8699" t="s">
        <v>9207</v>
      </c>
      <c r="C8699" t="str">
        <f>"9780292717466"</f>
        <v>9780292717466</v>
      </c>
      <c r="D8699" t="str">
        <f>"9780292794177"</f>
        <v>9780292794177</v>
      </c>
      <c r="E8699" t="s">
        <v>9188</v>
      </c>
      <c r="F8699" t="s">
        <v>9188</v>
      </c>
      <c r="G8699" s="1">
        <v>39783</v>
      </c>
      <c r="H8699" s="1">
        <v>39851</v>
      </c>
      <c r="I8699" t="s">
        <v>12</v>
      </c>
      <c r="J8699" t="s">
        <v>19469</v>
      </c>
    </row>
    <row r="8700" spans="1:10" x14ac:dyDescent="0.25">
      <c r="A8700">
        <v>3443405</v>
      </c>
      <c r="B8700" t="s">
        <v>9208</v>
      </c>
      <c r="C8700" t="str">
        <f>"9780292719231"</f>
        <v>9780292719231</v>
      </c>
      <c r="D8700" t="str">
        <f>"9780292793552"</f>
        <v>9780292793552</v>
      </c>
      <c r="E8700" t="s">
        <v>9188</v>
      </c>
      <c r="F8700" t="s">
        <v>9188</v>
      </c>
      <c r="G8700" s="1">
        <v>40148</v>
      </c>
      <c r="H8700" s="1">
        <v>39991</v>
      </c>
      <c r="I8700" t="s">
        <v>12</v>
      </c>
      <c r="J8700" t="s">
        <v>19470</v>
      </c>
    </row>
    <row r="8701" spans="1:10" x14ac:dyDescent="0.25">
      <c r="A8701">
        <v>3443426</v>
      </c>
      <c r="B8701" t="s">
        <v>9209</v>
      </c>
      <c r="C8701" t="str">
        <f>"9780292719767"</f>
        <v>9780292719767</v>
      </c>
      <c r="D8701" t="str">
        <f>"9780292799141"</f>
        <v>9780292799141</v>
      </c>
      <c r="E8701" t="s">
        <v>9188</v>
      </c>
      <c r="F8701" t="s">
        <v>9188</v>
      </c>
      <c r="G8701" s="1">
        <v>40148</v>
      </c>
      <c r="H8701" s="1">
        <v>40089</v>
      </c>
      <c r="I8701" t="s">
        <v>12</v>
      </c>
      <c r="J8701" t="s">
        <v>19471</v>
      </c>
    </row>
    <row r="8702" spans="1:10" x14ac:dyDescent="0.25">
      <c r="A8702">
        <v>3444281</v>
      </c>
      <c r="B8702" t="s">
        <v>9210</v>
      </c>
      <c r="C8702" t="str">
        <f>"9780295987378"</f>
        <v>9780295987378</v>
      </c>
      <c r="D8702" t="str">
        <f>"9780295800684"</f>
        <v>9780295800684</v>
      </c>
      <c r="E8702" t="s">
        <v>9211</v>
      </c>
      <c r="F8702" t="s">
        <v>9211</v>
      </c>
      <c r="G8702" s="1">
        <v>39356</v>
      </c>
      <c r="H8702" s="1">
        <v>40598</v>
      </c>
      <c r="I8702" t="s">
        <v>12</v>
      </c>
      <c r="J8702" t="s">
        <v>19472</v>
      </c>
    </row>
    <row r="8703" spans="1:10" x14ac:dyDescent="0.25">
      <c r="A8703">
        <v>3444419</v>
      </c>
      <c r="B8703" t="s">
        <v>9212</v>
      </c>
      <c r="C8703" t="str">
        <f>"9780295989099"</f>
        <v>9780295989099</v>
      </c>
      <c r="D8703" t="str">
        <f>"9780295800417"</f>
        <v>9780295800417</v>
      </c>
      <c r="E8703" t="s">
        <v>9211</v>
      </c>
      <c r="F8703" t="s">
        <v>9211</v>
      </c>
      <c r="G8703" s="1">
        <v>39845</v>
      </c>
      <c r="H8703" s="1">
        <v>40912</v>
      </c>
      <c r="I8703" t="s">
        <v>12</v>
      </c>
      <c r="J8703" t="s">
        <v>19473</v>
      </c>
    </row>
    <row r="8704" spans="1:10" x14ac:dyDescent="0.25">
      <c r="A8704">
        <v>3444678</v>
      </c>
      <c r="B8704" t="s">
        <v>9213</v>
      </c>
      <c r="C8704" t="str">
        <f>"9780299190804"</f>
        <v>9780299190804</v>
      </c>
      <c r="D8704" t="str">
        <f>"9780299190835"</f>
        <v>9780299190835</v>
      </c>
      <c r="E8704" t="s">
        <v>9214</v>
      </c>
      <c r="F8704" t="s">
        <v>9214</v>
      </c>
      <c r="G8704" s="1">
        <v>37958</v>
      </c>
      <c r="H8704" s="1">
        <v>39604</v>
      </c>
      <c r="I8704" t="s">
        <v>12</v>
      </c>
      <c r="J8704" t="s">
        <v>19474</v>
      </c>
    </row>
    <row r="8705" spans="1:10" x14ac:dyDescent="0.25">
      <c r="A8705">
        <v>3444683</v>
      </c>
      <c r="B8705" t="s">
        <v>9215</v>
      </c>
      <c r="C8705" t="str">
        <f>"9780299179700"</f>
        <v>9780299179700</v>
      </c>
      <c r="D8705" t="str">
        <f>"9780299179731"</f>
        <v>9780299179731</v>
      </c>
      <c r="E8705" t="s">
        <v>9214</v>
      </c>
      <c r="F8705" t="s">
        <v>9214</v>
      </c>
      <c r="G8705" s="1">
        <v>37503</v>
      </c>
      <c r="H8705" s="1">
        <v>39581</v>
      </c>
      <c r="I8705" t="s">
        <v>12</v>
      </c>
      <c r="J8705" t="s">
        <v>19475</v>
      </c>
    </row>
    <row r="8706" spans="1:10" x14ac:dyDescent="0.25">
      <c r="A8706">
        <v>3444691</v>
      </c>
      <c r="B8706" t="s">
        <v>9216</v>
      </c>
      <c r="C8706" t="str">
        <f>"9780299116606"</f>
        <v>9780299116606</v>
      </c>
      <c r="D8706" t="str">
        <f>"9780299116637"</f>
        <v>9780299116637</v>
      </c>
      <c r="E8706" t="s">
        <v>9214</v>
      </c>
      <c r="F8706" t="s">
        <v>9214</v>
      </c>
      <c r="G8706" s="1">
        <v>32217</v>
      </c>
      <c r="H8706" s="1">
        <v>39604</v>
      </c>
      <c r="I8706" t="s">
        <v>12</v>
      </c>
      <c r="J8706" t="s">
        <v>19476</v>
      </c>
    </row>
    <row r="8707" spans="1:10" x14ac:dyDescent="0.25">
      <c r="A8707">
        <v>3444692</v>
      </c>
      <c r="B8707" t="s">
        <v>9217</v>
      </c>
      <c r="C8707" t="str">
        <f>"9780299188306"</f>
        <v>9780299188306</v>
      </c>
      <c r="D8707" t="str">
        <f>"9780299188337"</f>
        <v>9780299188337</v>
      </c>
      <c r="E8707" t="s">
        <v>9214</v>
      </c>
      <c r="F8707" t="s">
        <v>9214</v>
      </c>
      <c r="G8707" s="1">
        <v>38078</v>
      </c>
      <c r="H8707" s="1">
        <v>39581</v>
      </c>
      <c r="I8707" t="s">
        <v>12</v>
      </c>
      <c r="J8707" t="s">
        <v>19477</v>
      </c>
    </row>
    <row r="8708" spans="1:10" x14ac:dyDescent="0.25">
      <c r="A8708">
        <v>3444700</v>
      </c>
      <c r="B8708" t="s">
        <v>9218</v>
      </c>
      <c r="C8708" t="str">
        <f>"9780299216900"</f>
        <v>9780299216900</v>
      </c>
      <c r="D8708" t="str">
        <f>"9780299216931"</f>
        <v>9780299216931</v>
      </c>
      <c r="E8708" t="s">
        <v>9214</v>
      </c>
      <c r="F8708" t="s">
        <v>9214</v>
      </c>
      <c r="G8708" s="1">
        <v>38757</v>
      </c>
      <c r="H8708" s="1">
        <v>39581</v>
      </c>
      <c r="I8708" t="s">
        <v>12</v>
      </c>
      <c r="J8708" t="s">
        <v>19478</v>
      </c>
    </row>
    <row r="8709" spans="1:10" x14ac:dyDescent="0.25">
      <c r="A8709">
        <v>3444705</v>
      </c>
      <c r="B8709" t="s">
        <v>9219</v>
      </c>
      <c r="C8709" t="str">
        <f>"9780299186944"</f>
        <v>9780299186944</v>
      </c>
      <c r="D8709" t="str">
        <f>"9780299186937"</f>
        <v>9780299186937</v>
      </c>
      <c r="E8709" t="s">
        <v>9214</v>
      </c>
      <c r="F8709" t="s">
        <v>9214</v>
      </c>
      <c r="G8709" s="1">
        <v>37698</v>
      </c>
      <c r="H8709" s="1">
        <v>39581</v>
      </c>
      <c r="I8709" t="s">
        <v>12</v>
      </c>
      <c r="J8709" t="s">
        <v>19479</v>
      </c>
    </row>
    <row r="8710" spans="1:10" x14ac:dyDescent="0.25">
      <c r="A8710">
        <v>3444707</v>
      </c>
      <c r="B8710" t="s">
        <v>9220</v>
      </c>
      <c r="C8710" t="str">
        <f>"9780299219000"</f>
        <v>9780299219000</v>
      </c>
      <c r="D8710" t="str">
        <f>"9780299219031"</f>
        <v>9780299219031</v>
      </c>
      <c r="E8710" t="s">
        <v>9214</v>
      </c>
      <c r="F8710" t="s">
        <v>9214</v>
      </c>
      <c r="G8710" s="1">
        <v>38888</v>
      </c>
      <c r="H8710" s="1">
        <v>39604</v>
      </c>
      <c r="I8710" t="s">
        <v>12</v>
      </c>
      <c r="J8710" t="s">
        <v>19480</v>
      </c>
    </row>
    <row r="8711" spans="1:10" x14ac:dyDescent="0.25">
      <c r="A8711">
        <v>3444719</v>
      </c>
      <c r="B8711" t="s">
        <v>9221</v>
      </c>
      <c r="C8711" t="str">
        <f>"9780299183608"</f>
        <v>9780299183608</v>
      </c>
      <c r="D8711" t="str">
        <f>"9780299183639"</f>
        <v>9780299183639</v>
      </c>
      <c r="E8711" t="s">
        <v>9214</v>
      </c>
      <c r="F8711" t="s">
        <v>9214</v>
      </c>
      <c r="G8711" s="1">
        <v>37900</v>
      </c>
      <c r="H8711" s="1">
        <v>39581</v>
      </c>
      <c r="I8711" t="s">
        <v>12</v>
      </c>
      <c r="J8711" t="s">
        <v>19481</v>
      </c>
    </row>
    <row r="8712" spans="1:10" x14ac:dyDescent="0.25">
      <c r="A8712">
        <v>3444727</v>
      </c>
      <c r="B8712" t="s">
        <v>9222</v>
      </c>
      <c r="C8712" t="str">
        <f>"9780299194840"</f>
        <v>9780299194840</v>
      </c>
      <c r="D8712" t="str">
        <f>"9780299194833"</f>
        <v>9780299194833</v>
      </c>
      <c r="E8712" t="s">
        <v>9214</v>
      </c>
      <c r="F8712" t="s">
        <v>9214</v>
      </c>
      <c r="G8712" s="1">
        <v>38041</v>
      </c>
      <c r="H8712" s="1">
        <v>39772</v>
      </c>
      <c r="I8712" t="s">
        <v>12</v>
      </c>
      <c r="J8712" t="s">
        <v>19482</v>
      </c>
    </row>
    <row r="8713" spans="1:10" x14ac:dyDescent="0.25">
      <c r="A8713">
        <v>3444729</v>
      </c>
      <c r="B8713" t="s">
        <v>9223</v>
      </c>
      <c r="C8713" t="str">
        <f>"9780299189242"</f>
        <v>9780299189242</v>
      </c>
      <c r="D8713" t="str">
        <f>"9780299189235"</f>
        <v>9780299189235</v>
      </c>
      <c r="E8713" t="s">
        <v>9214</v>
      </c>
      <c r="F8713" t="s">
        <v>9214</v>
      </c>
      <c r="G8713" s="1">
        <v>38104</v>
      </c>
      <c r="H8713" s="1">
        <v>39581</v>
      </c>
      <c r="I8713" t="s">
        <v>12</v>
      </c>
      <c r="J8713" t="s">
        <v>19483</v>
      </c>
    </row>
    <row r="8714" spans="1:10" x14ac:dyDescent="0.25">
      <c r="A8714">
        <v>3444750</v>
      </c>
      <c r="B8714" t="s">
        <v>9224</v>
      </c>
      <c r="C8714" t="str">
        <f>"9780299217945"</f>
        <v>9780299217945</v>
      </c>
      <c r="D8714" t="str">
        <f>"9780299217938"</f>
        <v>9780299217938</v>
      </c>
      <c r="E8714" t="s">
        <v>9214</v>
      </c>
      <c r="F8714" t="s">
        <v>9214</v>
      </c>
      <c r="G8714" s="1">
        <v>38943</v>
      </c>
      <c r="H8714" s="1">
        <v>39604</v>
      </c>
      <c r="I8714" t="s">
        <v>12</v>
      </c>
      <c r="J8714" t="s">
        <v>19484</v>
      </c>
    </row>
    <row r="8715" spans="1:10" x14ac:dyDescent="0.25">
      <c r="A8715">
        <v>3444756</v>
      </c>
      <c r="B8715" t="s">
        <v>9225</v>
      </c>
      <c r="C8715" t="str">
        <f>"9780299220006"</f>
        <v>9780299220006</v>
      </c>
      <c r="D8715" t="str">
        <f>"9780299220037"</f>
        <v>9780299220037</v>
      </c>
      <c r="E8715" t="s">
        <v>9214</v>
      </c>
      <c r="F8715" t="s">
        <v>9214</v>
      </c>
      <c r="G8715" s="1">
        <v>38987</v>
      </c>
      <c r="H8715" s="1">
        <v>39604</v>
      </c>
      <c r="I8715" t="s">
        <v>12</v>
      </c>
      <c r="J8715" t="s">
        <v>19485</v>
      </c>
    </row>
    <row r="8716" spans="1:10" x14ac:dyDescent="0.25">
      <c r="A8716">
        <v>3444760</v>
      </c>
      <c r="B8716" t="s">
        <v>9226</v>
      </c>
      <c r="C8716" t="str">
        <f>"9780299201203"</f>
        <v>9780299201203</v>
      </c>
      <c r="D8716" t="str">
        <f>"9780299201234"</f>
        <v>9780299201234</v>
      </c>
      <c r="E8716" t="s">
        <v>9214</v>
      </c>
      <c r="F8716" t="s">
        <v>9214</v>
      </c>
      <c r="G8716" s="1">
        <v>38295</v>
      </c>
      <c r="H8716" s="1">
        <v>39604</v>
      </c>
      <c r="I8716" t="s">
        <v>12</v>
      </c>
      <c r="J8716" t="s">
        <v>19486</v>
      </c>
    </row>
    <row r="8717" spans="1:10" x14ac:dyDescent="0.25">
      <c r="A8717">
        <v>3444780</v>
      </c>
      <c r="B8717" t="s">
        <v>9227</v>
      </c>
      <c r="C8717" t="str">
        <f>"9780299178741"</f>
        <v>9780299178741</v>
      </c>
      <c r="D8717" t="str">
        <f>"9780299178734"</f>
        <v>9780299178734</v>
      </c>
      <c r="E8717" t="s">
        <v>9214</v>
      </c>
      <c r="F8717" t="s">
        <v>9214</v>
      </c>
      <c r="G8717" s="1">
        <v>37377</v>
      </c>
      <c r="H8717" s="1">
        <v>39788</v>
      </c>
      <c r="I8717" t="s">
        <v>12</v>
      </c>
      <c r="J8717" t="s">
        <v>19487</v>
      </c>
    </row>
    <row r="8718" spans="1:10" x14ac:dyDescent="0.25">
      <c r="A8718">
        <v>3444789</v>
      </c>
      <c r="B8718" t="s">
        <v>9228</v>
      </c>
      <c r="C8718" t="str">
        <f>"9780299192846"</f>
        <v>9780299192846</v>
      </c>
      <c r="D8718" t="str">
        <f>"9780299192839"</f>
        <v>9780299192839</v>
      </c>
      <c r="E8718" t="s">
        <v>9214</v>
      </c>
      <c r="F8718" t="s">
        <v>9214</v>
      </c>
      <c r="G8718" s="1">
        <v>37910</v>
      </c>
      <c r="H8718" s="1">
        <v>39788</v>
      </c>
      <c r="I8718" t="s">
        <v>12</v>
      </c>
      <c r="J8718" t="s">
        <v>19488</v>
      </c>
    </row>
    <row r="8719" spans="1:10" x14ac:dyDescent="0.25">
      <c r="A8719">
        <v>3444799</v>
      </c>
      <c r="B8719" t="s">
        <v>9229</v>
      </c>
      <c r="C8719" t="str">
        <f>"9780299218546"</f>
        <v>9780299218546</v>
      </c>
      <c r="D8719" t="str">
        <f>"9780299218539"</f>
        <v>9780299218539</v>
      </c>
      <c r="E8719" t="s">
        <v>9214</v>
      </c>
      <c r="F8719" t="s">
        <v>9214</v>
      </c>
      <c r="G8719" s="1">
        <v>39092</v>
      </c>
      <c r="H8719" s="1">
        <v>39871</v>
      </c>
      <c r="I8719" t="s">
        <v>12</v>
      </c>
      <c r="J8719" t="s">
        <v>19489</v>
      </c>
    </row>
    <row r="8720" spans="1:10" x14ac:dyDescent="0.25">
      <c r="A8720">
        <v>3444803</v>
      </c>
      <c r="B8720" t="s">
        <v>9230</v>
      </c>
      <c r="C8720" t="str">
        <f>"9780299224004"</f>
        <v>9780299224004</v>
      </c>
      <c r="D8720" t="str">
        <f>"9780299224035"</f>
        <v>9780299224035</v>
      </c>
      <c r="E8720" t="s">
        <v>9214</v>
      </c>
      <c r="F8720" t="s">
        <v>9214</v>
      </c>
      <c r="G8720" s="1">
        <v>39426</v>
      </c>
      <c r="H8720" s="1">
        <v>39879</v>
      </c>
      <c r="I8720" t="s">
        <v>12</v>
      </c>
      <c r="J8720" t="s">
        <v>19490</v>
      </c>
    </row>
    <row r="8721" spans="1:10" x14ac:dyDescent="0.25">
      <c r="A8721">
        <v>3444805</v>
      </c>
      <c r="B8721" t="s">
        <v>9231</v>
      </c>
      <c r="C8721" t="str">
        <f>"9780299221546"</f>
        <v>9780299221546</v>
      </c>
      <c r="D8721" t="str">
        <f>"9780299221539"</f>
        <v>9780299221539</v>
      </c>
      <c r="E8721" t="s">
        <v>9214</v>
      </c>
      <c r="F8721" t="s">
        <v>9214</v>
      </c>
      <c r="G8721" s="1">
        <v>39171</v>
      </c>
      <c r="H8721" s="1">
        <v>39879</v>
      </c>
      <c r="I8721" t="s">
        <v>12</v>
      </c>
      <c r="J8721" t="s">
        <v>19491</v>
      </c>
    </row>
    <row r="8722" spans="1:10" x14ac:dyDescent="0.25">
      <c r="A8722">
        <v>3444811</v>
      </c>
      <c r="B8722" t="s">
        <v>9232</v>
      </c>
      <c r="C8722" t="str">
        <f>"9780299219307"</f>
        <v>9780299219307</v>
      </c>
      <c r="D8722" t="str">
        <f>"9780299219338"</f>
        <v>9780299219338</v>
      </c>
      <c r="E8722" t="s">
        <v>9214</v>
      </c>
      <c r="F8722" t="s">
        <v>9214</v>
      </c>
      <c r="G8722" s="1">
        <v>38960</v>
      </c>
      <c r="H8722" s="1">
        <v>39879</v>
      </c>
      <c r="I8722" t="s">
        <v>12</v>
      </c>
      <c r="J8722" t="s">
        <v>19492</v>
      </c>
    </row>
    <row r="8723" spans="1:10" x14ac:dyDescent="0.25">
      <c r="A8723">
        <v>3444820</v>
      </c>
      <c r="B8723" t="s">
        <v>9233</v>
      </c>
      <c r="C8723" t="str">
        <f>"9780299216344"</f>
        <v>9780299216344</v>
      </c>
      <c r="D8723" t="str">
        <f>"9780299216337"</f>
        <v>9780299216337</v>
      </c>
      <c r="E8723" t="s">
        <v>9214</v>
      </c>
      <c r="F8723" t="s">
        <v>9214</v>
      </c>
      <c r="G8723" s="1">
        <v>38877</v>
      </c>
      <c r="H8723" s="1">
        <v>39914</v>
      </c>
      <c r="I8723" t="s">
        <v>12</v>
      </c>
      <c r="J8723" t="s">
        <v>19493</v>
      </c>
    </row>
    <row r="8724" spans="1:10" x14ac:dyDescent="0.25">
      <c r="A8724">
        <v>3444824</v>
      </c>
      <c r="B8724" t="s">
        <v>9234</v>
      </c>
      <c r="C8724" t="str">
        <f>"9780299222802"</f>
        <v>9780299222802</v>
      </c>
      <c r="D8724" t="str">
        <f>"9780299222833"</f>
        <v>9780299222833</v>
      </c>
      <c r="E8724" t="s">
        <v>9214</v>
      </c>
      <c r="F8724" t="s">
        <v>9214</v>
      </c>
      <c r="G8724" s="1">
        <v>39183</v>
      </c>
      <c r="H8724" s="1">
        <v>39914</v>
      </c>
      <c r="I8724" t="s">
        <v>12</v>
      </c>
      <c r="J8724" t="s">
        <v>19494</v>
      </c>
    </row>
    <row r="8725" spans="1:10" x14ac:dyDescent="0.25">
      <c r="A8725">
        <v>3444843</v>
      </c>
      <c r="B8725" t="s">
        <v>9235</v>
      </c>
      <c r="C8725" t="str">
        <f>"9780299232047"</f>
        <v>9780299232047</v>
      </c>
      <c r="D8725" t="str">
        <f>"9780299232030"</f>
        <v>9780299232030</v>
      </c>
      <c r="E8725" t="s">
        <v>9214</v>
      </c>
      <c r="F8725" t="s">
        <v>9214</v>
      </c>
      <c r="G8725" s="1">
        <v>39850</v>
      </c>
      <c r="H8725" s="1">
        <v>40026</v>
      </c>
      <c r="I8725" t="s">
        <v>12</v>
      </c>
      <c r="J8725" t="s">
        <v>19495</v>
      </c>
    </row>
    <row r="8726" spans="1:10" x14ac:dyDescent="0.25">
      <c r="A8726">
        <v>3444849</v>
      </c>
      <c r="B8726" t="s">
        <v>9236</v>
      </c>
      <c r="C8726" t="str">
        <f>"9780299230944"</f>
        <v>9780299230944</v>
      </c>
      <c r="D8726" t="str">
        <f>"9780299230937"</f>
        <v>9780299230937</v>
      </c>
      <c r="E8726" t="s">
        <v>9214</v>
      </c>
      <c r="F8726" t="s">
        <v>9214</v>
      </c>
      <c r="G8726" s="1">
        <v>39888</v>
      </c>
      <c r="H8726" s="1">
        <v>40026</v>
      </c>
      <c r="I8726" t="s">
        <v>12</v>
      </c>
      <c r="J8726" t="s">
        <v>19496</v>
      </c>
    </row>
    <row r="8727" spans="1:10" x14ac:dyDescent="0.25">
      <c r="A8727">
        <v>3444852</v>
      </c>
      <c r="B8727" t="s">
        <v>9237</v>
      </c>
      <c r="C8727" t="str">
        <f>"9780299191443"</f>
        <v>9780299191443</v>
      </c>
      <c r="D8727" t="str">
        <f>"9780299191436"</f>
        <v>9780299191436</v>
      </c>
      <c r="E8727" t="s">
        <v>9214</v>
      </c>
      <c r="F8727" t="s">
        <v>9214</v>
      </c>
      <c r="G8727" s="1">
        <v>37889</v>
      </c>
      <c r="H8727" s="1">
        <v>40026</v>
      </c>
      <c r="I8727" t="s">
        <v>12</v>
      </c>
      <c r="J8727" t="s">
        <v>19497</v>
      </c>
    </row>
    <row r="8728" spans="1:10" x14ac:dyDescent="0.25">
      <c r="A8728">
        <v>3444855</v>
      </c>
      <c r="B8728" t="s">
        <v>9238</v>
      </c>
      <c r="C8728" t="str">
        <f>"9780299192044"</f>
        <v>9780299192044</v>
      </c>
      <c r="D8728" t="str">
        <f>"9780299192037"</f>
        <v>9780299192037</v>
      </c>
      <c r="E8728" t="s">
        <v>9214</v>
      </c>
      <c r="F8728" t="s">
        <v>9214</v>
      </c>
      <c r="G8728" s="1">
        <v>37956</v>
      </c>
      <c r="H8728" s="1">
        <v>40026</v>
      </c>
      <c r="I8728" t="s">
        <v>12</v>
      </c>
      <c r="J8728" t="s">
        <v>19498</v>
      </c>
    </row>
    <row r="8729" spans="1:10" x14ac:dyDescent="0.25">
      <c r="A8729">
        <v>3444866</v>
      </c>
      <c r="B8729" t="s">
        <v>9239</v>
      </c>
      <c r="C8729" t="str">
        <f>"9780299191740"</f>
        <v>9780299191740</v>
      </c>
      <c r="D8729" t="str">
        <f>"9780299191733"</f>
        <v>9780299191733</v>
      </c>
      <c r="E8729" t="s">
        <v>9214</v>
      </c>
      <c r="F8729" t="s">
        <v>9214</v>
      </c>
      <c r="G8729" s="1">
        <v>38071</v>
      </c>
      <c r="H8729" s="1">
        <v>40026</v>
      </c>
      <c r="I8729" t="s">
        <v>12</v>
      </c>
      <c r="J8729" t="s">
        <v>19499</v>
      </c>
    </row>
    <row r="8730" spans="1:10" x14ac:dyDescent="0.25">
      <c r="A8730">
        <v>3444867</v>
      </c>
      <c r="B8730" t="s">
        <v>9240</v>
      </c>
      <c r="C8730" t="str">
        <f>"9780299222604"</f>
        <v>9780299222604</v>
      </c>
      <c r="D8730" t="str">
        <f>"9780299222635"</f>
        <v>9780299222635</v>
      </c>
      <c r="E8730" t="s">
        <v>9214</v>
      </c>
      <c r="F8730" t="s">
        <v>9214</v>
      </c>
      <c r="G8730" s="1">
        <v>39125</v>
      </c>
      <c r="H8730" s="1">
        <v>40054</v>
      </c>
      <c r="I8730" t="s">
        <v>12</v>
      </c>
      <c r="J8730" t="s">
        <v>19500</v>
      </c>
    </row>
    <row r="8731" spans="1:10" x14ac:dyDescent="0.25">
      <c r="A8731">
        <v>3562432</v>
      </c>
      <c r="B8731" t="s">
        <v>9241</v>
      </c>
      <c r="C8731" t="str">
        <f>"9781931644655"</f>
        <v>9781931644655</v>
      </c>
      <c r="D8731" t="str">
        <f>"9781931644723"</f>
        <v>9781931644723</v>
      </c>
      <c r="E8731" t="s">
        <v>3668</v>
      </c>
      <c r="F8731" t="s">
        <v>3668</v>
      </c>
      <c r="G8731" s="1">
        <v>39602</v>
      </c>
      <c r="H8731" s="1">
        <v>39654</v>
      </c>
      <c r="I8731" t="s">
        <v>12</v>
      </c>
      <c r="J8731" t="s">
        <v>19501</v>
      </c>
    </row>
    <row r="8732" spans="1:10" x14ac:dyDescent="0.25">
      <c r="A8732">
        <v>3562904</v>
      </c>
      <c r="B8732" t="s">
        <v>9242</v>
      </c>
      <c r="C8732" t="str">
        <f>"9780750682473"</f>
        <v>9780750682473</v>
      </c>
      <c r="D8732" t="str">
        <f>"9780080471488"</f>
        <v>9780080471488</v>
      </c>
      <c r="E8732" t="s">
        <v>16</v>
      </c>
      <c r="F8732" t="s">
        <v>16</v>
      </c>
      <c r="G8732" s="1">
        <v>39136</v>
      </c>
      <c r="H8732" s="1">
        <v>39189</v>
      </c>
      <c r="I8732" t="s">
        <v>12</v>
      </c>
      <c r="J8732" t="s">
        <v>19502</v>
      </c>
    </row>
    <row r="8733" spans="1:10" x14ac:dyDescent="0.25">
      <c r="A8733">
        <v>3563182</v>
      </c>
      <c r="B8733" t="s">
        <v>9243</v>
      </c>
      <c r="C8733" t="str">
        <f>"9780292716612"</f>
        <v>9780292716612</v>
      </c>
      <c r="D8733" t="str">
        <f>"9780292794634"</f>
        <v>9780292794634</v>
      </c>
      <c r="E8733" t="s">
        <v>9188</v>
      </c>
      <c r="F8733" t="s">
        <v>9188</v>
      </c>
      <c r="G8733" s="1">
        <v>39783</v>
      </c>
      <c r="H8733" s="1">
        <v>39745</v>
      </c>
      <c r="I8733" t="s">
        <v>12</v>
      </c>
      <c r="J8733" t="s">
        <v>19503</v>
      </c>
    </row>
    <row r="8734" spans="1:10" x14ac:dyDescent="0.25">
      <c r="A8734">
        <v>3563623</v>
      </c>
      <c r="B8734" t="s">
        <v>9244</v>
      </c>
      <c r="C8734" t="str">
        <f>"9781845415136"</f>
        <v>9781845415136</v>
      </c>
      <c r="D8734" t="str">
        <f>"9781845415143"</f>
        <v>9781845415143</v>
      </c>
      <c r="E8734" t="s">
        <v>886</v>
      </c>
      <c r="F8734" t="s">
        <v>886</v>
      </c>
      <c r="G8734" s="1">
        <v>42157</v>
      </c>
      <c r="H8734" s="1">
        <v>42147</v>
      </c>
      <c r="I8734" t="s">
        <v>12</v>
      </c>
      <c r="J8734" t="s">
        <v>19504</v>
      </c>
    </row>
    <row r="8735" spans="1:10" x14ac:dyDescent="0.25">
      <c r="A8735">
        <v>3563630</v>
      </c>
      <c r="B8735" t="s">
        <v>9245</v>
      </c>
      <c r="C8735" t="str">
        <f>"9781845415280"</f>
        <v>9781845415280</v>
      </c>
      <c r="D8735" t="str">
        <f>"9781845415297"</f>
        <v>9781845415297</v>
      </c>
      <c r="E8735" t="s">
        <v>886</v>
      </c>
      <c r="F8735" t="s">
        <v>886</v>
      </c>
      <c r="G8735" s="1">
        <v>42191</v>
      </c>
      <c r="H8735" s="1">
        <v>42198</v>
      </c>
      <c r="I8735" t="s">
        <v>12</v>
      </c>
      <c r="J8735" t="s">
        <v>19505</v>
      </c>
    </row>
    <row r="8736" spans="1:10" x14ac:dyDescent="0.25">
      <c r="A8736">
        <v>3564093</v>
      </c>
      <c r="B8736" t="s">
        <v>9246</v>
      </c>
      <c r="C8736" t="str">
        <f>"9780309100328"</f>
        <v>9780309100328</v>
      </c>
      <c r="D8736" t="str">
        <f>"9780309654180"</f>
        <v>9780309654180</v>
      </c>
      <c r="E8736" t="s">
        <v>8939</v>
      </c>
      <c r="F8736" t="s">
        <v>8939</v>
      </c>
      <c r="G8736" s="1">
        <v>38905</v>
      </c>
      <c r="H8736" s="1">
        <v>38959</v>
      </c>
      <c r="I8736" t="s">
        <v>12</v>
      </c>
      <c r="J8736" t="s">
        <v>19506</v>
      </c>
    </row>
    <row r="8737" spans="1:10" x14ac:dyDescent="0.25">
      <c r="A8737">
        <v>3564096</v>
      </c>
      <c r="B8737" t="s">
        <v>9247</v>
      </c>
      <c r="C8737" t="str">
        <f>"9780309102032"</f>
        <v>9780309102032</v>
      </c>
      <c r="D8737" t="str">
        <f>"9780309660549"</f>
        <v>9780309660549</v>
      </c>
      <c r="E8737" t="s">
        <v>8939</v>
      </c>
      <c r="F8737" t="s">
        <v>8939</v>
      </c>
      <c r="G8737" s="1">
        <v>39053</v>
      </c>
      <c r="H8737" s="1">
        <v>39108</v>
      </c>
      <c r="I8737" t="s">
        <v>12</v>
      </c>
      <c r="J8737" t="s">
        <v>19507</v>
      </c>
    </row>
    <row r="8738" spans="1:10" x14ac:dyDescent="0.25">
      <c r="A8738">
        <v>3564122</v>
      </c>
      <c r="B8738" t="s">
        <v>9248</v>
      </c>
      <c r="C8738" t="str">
        <f>"9780309104944"</f>
        <v>9780309104944</v>
      </c>
      <c r="D8738" t="str">
        <f>"9780309669399"</f>
        <v>9780309669399</v>
      </c>
      <c r="E8738" t="s">
        <v>8939</v>
      </c>
      <c r="F8738" t="s">
        <v>8939</v>
      </c>
      <c r="G8738" s="1">
        <v>39312</v>
      </c>
      <c r="H8738" s="1">
        <v>39319</v>
      </c>
      <c r="I8738" t="s">
        <v>12</v>
      </c>
      <c r="J8738" t="s">
        <v>19508</v>
      </c>
    </row>
    <row r="8739" spans="1:10" x14ac:dyDescent="0.25">
      <c r="A8739">
        <v>3564127</v>
      </c>
      <c r="B8739" t="s">
        <v>9249</v>
      </c>
      <c r="C8739" t="str">
        <f>"9780309103992"</f>
        <v>9780309103992</v>
      </c>
      <c r="D8739" t="str">
        <f>"9780309667654"</f>
        <v>9780309667654</v>
      </c>
      <c r="E8739" t="s">
        <v>8939</v>
      </c>
      <c r="F8739" t="s">
        <v>8939</v>
      </c>
      <c r="G8739" s="1">
        <v>39324</v>
      </c>
      <c r="H8739" s="1">
        <v>39421</v>
      </c>
      <c r="I8739" t="s">
        <v>12</v>
      </c>
      <c r="J8739" t="s">
        <v>19509</v>
      </c>
    </row>
    <row r="8740" spans="1:10" x14ac:dyDescent="0.25">
      <c r="A8740">
        <v>3571675</v>
      </c>
      <c r="B8740" t="s">
        <v>9250</v>
      </c>
      <c r="C8740" t="str">
        <f>"9780292709485"</f>
        <v>9780292709485</v>
      </c>
      <c r="D8740" t="str">
        <f>"9780292796638"</f>
        <v>9780292796638</v>
      </c>
      <c r="E8740" t="s">
        <v>9188</v>
      </c>
      <c r="F8740" t="s">
        <v>9188</v>
      </c>
      <c r="G8740" s="1">
        <v>38687</v>
      </c>
      <c r="H8740" s="1">
        <v>39349</v>
      </c>
      <c r="I8740" t="s">
        <v>12</v>
      </c>
      <c r="J8740" t="s">
        <v>19510</v>
      </c>
    </row>
    <row r="8741" spans="1:10" x14ac:dyDescent="0.25">
      <c r="A8741">
        <v>3571689</v>
      </c>
      <c r="B8741" t="s">
        <v>9251</v>
      </c>
      <c r="C8741" t="str">
        <f>"9780292709843"</f>
        <v>9780292709843</v>
      </c>
      <c r="D8741" t="str">
        <f>"9780292796102"</f>
        <v>9780292796102</v>
      </c>
      <c r="E8741" t="s">
        <v>9188</v>
      </c>
      <c r="F8741" t="s">
        <v>9188</v>
      </c>
      <c r="G8741" s="1">
        <v>39052</v>
      </c>
      <c r="H8741" s="1">
        <v>39349</v>
      </c>
      <c r="I8741" t="s">
        <v>12</v>
      </c>
      <c r="J8741" t="s">
        <v>19511</v>
      </c>
    </row>
    <row r="8742" spans="1:10" x14ac:dyDescent="0.25">
      <c r="A8742">
        <v>3571697</v>
      </c>
      <c r="B8742" t="s">
        <v>9252</v>
      </c>
      <c r="C8742" t="str">
        <f>"9780292712942"</f>
        <v>9780292712942</v>
      </c>
      <c r="D8742" t="str">
        <f>"9780292795860"</f>
        <v>9780292795860</v>
      </c>
      <c r="E8742" t="s">
        <v>9188</v>
      </c>
      <c r="F8742" t="s">
        <v>9188</v>
      </c>
      <c r="G8742" s="1">
        <v>39052</v>
      </c>
      <c r="H8742" s="1">
        <v>39378</v>
      </c>
      <c r="I8742" t="s">
        <v>12</v>
      </c>
      <c r="J8742" t="s">
        <v>19512</v>
      </c>
    </row>
    <row r="8743" spans="1:10" x14ac:dyDescent="0.25">
      <c r="A8743">
        <v>3571717</v>
      </c>
      <c r="B8743" t="s">
        <v>9253</v>
      </c>
      <c r="C8743" t="str">
        <f>"9780292714434"</f>
        <v>9780292714434</v>
      </c>
      <c r="D8743" t="str">
        <f>"9780292795518"</f>
        <v>9780292795518</v>
      </c>
      <c r="E8743" t="s">
        <v>9188</v>
      </c>
      <c r="F8743" t="s">
        <v>9188</v>
      </c>
      <c r="G8743" s="1">
        <v>39417</v>
      </c>
      <c r="H8743" s="1">
        <v>39745</v>
      </c>
      <c r="I8743" t="s">
        <v>12</v>
      </c>
      <c r="J8743" t="s">
        <v>19513</v>
      </c>
    </row>
    <row r="8744" spans="1:10" x14ac:dyDescent="0.25">
      <c r="A8744">
        <v>4000368</v>
      </c>
      <c r="B8744" t="s">
        <v>9254</v>
      </c>
      <c r="C8744" t="str">
        <f>"9781472913685"</f>
        <v>9781472913685</v>
      </c>
      <c r="D8744" t="str">
        <f>"9781472913715"</f>
        <v>9781472913715</v>
      </c>
      <c r="E8744" t="s">
        <v>4180</v>
      </c>
      <c r="F8744" t="s">
        <v>9255</v>
      </c>
      <c r="G8744" s="1">
        <v>42649</v>
      </c>
      <c r="H8744" s="1">
        <v>42286</v>
      </c>
      <c r="I8744" t="s">
        <v>12</v>
      </c>
      <c r="J8744" t="s">
        <v>19514</v>
      </c>
    </row>
    <row r="8745" spans="1:10" x14ac:dyDescent="0.25">
      <c r="A8745">
        <v>4000371</v>
      </c>
      <c r="B8745" t="s">
        <v>9256</v>
      </c>
      <c r="C8745" t="str">
        <f>"9781472914996"</f>
        <v>9781472914996</v>
      </c>
      <c r="D8745" t="str">
        <f>"9781472915016"</f>
        <v>9781472915016</v>
      </c>
      <c r="E8745" t="s">
        <v>4180</v>
      </c>
      <c r="F8745" t="s">
        <v>4180</v>
      </c>
      <c r="G8745" s="1">
        <v>42299</v>
      </c>
      <c r="H8745" s="1">
        <v>42286</v>
      </c>
      <c r="I8745" t="s">
        <v>12</v>
      </c>
      <c r="J8745" t="s">
        <v>19515</v>
      </c>
    </row>
    <row r="8746" spans="1:10" x14ac:dyDescent="0.25">
      <c r="A8746">
        <v>4007399</v>
      </c>
      <c r="B8746" t="s">
        <v>9257</v>
      </c>
      <c r="C8746" t="str">
        <f>"9781472523754"</f>
        <v>9781472523754</v>
      </c>
      <c r="D8746" t="str">
        <f>"9781474261951"</f>
        <v>9781474261951</v>
      </c>
      <c r="E8746" t="s">
        <v>4180</v>
      </c>
      <c r="F8746" t="s">
        <v>6461</v>
      </c>
      <c r="G8746" s="1">
        <v>42397</v>
      </c>
      <c r="H8746" s="1">
        <v>42407</v>
      </c>
      <c r="I8746" t="s">
        <v>12</v>
      </c>
      <c r="J8746" t="s">
        <v>19516</v>
      </c>
    </row>
    <row r="8747" spans="1:10" x14ac:dyDescent="0.25">
      <c r="A8747">
        <v>4007454</v>
      </c>
      <c r="B8747" t="s">
        <v>9258</v>
      </c>
      <c r="C8747" t="str">
        <f>"9789004303515"</f>
        <v>9789004303515</v>
      </c>
      <c r="D8747" t="str">
        <f>"9789004303522"</f>
        <v>9789004303522</v>
      </c>
      <c r="E8747" t="s">
        <v>1447</v>
      </c>
      <c r="F8747" t="s">
        <v>1447</v>
      </c>
      <c r="G8747" s="1">
        <v>42278</v>
      </c>
      <c r="H8747" s="1">
        <v>42302</v>
      </c>
      <c r="I8747" t="s">
        <v>12</v>
      </c>
      <c r="J8747" t="s">
        <v>19517</v>
      </c>
    </row>
    <row r="8748" spans="1:10" x14ac:dyDescent="0.25">
      <c r="A8748">
        <v>4014425</v>
      </c>
      <c r="B8748" t="s">
        <v>9259</v>
      </c>
      <c r="C8748" t="str">
        <f>"9781851968954"</f>
        <v>9781851968954</v>
      </c>
      <c r="D8748" t="str">
        <f>"9781317315049"</f>
        <v>9781317315049</v>
      </c>
      <c r="E8748" t="s">
        <v>15</v>
      </c>
      <c r="F8748" t="s">
        <v>16</v>
      </c>
      <c r="G8748" s="1">
        <v>39448</v>
      </c>
      <c r="H8748" s="1">
        <v>42338</v>
      </c>
      <c r="I8748" t="s">
        <v>12</v>
      </c>
      <c r="J8748" t="s">
        <v>19518</v>
      </c>
    </row>
    <row r="8749" spans="1:10" x14ac:dyDescent="0.25">
      <c r="A8749">
        <v>4014438</v>
      </c>
      <c r="B8749" t="s">
        <v>9260</v>
      </c>
      <c r="C8749" t="str">
        <f>"9781851968640"</f>
        <v>9781851968640</v>
      </c>
      <c r="D8749" t="str">
        <f>"9781317315377"</f>
        <v>9781317315377</v>
      </c>
      <c r="E8749" t="s">
        <v>15</v>
      </c>
      <c r="F8749" t="s">
        <v>16</v>
      </c>
      <c r="G8749" s="1">
        <v>39387</v>
      </c>
      <c r="H8749" s="1">
        <v>42338</v>
      </c>
      <c r="I8749" t="s">
        <v>12</v>
      </c>
      <c r="J8749" t="s">
        <v>19519</v>
      </c>
    </row>
    <row r="8750" spans="1:10" x14ac:dyDescent="0.25">
      <c r="A8750">
        <v>4014442</v>
      </c>
      <c r="B8750" t="s">
        <v>9261</v>
      </c>
      <c r="C8750" t="str">
        <f>"9781851968510"</f>
        <v>9781851968510</v>
      </c>
      <c r="D8750" t="str">
        <f>"9781317315490"</f>
        <v>9781317315490</v>
      </c>
      <c r="E8750" t="s">
        <v>15</v>
      </c>
      <c r="F8750" t="s">
        <v>16</v>
      </c>
      <c r="G8750" s="1">
        <v>39083</v>
      </c>
      <c r="H8750" s="1">
        <v>42338</v>
      </c>
      <c r="I8750" t="s">
        <v>12</v>
      </c>
      <c r="J8750" t="s">
        <v>19520</v>
      </c>
    </row>
    <row r="8751" spans="1:10" x14ac:dyDescent="0.25">
      <c r="A8751">
        <v>4039102</v>
      </c>
      <c r="B8751" t="s">
        <v>9262</v>
      </c>
      <c r="C8751" t="str">
        <f>"9780470775790"</f>
        <v>9780470775790</v>
      </c>
      <c r="D8751" t="str">
        <f>"9781118835999"</f>
        <v>9781118835999</v>
      </c>
      <c r="E8751" t="s">
        <v>1088</v>
      </c>
      <c r="F8751" t="s">
        <v>1089</v>
      </c>
      <c r="G8751" s="1">
        <v>39559</v>
      </c>
      <c r="H8751" s="1">
        <v>42432</v>
      </c>
      <c r="I8751" t="s">
        <v>12</v>
      </c>
      <c r="J8751" t="s">
        <v>19521</v>
      </c>
    </row>
    <row r="8752" spans="1:10" x14ac:dyDescent="0.25">
      <c r="A8752">
        <v>4082735</v>
      </c>
      <c r="B8752" t="s">
        <v>9263</v>
      </c>
      <c r="C8752" t="str">
        <f>"9780195312942"</f>
        <v>9780195312942</v>
      </c>
      <c r="D8752" t="str">
        <f>"9780198042679"</f>
        <v>9780198042679</v>
      </c>
      <c r="E8752" t="s">
        <v>1270</v>
      </c>
      <c r="F8752" t="s">
        <v>1270</v>
      </c>
      <c r="G8752" s="1">
        <v>39135</v>
      </c>
      <c r="H8752" s="1">
        <v>42327</v>
      </c>
      <c r="I8752" t="s">
        <v>12</v>
      </c>
      <c r="J8752" t="s">
        <v>19522</v>
      </c>
    </row>
    <row r="8753" spans="1:10" x14ac:dyDescent="0.25">
      <c r="A8753">
        <v>4082742</v>
      </c>
      <c r="B8753" t="s">
        <v>9264</v>
      </c>
      <c r="C8753" t="str">
        <f>"9780195088977"</f>
        <v>9780195088977</v>
      </c>
      <c r="D8753" t="str">
        <f>"9780195358445"</f>
        <v>9780195358445</v>
      </c>
      <c r="E8753" t="s">
        <v>1268</v>
      </c>
      <c r="F8753" t="s">
        <v>1268</v>
      </c>
      <c r="G8753" s="1">
        <v>35334</v>
      </c>
      <c r="H8753" s="1">
        <v>42327</v>
      </c>
      <c r="I8753" t="s">
        <v>12</v>
      </c>
      <c r="J8753" t="s">
        <v>19523</v>
      </c>
    </row>
    <row r="8754" spans="1:10" x14ac:dyDescent="0.25">
      <c r="A8754">
        <v>4092780</v>
      </c>
      <c r="B8754" t="s">
        <v>9265</v>
      </c>
      <c r="C8754" t="str">
        <f>"9781472577238"</f>
        <v>9781472577238</v>
      </c>
      <c r="D8754" t="str">
        <f>"9781472577245"</f>
        <v>9781472577245</v>
      </c>
      <c r="E8754" t="s">
        <v>4180</v>
      </c>
      <c r="F8754" t="s">
        <v>6461</v>
      </c>
      <c r="G8754" s="1">
        <v>42397</v>
      </c>
      <c r="H8754" s="1">
        <v>42322</v>
      </c>
      <c r="I8754" t="s">
        <v>12</v>
      </c>
      <c r="J8754" t="s">
        <v>19524</v>
      </c>
    </row>
    <row r="8755" spans="1:10" x14ac:dyDescent="0.25">
      <c r="A8755">
        <v>4102324</v>
      </c>
      <c r="B8755" t="s">
        <v>9266</v>
      </c>
      <c r="C8755" t="str">
        <f>"9780826110251"</f>
        <v>9780826110251</v>
      </c>
      <c r="D8755" t="str">
        <f>"9780826110268"</f>
        <v>9780826110268</v>
      </c>
      <c r="E8755" t="s">
        <v>3016</v>
      </c>
      <c r="F8755" t="s">
        <v>3016</v>
      </c>
      <c r="G8755" s="1">
        <v>42309</v>
      </c>
      <c r="H8755" s="1">
        <v>42337</v>
      </c>
      <c r="I8755" t="s">
        <v>12</v>
      </c>
      <c r="J8755" t="s">
        <v>19525</v>
      </c>
    </row>
    <row r="8756" spans="1:10" x14ac:dyDescent="0.25">
      <c r="A8756">
        <v>4102334</v>
      </c>
      <c r="B8756" t="s">
        <v>9267</v>
      </c>
      <c r="C8756" t="str">
        <f>"9780826119315"</f>
        <v>9780826119315</v>
      </c>
      <c r="D8756" t="str">
        <f>"9780826119322"</f>
        <v>9780826119322</v>
      </c>
      <c r="E8756" t="s">
        <v>3016</v>
      </c>
      <c r="F8756" t="s">
        <v>3016</v>
      </c>
      <c r="G8756" s="1">
        <v>42186</v>
      </c>
      <c r="H8756" s="1">
        <v>42331</v>
      </c>
      <c r="I8756" t="s">
        <v>12</v>
      </c>
      <c r="J8756" t="s">
        <v>19526</v>
      </c>
    </row>
    <row r="8757" spans="1:10" x14ac:dyDescent="0.25">
      <c r="A8757">
        <v>4102336</v>
      </c>
      <c r="B8757" t="s">
        <v>9268</v>
      </c>
      <c r="C8757" t="str">
        <f>"9780826123176"</f>
        <v>9780826123176</v>
      </c>
      <c r="D8757" t="str">
        <f>"9780826123183"</f>
        <v>9780826123183</v>
      </c>
      <c r="E8757" t="s">
        <v>3016</v>
      </c>
      <c r="F8757" t="s">
        <v>3016</v>
      </c>
      <c r="G8757" s="1">
        <v>42217</v>
      </c>
      <c r="H8757" s="1">
        <v>42344</v>
      </c>
      <c r="I8757" t="s">
        <v>12</v>
      </c>
      <c r="J8757" t="s">
        <v>19527</v>
      </c>
    </row>
    <row r="8758" spans="1:10" x14ac:dyDescent="0.25">
      <c r="A8758">
        <v>4102337</v>
      </c>
      <c r="B8758" t="s">
        <v>9269</v>
      </c>
      <c r="C8758" t="str">
        <f>""</f>
        <v/>
      </c>
      <c r="D8758" t="str">
        <f>"9780826123268"</f>
        <v>9780826123268</v>
      </c>
      <c r="E8758" t="s">
        <v>3016</v>
      </c>
      <c r="F8758" t="s">
        <v>3016</v>
      </c>
      <c r="G8758" s="1">
        <v>39264</v>
      </c>
      <c r="H8758" s="1">
        <v>42333</v>
      </c>
      <c r="I8758" t="s">
        <v>12</v>
      </c>
      <c r="J8758" t="s">
        <v>19528</v>
      </c>
    </row>
    <row r="8759" spans="1:10" x14ac:dyDescent="0.25">
      <c r="A8759">
        <v>4102340</v>
      </c>
      <c r="B8759" t="s">
        <v>9270</v>
      </c>
      <c r="C8759" t="str">
        <f>"9780826125989"</f>
        <v>9780826125989</v>
      </c>
      <c r="D8759" t="str">
        <f>"9780826125996"</f>
        <v>9780826125996</v>
      </c>
      <c r="E8759" t="s">
        <v>3016</v>
      </c>
      <c r="F8759" t="s">
        <v>3016</v>
      </c>
      <c r="G8759" s="1">
        <v>42305</v>
      </c>
      <c r="H8759" s="1">
        <v>42331</v>
      </c>
      <c r="I8759" t="s">
        <v>12</v>
      </c>
      <c r="J8759" t="s">
        <v>19529</v>
      </c>
    </row>
    <row r="8760" spans="1:10" x14ac:dyDescent="0.25">
      <c r="A8760">
        <v>4102342</v>
      </c>
      <c r="B8760" t="s">
        <v>9271</v>
      </c>
      <c r="C8760" t="str">
        <f>""</f>
        <v/>
      </c>
      <c r="D8760" t="str">
        <f>"9780826126986"</f>
        <v>9780826126986</v>
      </c>
      <c r="E8760" t="s">
        <v>3016</v>
      </c>
      <c r="F8760" t="s">
        <v>3016</v>
      </c>
      <c r="G8760" s="1">
        <v>39314</v>
      </c>
      <c r="H8760" s="1">
        <v>42344</v>
      </c>
      <c r="I8760" t="s">
        <v>12</v>
      </c>
      <c r="J8760" t="s">
        <v>19530</v>
      </c>
    </row>
    <row r="8761" spans="1:10" x14ac:dyDescent="0.25">
      <c r="A8761">
        <v>4102343</v>
      </c>
      <c r="B8761" t="s">
        <v>9272</v>
      </c>
      <c r="C8761" t="str">
        <f>"9780826127761"</f>
        <v>9780826127761</v>
      </c>
      <c r="D8761" t="str">
        <f>"9780826127778"</f>
        <v>9780826127778</v>
      </c>
      <c r="E8761" t="s">
        <v>3016</v>
      </c>
      <c r="F8761" t="s">
        <v>3016</v>
      </c>
      <c r="G8761" s="1">
        <v>42336</v>
      </c>
      <c r="H8761" s="1">
        <v>42344</v>
      </c>
      <c r="I8761" t="s">
        <v>12</v>
      </c>
      <c r="J8761" t="s">
        <v>19531</v>
      </c>
    </row>
    <row r="8762" spans="1:10" x14ac:dyDescent="0.25">
      <c r="A8762">
        <v>4102347</v>
      </c>
      <c r="B8762" t="s">
        <v>9273</v>
      </c>
      <c r="C8762" t="str">
        <f>"9780826128430"</f>
        <v>9780826128430</v>
      </c>
      <c r="D8762" t="str">
        <f>"9780826128447"</f>
        <v>9780826128447</v>
      </c>
      <c r="E8762" t="s">
        <v>3016</v>
      </c>
      <c r="F8762" t="s">
        <v>3016</v>
      </c>
      <c r="G8762" s="1">
        <v>42278</v>
      </c>
      <c r="H8762" s="1">
        <v>42337</v>
      </c>
      <c r="I8762" t="s">
        <v>12</v>
      </c>
      <c r="J8762" t="s">
        <v>19532</v>
      </c>
    </row>
    <row r="8763" spans="1:10" x14ac:dyDescent="0.25">
      <c r="A8763">
        <v>4102348</v>
      </c>
      <c r="B8763" t="s">
        <v>9274</v>
      </c>
      <c r="C8763" t="str">
        <f>""</f>
        <v/>
      </c>
      <c r="D8763" t="str">
        <f>"9780826128553"</f>
        <v>9780826128553</v>
      </c>
      <c r="E8763" t="s">
        <v>3016</v>
      </c>
      <c r="F8763" t="s">
        <v>3016</v>
      </c>
      <c r="G8763" s="1">
        <v>39426</v>
      </c>
      <c r="H8763" s="1">
        <v>42344</v>
      </c>
      <c r="I8763" t="s">
        <v>12</v>
      </c>
      <c r="J8763" t="s">
        <v>19533</v>
      </c>
    </row>
    <row r="8764" spans="1:10" x14ac:dyDescent="0.25">
      <c r="A8764">
        <v>4102349</v>
      </c>
      <c r="B8764" t="s">
        <v>9275</v>
      </c>
      <c r="C8764" t="str">
        <f>"9780826129123"</f>
        <v>9780826129123</v>
      </c>
      <c r="D8764" t="str">
        <f>"9780826129130"</f>
        <v>9780826129130</v>
      </c>
      <c r="E8764" t="s">
        <v>3016</v>
      </c>
      <c r="F8764" t="s">
        <v>3016</v>
      </c>
      <c r="G8764" s="1">
        <v>42248</v>
      </c>
      <c r="H8764" s="1">
        <v>42331</v>
      </c>
      <c r="I8764" t="s">
        <v>12</v>
      </c>
      <c r="J8764" t="s">
        <v>19534</v>
      </c>
    </row>
    <row r="8765" spans="1:10" x14ac:dyDescent="0.25">
      <c r="A8765">
        <v>4102350</v>
      </c>
      <c r="B8765" t="s">
        <v>9276</v>
      </c>
      <c r="C8765" t="str">
        <f>""</f>
        <v/>
      </c>
      <c r="D8765" t="str">
        <f>"9780826129291"</f>
        <v>9780826129291</v>
      </c>
      <c r="E8765" t="s">
        <v>3016</v>
      </c>
      <c r="F8765" t="s">
        <v>3016</v>
      </c>
      <c r="G8765" s="1">
        <v>36161</v>
      </c>
      <c r="H8765" s="1">
        <v>42331</v>
      </c>
      <c r="I8765" t="s">
        <v>12</v>
      </c>
      <c r="J8765" t="s">
        <v>19535</v>
      </c>
    </row>
    <row r="8766" spans="1:10" x14ac:dyDescent="0.25">
      <c r="A8766">
        <v>4102357</v>
      </c>
      <c r="B8766" t="s">
        <v>9277</v>
      </c>
      <c r="C8766" t="str">
        <f>"9780826194565"</f>
        <v>9780826194565</v>
      </c>
      <c r="D8766" t="str">
        <f>"9780826194572"</f>
        <v>9780826194572</v>
      </c>
      <c r="E8766" t="s">
        <v>3016</v>
      </c>
      <c r="F8766" t="s">
        <v>3016</v>
      </c>
      <c r="G8766" s="1">
        <v>42229</v>
      </c>
      <c r="H8766" s="1">
        <v>42331</v>
      </c>
      <c r="I8766" t="s">
        <v>12</v>
      </c>
      <c r="J8766" t="s">
        <v>19536</v>
      </c>
    </row>
    <row r="8767" spans="1:10" x14ac:dyDescent="0.25">
      <c r="A8767">
        <v>4102364</v>
      </c>
      <c r="B8767" t="s">
        <v>9278</v>
      </c>
      <c r="C8767" t="str">
        <f>"9780826199843"</f>
        <v>9780826199843</v>
      </c>
      <c r="D8767" t="str">
        <f>"9780826199850"</f>
        <v>9780826199850</v>
      </c>
      <c r="E8767" t="s">
        <v>3016</v>
      </c>
      <c r="F8767" t="s">
        <v>3016</v>
      </c>
      <c r="G8767" s="1">
        <v>42217</v>
      </c>
      <c r="H8767" s="1">
        <v>42337</v>
      </c>
      <c r="I8767" t="s">
        <v>12</v>
      </c>
      <c r="J8767" t="s">
        <v>19537</v>
      </c>
    </row>
    <row r="8768" spans="1:10" x14ac:dyDescent="0.25">
      <c r="A8768">
        <v>4103423</v>
      </c>
      <c r="B8768" t="s">
        <v>9279</v>
      </c>
      <c r="C8768" t="str">
        <f>"9780826125378"</f>
        <v>9780826125378</v>
      </c>
      <c r="D8768" t="str">
        <f>"9780826125385"</f>
        <v>9780826125385</v>
      </c>
      <c r="E8768" t="s">
        <v>3016</v>
      </c>
      <c r="F8768" t="s">
        <v>3016</v>
      </c>
      <c r="G8768" s="1">
        <v>42336</v>
      </c>
      <c r="H8768" s="1">
        <v>42334</v>
      </c>
      <c r="I8768" t="s">
        <v>12</v>
      </c>
      <c r="J8768" t="s">
        <v>19538</v>
      </c>
    </row>
    <row r="8769" spans="1:10" x14ac:dyDescent="0.25">
      <c r="A8769">
        <v>4107864</v>
      </c>
      <c r="B8769" t="s">
        <v>9280</v>
      </c>
      <c r="C8769" t="str">
        <f>""</f>
        <v/>
      </c>
      <c r="D8769" t="str">
        <f>"9780826194695"</f>
        <v>9780826194695</v>
      </c>
      <c r="E8769" t="s">
        <v>3016</v>
      </c>
      <c r="F8769" t="s">
        <v>3016</v>
      </c>
      <c r="G8769" s="1">
        <v>42336</v>
      </c>
      <c r="H8769" s="1">
        <v>42360</v>
      </c>
      <c r="I8769" t="s">
        <v>12</v>
      </c>
      <c r="J8769" t="s">
        <v>19539</v>
      </c>
    </row>
    <row r="8770" spans="1:10" x14ac:dyDescent="0.25">
      <c r="A8770">
        <v>4182298</v>
      </c>
      <c r="B8770" t="s">
        <v>9281</v>
      </c>
      <c r="C8770" t="str">
        <f>"9780335215041"</f>
        <v>9780335215041</v>
      </c>
      <c r="D8770" t="str">
        <f>"9780335215041"</f>
        <v>9780335215041</v>
      </c>
      <c r="E8770" t="s">
        <v>2795</v>
      </c>
      <c r="F8770" t="s">
        <v>2796</v>
      </c>
      <c r="G8770" s="1">
        <v>38717</v>
      </c>
      <c r="H8770" s="1">
        <v>42963</v>
      </c>
      <c r="I8770" t="s">
        <v>12</v>
      </c>
      <c r="J8770" t="s">
        <v>19540</v>
      </c>
    </row>
    <row r="8771" spans="1:10" x14ac:dyDescent="0.25">
      <c r="A8771">
        <v>4182299</v>
      </c>
      <c r="B8771" t="s">
        <v>9282</v>
      </c>
      <c r="C8771" t="str">
        <f>"9780335227457"</f>
        <v>9780335227457</v>
      </c>
      <c r="D8771" t="str">
        <f>"9780335216840"</f>
        <v>9780335216840</v>
      </c>
      <c r="E8771" t="s">
        <v>2795</v>
      </c>
      <c r="F8771" t="s">
        <v>2796</v>
      </c>
      <c r="G8771" s="1">
        <v>38504</v>
      </c>
      <c r="H8771" s="1">
        <v>42963</v>
      </c>
      <c r="I8771" t="s">
        <v>12</v>
      </c>
      <c r="J8771" t="s">
        <v>19541</v>
      </c>
    </row>
    <row r="8772" spans="1:10" x14ac:dyDescent="0.25">
      <c r="A8772">
        <v>4182301</v>
      </c>
      <c r="B8772" t="s">
        <v>9283</v>
      </c>
      <c r="C8772" t="str">
        <f>"9780335229536"</f>
        <v>9780335229536</v>
      </c>
      <c r="D8772" t="str">
        <f>"9780335217465"</f>
        <v>9780335217465</v>
      </c>
      <c r="E8772" t="s">
        <v>2795</v>
      </c>
      <c r="F8772" t="s">
        <v>2796</v>
      </c>
      <c r="G8772" s="1">
        <v>39082</v>
      </c>
      <c r="H8772" s="1">
        <v>42963</v>
      </c>
      <c r="I8772" t="s">
        <v>12</v>
      </c>
      <c r="J8772" t="s">
        <v>19542</v>
      </c>
    </row>
    <row r="8773" spans="1:10" x14ac:dyDescent="0.25">
      <c r="A8773">
        <v>4182305</v>
      </c>
      <c r="B8773" t="s">
        <v>9284</v>
      </c>
      <c r="C8773" t="str">
        <f>"9780335226597"</f>
        <v>9780335226597</v>
      </c>
      <c r="D8773" t="str">
        <f>"9780335219681"</f>
        <v>9780335219681</v>
      </c>
      <c r="E8773" t="s">
        <v>2795</v>
      </c>
      <c r="F8773" t="s">
        <v>2796</v>
      </c>
      <c r="G8773" s="1">
        <v>38869</v>
      </c>
      <c r="H8773" s="1">
        <v>42963</v>
      </c>
      <c r="I8773" t="s">
        <v>12</v>
      </c>
      <c r="J8773" t="s">
        <v>19543</v>
      </c>
    </row>
    <row r="8774" spans="1:10" x14ac:dyDescent="0.25">
      <c r="A8774">
        <v>4182309</v>
      </c>
      <c r="B8774" t="s">
        <v>9285</v>
      </c>
      <c r="C8774" t="str">
        <f>"9780335235117"</f>
        <v>9780335235117</v>
      </c>
      <c r="D8774" t="str">
        <f>"9780335223848"</f>
        <v>9780335223848</v>
      </c>
      <c r="E8774" t="s">
        <v>2795</v>
      </c>
      <c r="F8774" t="s">
        <v>2796</v>
      </c>
      <c r="G8774" s="1">
        <v>39417</v>
      </c>
      <c r="H8774" s="1">
        <v>42963</v>
      </c>
      <c r="I8774" t="s">
        <v>12</v>
      </c>
      <c r="J8774" t="s">
        <v>19544</v>
      </c>
    </row>
    <row r="8775" spans="1:10" x14ac:dyDescent="0.25">
      <c r="A8775">
        <v>4190908</v>
      </c>
      <c r="B8775" t="s">
        <v>9286</v>
      </c>
      <c r="C8775" t="str">
        <f>"9780195052749"</f>
        <v>9780195052749</v>
      </c>
      <c r="D8775" t="str">
        <f>"9780195363951"</f>
        <v>9780195363951</v>
      </c>
      <c r="E8775" t="s">
        <v>1133</v>
      </c>
      <c r="F8775" t="s">
        <v>1270</v>
      </c>
      <c r="G8775" s="1">
        <v>33239</v>
      </c>
      <c r="H8775" s="1">
        <v>38610</v>
      </c>
      <c r="I8775" t="s">
        <v>12</v>
      </c>
      <c r="J8775" t="s">
        <v>19545</v>
      </c>
    </row>
    <row r="8776" spans="1:10" x14ac:dyDescent="0.25">
      <c r="A8776">
        <v>4198003</v>
      </c>
      <c r="B8776" t="s">
        <v>9287</v>
      </c>
      <c r="C8776" t="str">
        <f>"9781472592569"</f>
        <v>9781472592569</v>
      </c>
      <c r="D8776" t="str">
        <f>"9781472592583"</f>
        <v>9781472592583</v>
      </c>
      <c r="E8776" t="s">
        <v>4180</v>
      </c>
      <c r="F8776" t="s">
        <v>6461</v>
      </c>
      <c r="G8776" s="1">
        <v>42425</v>
      </c>
      <c r="H8776" s="1">
        <v>42366</v>
      </c>
      <c r="I8776" t="s">
        <v>12</v>
      </c>
      <c r="J8776" t="s">
        <v>19546</v>
      </c>
    </row>
    <row r="8777" spans="1:10" x14ac:dyDescent="0.25">
      <c r="A8777">
        <v>4206064</v>
      </c>
      <c r="B8777" t="s">
        <v>9288</v>
      </c>
      <c r="C8777" t="str">
        <f>"9780126789577"</f>
        <v>9780126789577</v>
      </c>
      <c r="D8777" t="str">
        <f>"9780080521961"</f>
        <v>9780080521961</v>
      </c>
      <c r="E8777" t="s">
        <v>1119</v>
      </c>
      <c r="F8777" t="s">
        <v>1120</v>
      </c>
      <c r="G8777" s="1">
        <v>37943</v>
      </c>
      <c r="H8777" s="1">
        <v>42556</v>
      </c>
      <c r="I8777" t="s">
        <v>12</v>
      </c>
      <c r="J8777" t="s">
        <v>19547</v>
      </c>
    </row>
    <row r="8778" spans="1:10" x14ac:dyDescent="0.25">
      <c r="A8778">
        <v>4206562</v>
      </c>
      <c r="B8778" t="s">
        <v>9289</v>
      </c>
      <c r="C8778" t="str">
        <f>"9780826195982"</f>
        <v>9780826195982</v>
      </c>
      <c r="D8778" t="str">
        <f>"9780826195999"</f>
        <v>9780826195999</v>
      </c>
      <c r="E8778" t="s">
        <v>3016</v>
      </c>
      <c r="F8778" t="s">
        <v>3016</v>
      </c>
      <c r="G8778" s="1">
        <v>42349</v>
      </c>
      <c r="H8778" s="1">
        <v>42367</v>
      </c>
      <c r="I8778" t="s">
        <v>12</v>
      </c>
      <c r="J8778" t="s">
        <v>19548</v>
      </c>
    </row>
    <row r="8779" spans="1:10" x14ac:dyDescent="0.25">
      <c r="A8779">
        <v>4248746</v>
      </c>
      <c r="B8779" t="s">
        <v>9290</v>
      </c>
      <c r="C8779" t="str">
        <f>"9781841693279"</f>
        <v>9781841693279</v>
      </c>
      <c r="D8779" t="str">
        <f>"9781135425340"</f>
        <v>9781135425340</v>
      </c>
      <c r="E8779" t="s">
        <v>15</v>
      </c>
      <c r="F8779" t="s">
        <v>55</v>
      </c>
      <c r="G8779" s="1">
        <v>38359</v>
      </c>
      <c r="H8779" s="1">
        <v>42528</v>
      </c>
      <c r="I8779" t="s">
        <v>12</v>
      </c>
      <c r="J8779" t="s">
        <v>19549</v>
      </c>
    </row>
    <row r="8780" spans="1:10" x14ac:dyDescent="0.25">
      <c r="A8780">
        <v>4337987</v>
      </c>
      <c r="B8780" t="s">
        <v>9291</v>
      </c>
      <c r="C8780" t="str">
        <f>"9781472581198"</f>
        <v>9781472581198</v>
      </c>
      <c r="D8780" t="str">
        <f>"9781472581228"</f>
        <v>9781472581228</v>
      </c>
      <c r="E8780" t="s">
        <v>4180</v>
      </c>
      <c r="F8780" t="s">
        <v>6461</v>
      </c>
      <c r="G8780" s="1">
        <v>42425</v>
      </c>
      <c r="H8780" s="1">
        <v>42385</v>
      </c>
      <c r="I8780" t="s">
        <v>12</v>
      </c>
      <c r="J8780" t="s">
        <v>19550</v>
      </c>
    </row>
    <row r="8781" spans="1:10" x14ac:dyDescent="0.25">
      <c r="A8781">
        <v>4338853</v>
      </c>
      <c r="B8781" t="s">
        <v>9292</v>
      </c>
      <c r="C8781" t="str">
        <f>"9781462525546"</f>
        <v>9781462525546</v>
      </c>
      <c r="D8781" t="str">
        <f>"9781462525584"</f>
        <v>9781462525584</v>
      </c>
      <c r="E8781" t="s">
        <v>3740</v>
      </c>
      <c r="F8781" t="s">
        <v>3741</v>
      </c>
      <c r="G8781" s="1">
        <v>42503</v>
      </c>
      <c r="H8781" s="1">
        <v>42446</v>
      </c>
      <c r="I8781" t="s">
        <v>12</v>
      </c>
      <c r="J8781" t="s">
        <v>19551</v>
      </c>
    </row>
    <row r="8782" spans="1:10" x14ac:dyDescent="0.25">
      <c r="A8782">
        <v>4351205</v>
      </c>
      <c r="B8782" t="s">
        <v>9293</v>
      </c>
      <c r="C8782" t="str">
        <f>"9781783094905"</f>
        <v>9781783094905</v>
      </c>
      <c r="D8782" t="str">
        <f>"9781783094929"</f>
        <v>9781783094929</v>
      </c>
      <c r="E8782" t="s">
        <v>886</v>
      </c>
      <c r="F8782" t="s">
        <v>887</v>
      </c>
      <c r="G8782" s="1">
        <v>42402</v>
      </c>
      <c r="H8782" s="1">
        <v>42389</v>
      </c>
      <c r="I8782" t="s">
        <v>12</v>
      </c>
      <c r="J8782" t="s">
        <v>19552</v>
      </c>
    </row>
    <row r="8783" spans="1:10" x14ac:dyDescent="0.25">
      <c r="A8783">
        <v>4385657</v>
      </c>
      <c r="B8783" t="s">
        <v>9294</v>
      </c>
      <c r="C8783" t="str">
        <f>""</f>
        <v/>
      </c>
      <c r="D8783" t="str">
        <f>"9781280906961"</f>
        <v>9781280906961</v>
      </c>
      <c r="E8783" t="s">
        <v>9295</v>
      </c>
      <c r="F8783" t="s">
        <v>8021</v>
      </c>
      <c r="G8783" s="1">
        <v>38292</v>
      </c>
      <c r="H8783" s="1">
        <v>42480</v>
      </c>
      <c r="I8783" t="s">
        <v>12</v>
      </c>
      <c r="J8783" t="s">
        <v>19553</v>
      </c>
    </row>
    <row r="8784" spans="1:10" x14ac:dyDescent="0.25">
      <c r="A8784">
        <v>4388349</v>
      </c>
      <c r="B8784" t="s">
        <v>9296</v>
      </c>
      <c r="C8784" t="str">
        <f>"9780309102605"</f>
        <v>9780309102605</v>
      </c>
      <c r="D8784" t="str">
        <f>"9780309105149"</f>
        <v>9780309105149</v>
      </c>
      <c r="E8784" t="s">
        <v>8939</v>
      </c>
      <c r="F8784" t="s">
        <v>8939</v>
      </c>
      <c r="G8784" s="1">
        <v>39161</v>
      </c>
      <c r="H8784" s="1">
        <v>42408</v>
      </c>
      <c r="I8784" t="s">
        <v>12</v>
      </c>
      <c r="J8784" t="s">
        <v>19554</v>
      </c>
    </row>
    <row r="8785" spans="1:10" x14ac:dyDescent="0.25">
      <c r="A8785">
        <v>4388751</v>
      </c>
      <c r="B8785" t="s">
        <v>9297</v>
      </c>
      <c r="C8785" t="str">
        <f>"9780826132161"</f>
        <v>9780826132161</v>
      </c>
      <c r="D8785" t="str">
        <f>"9780826132178"</f>
        <v>9780826132178</v>
      </c>
      <c r="E8785" t="s">
        <v>3016</v>
      </c>
      <c r="F8785" t="s">
        <v>3016</v>
      </c>
      <c r="G8785" s="1">
        <v>42428</v>
      </c>
      <c r="H8785" s="1">
        <v>42403</v>
      </c>
      <c r="I8785" t="s">
        <v>12</v>
      </c>
      <c r="J8785" t="s">
        <v>19555</v>
      </c>
    </row>
    <row r="8786" spans="1:10" x14ac:dyDescent="0.25">
      <c r="A8786">
        <v>4398697</v>
      </c>
      <c r="B8786" t="s">
        <v>9298</v>
      </c>
      <c r="C8786" t="str">
        <f>"9780826171917"</f>
        <v>9780826171917</v>
      </c>
      <c r="D8786" t="str">
        <f>"9780826171924"</f>
        <v>9780826171924</v>
      </c>
      <c r="E8786" t="s">
        <v>3016</v>
      </c>
      <c r="F8786" t="s">
        <v>3016</v>
      </c>
      <c r="G8786" s="1">
        <v>42457</v>
      </c>
      <c r="H8786" s="1">
        <v>42409</v>
      </c>
      <c r="I8786" t="s">
        <v>12</v>
      </c>
      <c r="J8786" t="s">
        <v>19556</v>
      </c>
    </row>
    <row r="8787" spans="1:10" x14ac:dyDescent="0.25">
      <c r="A8787">
        <v>4406006</v>
      </c>
      <c r="B8787" t="s">
        <v>9299</v>
      </c>
      <c r="C8787" t="str">
        <f>"9780826130129"</f>
        <v>9780826130129</v>
      </c>
      <c r="D8787" t="str">
        <f>"9780826130136"</f>
        <v>9780826130136</v>
      </c>
      <c r="E8787" t="s">
        <v>3016</v>
      </c>
      <c r="F8787" t="s">
        <v>3016</v>
      </c>
      <c r="G8787" s="1">
        <v>42428</v>
      </c>
      <c r="H8787" s="1">
        <v>42412</v>
      </c>
      <c r="I8787" t="s">
        <v>12</v>
      </c>
      <c r="J8787" t="s">
        <v>19557</v>
      </c>
    </row>
    <row r="8788" spans="1:10" x14ac:dyDescent="0.25">
      <c r="A8788">
        <v>4415038</v>
      </c>
      <c r="B8788" t="s">
        <v>9300</v>
      </c>
      <c r="C8788" t="str">
        <f>"9780754657569"</f>
        <v>9780754657569</v>
      </c>
      <c r="D8788" t="str">
        <f>"9781317022510"</f>
        <v>9781317022510</v>
      </c>
      <c r="E8788" t="s">
        <v>15</v>
      </c>
      <c r="F8788" t="s">
        <v>16</v>
      </c>
      <c r="G8788" s="1">
        <v>42417</v>
      </c>
      <c r="H8788" s="1">
        <v>1</v>
      </c>
      <c r="I8788" t="s">
        <v>12</v>
      </c>
      <c r="J8788" t="s">
        <v>19558</v>
      </c>
    </row>
    <row r="8789" spans="1:10" x14ac:dyDescent="0.25">
      <c r="A8789">
        <v>4433095</v>
      </c>
      <c r="B8789" t="s">
        <v>9301</v>
      </c>
      <c r="C8789" t="str">
        <f>"9780470996904"</f>
        <v>9780470996904</v>
      </c>
      <c r="D8789" t="str">
        <f>"9781118394205"</f>
        <v>9781118394205</v>
      </c>
      <c r="E8789" t="s">
        <v>1088</v>
      </c>
      <c r="F8789" t="s">
        <v>1089</v>
      </c>
      <c r="G8789" s="1">
        <v>38709</v>
      </c>
      <c r="H8789" s="1">
        <v>42606</v>
      </c>
      <c r="I8789" t="s">
        <v>12</v>
      </c>
      <c r="J8789" t="s">
        <v>19559</v>
      </c>
    </row>
    <row r="8790" spans="1:10" x14ac:dyDescent="0.25">
      <c r="A8790">
        <v>4442075</v>
      </c>
      <c r="B8790" t="s">
        <v>9302</v>
      </c>
      <c r="C8790" t="str">
        <f>"9781474274357"</f>
        <v>9781474274357</v>
      </c>
      <c r="D8790" t="str">
        <f>"9781474274371"</f>
        <v>9781474274371</v>
      </c>
      <c r="E8790" t="s">
        <v>4180</v>
      </c>
      <c r="F8790" t="s">
        <v>6461</v>
      </c>
      <c r="G8790" s="1">
        <v>42509</v>
      </c>
      <c r="H8790" s="1">
        <v>42438</v>
      </c>
      <c r="I8790" t="s">
        <v>12</v>
      </c>
      <c r="J8790" t="s">
        <v>19560</v>
      </c>
    </row>
    <row r="8791" spans="1:10" x14ac:dyDescent="0.25">
      <c r="A8791">
        <v>4442409</v>
      </c>
      <c r="B8791" t="s">
        <v>9303</v>
      </c>
      <c r="C8791" t="str">
        <f>"9780826194190"</f>
        <v>9780826194190</v>
      </c>
      <c r="D8791" t="str">
        <f>"9780826194268"</f>
        <v>9780826194268</v>
      </c>
      <c r="E8791" t="s">
        <v>3016</v>
      </c>
      <c r="F8791" t="s">
        <v>3016</v>
      </c>
      <c r="G8791" s="1">
        <v>42457</v>
      </c>
      <c r="H8791" s="1">
        <v>42439</v>
      </c>
      <c r="I8791" t="s">
        <v>12</v>
      </c>
      <c r="J8791" t="s">
        <v>19561</v>
      </c>
    </row>
    <row r="8792" spans="1:10" x14ac:dyDescent="0.25">
      <c r="A8792">
        <v>4442520</v>
      </c>
      <c r="B8792" t="s">
        <v>9304</v>
      </c>
      <c r="C8792" t="str">
        <f>"9781138264519"</f>
        <v>9781138264519</v>
      </c>
      <c r="D8792" t="str">
        <f>"9781317030737"</f>
        <v>9781317030737</v>
      </c>
      <c r="E8792" t="s">
        <v>15</v>
      </c>
      <c r="F8792" t="s">
        <v>16</v>
      </c>
      <c r="G8792" s="1">
        <v>38926</v>
      </c>
      <c r="H8792" s="1">
        <v>43093</v>
      </c>
      <c r="I8792" t="s">
        <v>12</v>
      </c>
      <c r="J8792" t="s">
        <v>19562</v>
      </c>
    </row>
    <row r="8793" spans="1:10" x14ac:dyDescent="0.25">
      <c r="A8793">
        <v>4451352</v>
      </c>
      <c r="B8793" t="s">
        <v>9305</v>
      </c>
      <c r="C8793" t="str">
        <f>"9781906125066"</f>
        <v>9781906125066</v>
      </c>
      <c r="D8793" t="str">
        <f>"9781681469782"</f>
        <v>9781681469782</v>
      </c>
      <c r="E8793" t="s">
        <v>9306</v>
      </c>
      <c r="F8793" t="s">
        <v>9306</v>
      </c>
      <c r="G8793" s="1">
        <v>41298</v>
      </c>
      <c r="H8793" s="1">
        <v>42442</v>
      </c>
      <c r="I8793" t="s">
        <v>12</v>
      </c>
      <c r="J8793" t="s">
        <v>19563</v>
      </c>
    </row>
    <row r="8794" spans="1:10" x14ac:dyDescent="0.25">
      <c r="A8794">
        <v>4451418</v>
      </c>
      <c r="B8794" t="s">
        <v>9307</v>
      </c>
      <c r="C8794" t="str">
        <f>"9781905170906"</f>
        <v>9781905170906</v>
      </c>
      <c r="D8794" t="str">
        <f>"9781682990711"</f>
        <v>9781682990711</v>
      </c>
      <c r="E8794" t="s">
        <v>9306</v>
      </c>
      <c r="F8794" t="s">
        <v>9306</v>
      </c>
      <c r="G8794" s="1">
        <v>39417</v>
      </c>
      <c r="H8794" s="1">
        <v>42597</v>
      </c>
      <c r="I8794" t="s">
        <v>12</v>
      </c>
      <c r="J8794" t="s">
        <v>19564</v>
      </c>
    </row>
    <row r="8795" spans="1:10" x14ac:dyDescent="0.25">
      <c r="A8795">
        <v>4454388</v>
      </c>
      <c r="B8795" t="s">
        <v>9308</v>
      </c>
      <c r="C8795" t="str">
        <f>"9780826171665"</f>
        <v>9780826171665</v>
      </c>
      <c r="D8795" t="str">
        <f>"9780826171672"</f>
        <v>9780826171672</v>
      </c>
      <c r="E8795" t="s">
        <v>3016</v>
      </c>
      <c r="F8795" t="s">
        <v>3016</v>
      </c>
      <c r="G8795" s="1">
        <v>42457</v>
      </c>
      <c r="H8795" s="1">
        <v>42449</v>
      </c>
      <c r="I8795" t="s">
        <v>12</v>
      </c>
      <c r="J8795" t="s">
        <v>19565</v>
      </c>
    </row>
    <row r="8796" spans="1:10" x14ac:dyDescent="0.25">
      <c r="A8796">
        <v>4455034</v>
      </c>
      <c r="B8796" t="s">
        <v>9309</v>
      </c>
      <c r="C8796" t="str">
        <f>"9781472921208"</f>
        <v>9781472921208</v>
      </c>
      <c r="D8796" t="str">
        <f>"9781472921215"</f>
        <v>9781472921215</v>
      </c>
      <c r="E8796" t="s">
        <v>4180</v>
      </c>
      <c r="F8796" t="s">
        <v>4180</v>
      </c>
      <c r="G8796" s="1">
        <v>42467</v>
      </c>
      <c r="H8796" s="1">
        <v>42452</v>
      </c>
      <c r="I8796" t="s">
        <v>12</v>
      </c>
      <c r="J8796" t="s">
        <v>19566</v>
      </c>
    </row>
    <row r="8797" spans="1:10" x14ac:dyDescent="0.25">
      <c r="A8797">
        <v>4456619</v>
      </c>
      <c r="B8797" t="s">
        <v>9310</v>
      </c>
      <c r="C8797" t="str">
        <f>"9781783095292"</f>
        <v>9781783095292</v>
      </c>
      <c r="D8797" t="str">
        <f>"9781783095315"</f>
        <v>9781783095315</v>
      </c>
      <c r="E8797" t="s">
        <v>886</v>
      </c>
      <c r="F8797" t="s">
        <v>887</v>
      </c>
      <c r="G8797" s="1">
        <v>42480</v>
      </c>
      <c r="H8797" s="1">
        <v>42454</v>
      </c>
      <c r="I8797" t="s">
        <v>12</v>
      </c>
      <c r="J8797" t="s">
        <v>19567</v>
      </c>
    </row>
    <row r="8798" spans="1:10" x14ac:dyDescent="0.25">
      <c r="A8798">
        <v>4458676</v>
      </c>
      <c r="B8798" t="s">
        <v>9311</v>
      </c>
      <c r="C8798" t="str">
        <f>"9781587653971"</f>
        <v>9781587653971</v>
      </c>
      <c r="D8798" t="str">
        <f>"9781587654442"</f>
        <v>9781587654442</v>
      </c>
      <c r="E8798" t="s">
        <v>9058</v>
      </c>
      <c r="F8798" t="s">
        <v>9058</v>
      </c>
      <c r="G8798" s="1">
        <v>39448</v>
      </c>
      <c r="H8798" s="1">
        <v>42454</v>
      </c>
      <c r="I8798" t="s">
        <v>12</v>
      </c>
      <c r="J8798" t="s">
        <v>19568</v>
      </c>
    </row>
    <row r="8799" spans="1:10" x14ac:dyDescent="0.25">
      <c r="A8799">
        <v>4462096</v>
      </c>
      <c r="B8799" t="s">
        <v>9312</v>
      </c>
      <c r="C8799" t="str">
        <f>"9780748624065"</f>
        <v>9780748624065</v>
      </c>
      <c r="D8799" t="str">
        <f>"9780748626915"</f>
        <v>9780748626915</v>
      </c>
      <c r="E8799" t="s">
        <v>1942</v>
      </c>
      <c r="F8799" t="s">
        <v>1942</v>
      </c>
      <c r="G8799" s="1">
        <v>39052</v>
      </c>
      <c r="H8799" s="1">
        <v>42598</v>
      </c>
      <c r="I8799" t="s">
        <v>12</v>
      </c>
      <c r="J8799" t="s">
        <v>19569</v>
      </c>
    </row>
    <row r="8800" spans="1:10" x14ac:dyDescent="0.25">
      <c r="A8800">
        <v>4471419</v>
      </c>
      <c r="B8800" t="s">
        <v>9313</v>
      </c>
      <c r="C8800" t="str">
        <f>"9781587654640"</f>
        <v>9781587654640</v>
      </c>
      <c r="D8800" t="str">
        <f>"9781587654664"</f>
        <v>9781587654664</v>
      </c>
      <c r="E8800" t="s">
        <v>9058</v>
      </c>
      <c r="F8800" t="s">
        <v>9058</v>
      </c>
      <c r="G8800" s="1">
        <v>39692</v>
      </c>
      <c r="H8800" s="1">
        <v>1</v>
      </c>
      <c r="I8800" t="s">
        <v>12</v>
      </c>
      <c r="J8800" t="s">
        <v>19570</v>
      </c>
    </row>
    <row r="8801" spans="1:10" x14ac:dyDescent="0.25">
      <c r="A8801">
        <v>4471421</v>
      </c>
      <c r="B8801" t="s">
        <v>9314</v>
      </c>
      <c r="C8801" t="str">
        <f>"9781587654633"</f>
        <v>9781587654633</v>
      </c>
      <c r="D8801" t="str">
        <f>"9781587654664"</f>
        <v>9781587654664</v>
      </c>
      <c r="E8801" t="s">
        <v>9058</v>
      </c>
      <c r="F8801" t="s">
        <v>9058</v>
      </c>
      <c r="G8801" s="1">
        <v>39692</v>
      </c>
      <c r="H8801" s="1">
        <v>1</v>
      </c>
      <c r="I8801" t="s">
        <v>12</v>
      </c>
      <c r="J8801" t="s">
        <v>19571</v>
      </c>
    </row>
    <row r="8802" spans="1:10" x14ac:dyDescent="0.25">
      <c r="A8802">
        <v>4471422</v>
      </c>
      <c r="B8802" t="s">
        <v>9315</v>
      </c>
      <c r="C8802" t="str">
        <f>"9781587654589"</f>
        <v>9781587654589</v>
      </c>
      <c r="D8802" t="str">
        <f>"9781587654619"</f>
        <v>9781587654619</v>
      </c>
      <c r="E8802" t="s">
        <v>9058</v>
      </c>
      <c r="F8802" t="s">
        <v>9058</v>
      </c>
      <c r="G8802" s="1">
        <v>39661</v>
      </c>
      <c r="H8802" s="1">
        <v>1</v>
      </c>
      <c r="I8802" t="s">
        <v>12</v>
      </c>
      <c r="J8802" t="s">
        <v>19572</v>
      </c>
    </row>
    <row r="8803" spans="1:10" x14ac:dyDescent="0.25">
      <c r="A8803">
        <v>4471426</v>
      </c>
      <c r="B8803" t="s">
        <v>9316</v>
      </c>
      <c r="C8803" t="str">
        <f>"9781587654596"</f>
        <v>9781587654596</v>
      </c>
      <c r="D8803" t="str">
        <f>"9781587654619"</f>
        <v>9781587654619</v>
      </c>
      <c r="E8803" t="s">
        <v>9058</v>
      </c>
      <c r="F8803" t="s">
        <v>9058</v>
      </c>
      <c r="G8803" s="1">
        <v>39661</v>
      </c>
      <c r="H8803" s="1">
        <v>1</v>
      </c>
      <c r="I8803" t="s">
        <v>12</v>
      </c>
      <c r="J8803" t="s">
        <v>19573</v>
      </c>
    </row>
    <row r="8804" spans="1:10" x14ac:dyDescent="0.25">
      <c r="A8804">
        <v>4471441</v>
      </c>
      <c r="B8804" t="s">
        <v>9317</v>
      </c>
      <c r="C8804" t="str">
        <f>"9781587655173"</f>
        <v>9781587655173</v>
      </c>
      <c r="D8804" t="str">
        <f>"9781587655289"</f>
        <v>9781587655289</v>
      </c>
      <c r="E8804" t="s">
        <v>9058</v>
      </c>
      <c r="F8804" t="s">
        <v>9058</v>
      </c>
      <c r="G8804" s="1">
        <v>39934</v>
      </c>
      <c r="H8804" s="1">
        <v>1</v>
      </c>
      <c r="I8804" t="s">
        <v>12</v>
      </c>
      <c r="J8804" t="s">
        <v>19574</v>
      </c>
    </row>
    <row r="8805" spans="1:10" x14ac:dyDescent="0.25">
      <c r="A8805">
        <v>4471443</v>
      </c>
      <c r="B8805" t="s">
        <v>9318</v>
      </c>
      <c r="C8805" t="str">
        <f>"9781587655166"</f>
        <v>9781587655166</v>
      </c>
      <c r="D8805" t="str">
        <f>"9781587655289"</f>
        <v>9781587655289</v>
      </c>
      <c r="E8805" t="s">
        <v>9058</v>
      </c>
      <c r="F8805" t="s">
        <v>9058</v>
      </c>
      <c r="G8805" s="1">
        <v>39934</v>
      </c>
      <c r="H8805" s="1">
        <v>1</v>
      </c>
      <c r="I8805" t="s">
        <v>12</v>
      </c>
      <c r="J8805" t="s">
        <v>19575</v>
      </c>
    </row>
    <row r="8806" spans="1:10" x14ac:dyDescent="0.25">
      <c r="A8806">
        <v>4471444</v>
      </c>
      <c r="B8806" t="s">
        <v>9319</v>
      </c>
      <c r="C8806" t="str">
        <f>"9781587655135"</f>
        <v>9781587655135</v>
      </c>
      <c r="D8806" t="str">
        <f>"9781587655289"</f>
        <v>9781587655289</v>
      </c>
      <c r="E8806" t="s">
        <v>9058</v>
      </c>
      <c r="F8806" t="s">
        <v>9058</v>
      </c>
      <c r="G8806" s="1">
        <v>39934</v>
      </c>
      <c r="H8806" s="1">
        <v>1</v>
      </c>
      <c r="I8806" t="s">
        <v>12</v>
      </c>
      <c r="J8806" t="s">
        <v>19576</v>
      </c>
    </row>
    <row r="8807" spans="1:10" x14ac:dyDescent="0.25">
      <c r="A8807">
        <v>4471445</v>
      </c>
      <c r="B8807" t="s">
        <v>9320</v>
      </c>
      <c r="C8807" t="str">
        <f>"9781587655142"</f>
        <v>9781587655142</v>
      </c>
      <c r="D8807" t="str">
        <f>"9781587655289"</f>
        <v>9781587655289</v>
      </c>
      <c r="E8807" t="s">
        <v>9058</v>
      </c>
      <c r="F8807" t="s">
        <v>9058</v>
      </c>
      <c r="G8807" s="1">
        <v>39934</v>
      </c>
      <c r="H8807" s="1">
        <v>1</v>
      </c>
      <c r="I8807" t="s">
        <v>12</v>
      </c>
      <c r="J8807" t="s">
        <v>19577</v>
      </c>
    </row>
    <row r="8808" spans="1:10" x14ac:dyDescent="0.25">
      <c r="A8808">
        <v>4471501</v>
      </c>
      <c r="B8808" t="s">
        <v>9321</v>
      </c>
      <c r="C8808" t="str">
        <f>"9781587653834"</f>
        <v>9781587653834</v>
      </c>
      <c r="D8808" t="str">
        <f>"9781587654138"</f>
        <v>9781587654138</v>
      </c>
      <c r="E8808" t="s">
        <v>9058</v>
      </c>
      <c r="F8808" t="s">
        <v>9058</v>
      </c>
      <c r="G8808" s="1">
        <v>39326</v>
      </c>
      <c r="H8808" s="1">
        <v>1</v>
      </c>
      <c r="I8808" t="s">
        <v>12</v>
      </c>
      <c r="J8808" t="s">
        <v>19578</v>
      </c>
    </row>
    <row r="8809" spans="1:10" x14ac:dyDescent="0.25">
      <c r="A8809">
        <v>4500502</v>
      </c>
      <c r="B8809" t="s">
        <v>9322</v>
      </c>
      <c r="C8809" t="str">
        <f>"9781472915443"</f>
        <v>9781472915443</v>
      </c>
      <c r="D8809" t="str">
        <f>"9781472915467"</f>
        <v>9781472915467</v>
      </c>
      <c r="E8809" t="s">
        <v>4180</v>
      </c>
      <c r="F8809" t="s">
        <v>9255</v>
      </c>
      <c r="G8809" s="1">
        <v>42467</v>
      </c>
      <c r="H8809" s="1">
        <v>42469</v>
      </c>
      <c r="I8809" t="s">
        <v>12</v>
      </c>
      <c r="J8809" t="s">
        <v>19579</v>
      </c>
    </row>
    <row r="8810" spans="1:10" x14ac:dyDescent="0.25">
      <c r="A8810">
        <v>4505174</v>
      </c>
      <c r="B8810" t="s">
        <v>9323</v>
      </c>
      <c r="C8810" t="str">
        <f>"9780814416006"</f>
        <v>9780814416006</v>
      </c>
      <c r="D8810" t="str">
        <f>"9780814429372"</f>
        <v>9780814429372</v>
      </c>
      <c r="E8810" t="s">
        <v>1080</v>
      </c>
      <c r="F8810" t="s">
        <v>1080</v>
      </c>
      <c r="G8810" s="1">
        <v>38742</v>
      </c>
      <c r="H8810" s="1">
        <v>42496</v>
      </c>
      <c r="I8810" t="s">
        <v>12</v>
      </c>
      <c r="J8810" t="s">
        <v>19580</v>
      </c>
    </row>
    <row r="8811" spans="1:10" x14ac:dyDescent="0.25">
      <c r="A8811">
        <v>4509144</v>
      </c>
      <c r="B8811" t="s">
        <v>9324</v>
      </c>
      <c r="C8811" t="str">
        <f>"9781844863266"</f>
        <v>9781844863266</v>
      </c>
      <c r="D8811" t="str">
        <f>"9781844864386"</f>
        <v>9781844864386</v>
      </c>
      <c r="E8811" t="s">
        <v>4180</v>
      </c>
      <c r="F8811" t="s">
        <v>9325</v>
      </c>
      <c r="G8811" s="1">
        <v>42626</v>
      </c>
      <c r="H8811" s="1">
        <v>42497</v>
      </c>
      <c r="I8811" t="s">
        <v>12</v>
      </c>
      <c r="J8811" t="s">
        <v>19581</v>
      </c>
    </row>
    <row r="8812" spans="1:10" x14ac:dyDescent="0.25">
      <c r="A8812">
        <v>4512049</v>
      </c>
      <c r="B8812" t="s">
        <v>9326</v>
      </c>
      <c r="C8812" t="str">
        <f>"9781474221252"</f>
        <v>9781474221252</v>
      </c>
      <c r="D8812" t="str">
        <f>"9781474221283"</f>
        <v>9781474221283</v>
      </c>
      <c r="E8812" t="s">
        <v>4180</v>
      </c>
      <c r="F8812" t="s">
        <v>6461</v>
      </c>
      <c r="G8812" s="1">
        <v>42579</v>
      </c>
      <c r="H8812" s="1">
        <v>42497</v>
      </c>
      <c r="I8812" t="s">
        <v>12</v>
      </c>
      <c r="J8812" t="s">
        <v>19582</v>
      </c>
    </row>
    <row r="8813" spans="1:10" x14ac:dyDescent="0.25">
      <c r="A8813">
        <v>4516156</v>
      </c>
      <c r="B8813" t="s">
        <v>9327</v>
      </c>
      <c r="C8813" t="str">
        <f>"9781845415686"</f>
        <v>9781845415686</v>
      </c>
      <c r="D8813" t="str">
        <f>"9781845415709"</f>
        <v>9781845415709</v>
      </c>
      <c r="E8813" t="s">
        <v>886</v>
      </c>
      <c r="F8813" t="s">
        <v>886</v>
      </c>
      <c r="G8813" s="1">
        <v>42493</v>
      </c>
      <c r="H8813" s="1">
        <v>42497</v>
      </c>
      <c r="I8813" t="s">
        <v>12</v>
      </c>
      <c r="J8813" t="s">
        <v>19583</v>
      </c>
    </row>
    <row r="8814" spans="1:10" x14ac:dyDescent="0.25">
      <c r="A8814">
        <v>4526401</v>
      </c>
      <c r="B8814" t="s">
        <v>9328</v>
      </c>
      <c r="C8814" t="str">
        <f>"9781472924858"</f>
        <v>9781472924858</v>
      </c>
      <c r="D8814" t="str">
        <f>"9781472924872"</f>
        <v>9781472924872</v>
      </c>
      <c r="E8814" t="s">
        <v>4180</v>
      </c>
      <c r="F8814" t="s">
        <v>9329</v>
      </c>
      <c r="G8814" s="1">
        <v>42549</v>
      </c>
      <c r="H8814" s="1">
        <v>42546</v>
      </c>
      <c r="I8814" t="s">
        <v>12</v>
      </c>
      <c r="J8814" t="s">
        <v>19584</v>
      </c>
    </row>
    <row r="8815" spans="1:10" x14ac:dyDescent="0.25">
      <c r="A8815">
        <v>4532992</v>
      </c>
      <c r="B8815" t="s">
        <v>9330</v>
      </c>
      <c r="C8815" t="str">
        <f>"9781558493124"</f>
        <v>9781558493124</v>
      </c>
      <c r="D8815" t="str">
        <f>"9781613760802"</f>
        <v>9781613760802</v>
      </c>
      <c r="E8815" t="s">
        <v>9331</v>
      </c>
      <c r="F8815" t="s">
        <v>9331</v>
      </c>
      <c r="G8815" s="1">
        <v>37235</v>
      </c>
      <c r="H8815" s="1">
        <v>42516</v>
      </c>
      <c r="I8815" t="s">
        <v>12</v>
      </c>
      <c r="J8815" t="s">
        <v>19585</v>
      </c>
    </row>
    <row r="8816" spans="1:10" x14ac:dyDescent="0.25">
      <c r="A8816">
        <v>4533754</v>
      </c>
      <c r="B8816" t="s">
        <v>9332</v>
      </c>
      <c r="C8816" t="str">
        <f>"9781783095889"</f>
        <v>9781783095889</v>
      </c>
      <c r="D8816" t="str">
        <f>"9781783095896"</f>
        <v>9781783095896</v>
      </c>
      <c r="E8816" t="s">
        <v>886</v>
      </c>
      <c r="F8816" t="s">
        <v>887</v>
      </c>
      <c r="G8816" s="1">
        <v>42523</v>
      </c>
      <c r="H8816" s="1">
        <v>42522</v>
      </c>
      <c r="I8816" t="s">
        <v>12</v>
      </c>
      <c r="J8816" t="s">
        <v>19586</v>
      </c>
    </row>
    <row r="8817" spans="1:10" x14ac:dyDescent="0.25">
      <c r="A8817">
        <v>4556996</v>
      </c>
      <c r="B8817" t="s">
        <v>9333</v>
      </c>
      <c r="C8817" t="str">
        <f>"9780826126528"</f>
        <v>9780826126528</v>
      </c>
      <c r="D8817" t="str">
        <f>"9780826126535"</f>
        <v>9780826126535</v>
      </c>
      <c r="E8817" t="s">
        <v>3016</v>
      </c>
      <c r="F8817" t="s">
        <v>3016</v>
      </c>
      <c r="G8817" s="1">
        <v>42505</v>
      </c>
      <c r="H8817" s="1">
        <v>42535</v>
      </c>
      <c r="I8817" t="s">
        <v>12</v>
      </c>
      <c r="J8817" t="s">
        <v>19587</v>
      </c>
    </row>
    <row r="8818" spans="1:10" x14ac:dyDescent="0.25">
      <c r="A8818">
        <v>4558318</v>
      </c>
      <c r="B8818" t="s">
        <v>9334</v>
      </c>
      <c r="C8818" t="str">
        <f>"9781472529060"</f>
        <v>9781472529060</v>
      </c>
      <c r="D8818" t="str">
        <f>"9781474286220"</f>
        <v>9781474286220</v>
      </c>
      <c r="E8818" t="s">
        <v>4180</v>
      </c>
      <c r="F8818" t="s">
        <v>6461</v>
      </c>
      <c r="G8818" s="1">
        <v>42621</v>
      </c>
      <c r="H8818" s="1">
        <v>42538</v>
      </c>
      <c r="I8818" t="s">
        <v>12</v>
      </c>
      <c r="J8818" t="s">
        <v>19588</v>
      </c>
    </row>
    <row r="8819" spans="1:10" x14ac:dyDescent="0.25">
      <c r="A8819">
        <v>4591604</v>
      </c>
      <c r="B8819" t="s">
        <v>9335</v>
      </c>
      <c r="C8819" t="str">
        <f>"9780465013616"</f>
        <v>9780465013616</v>
      </c>
      <c r="D8819" t="str">
        <f>"9780465021178"</f>
        <v>9780465021178</v>
      </c>
      <c r="E8819" t="s">
        <v>6227</v>
      </c>
      <c r="F8819" t="s">
        <v>6227</v>
      </c>
      <c r="G8819" s="1">
        <v>40274</v>
      </c>
      <c r="H8819" s="1">
        <v>42614</v>
      </c>
      <c r="I8819" t="s">
        <v>12</v>
      </c>
      <c r="J8819" t="s">
        <v>19589</v>
      </c>
    </row>
    <row r="8820" spans="1:10" x14ac:dyDescent="0.25">
      <c r="A8820">
        <v>4591803</v>
      </c>
      <c r="B8820" t="s">
        <v>9336</v>
      </c>
      <c r="C8820" t="str">
        <f>"9781845415730"</f>
        <v>9781845415730</v>
      </c>
      <c r="D8820" t="str">
        <f>"9781845415754"</f>
        <v>9781845415754</v>
      </c>
      <c r="E8820" t="s">
        <v>886</v>
      </c>
      <c r="F8820" t="s">
        <v>886</v>
      </c>
      <c r="G8820" s="1">
        <v>42578</v>
      </c>
      <c r="H8820" s="1">
        <v>42564</v>
      </c>
      <c r="I8820" t="s">
        <v>12</v>
      </c>
      <c r="J8820" t="s">
        <v>19590</v>
      </c>
    </row>
    <row r="8821" spans="1:10" x14ac:dyDescent="0.25">
      <c r="A8821">
        <v>4592150</v>
      </c>
      <c r="B8821" t="s">
        <v>9337</v>
      </c>
      <c r="C8821" t="str">
        <f>"9780826131577"</f>
        <v>9780826131577</v>
      </c>
      <c r="D8821" t="str">
        <f>"9780826131584"</f>
        <v>9780826131584</v>
      </c>
      <c r="E8821" t="s">
        <v>3016</v>
      </c>
      <c r="F8821" t="s">
        <v>3016</v>
      </c>
      <c r="G8821" s="1">
        <v>42565</v>
      </c>
      <c r="H8821" s="1">
        <v>42565</v>
      </c>
      <c r="I8821" t="s">
        <v>12</v>
      </c>
      <c r="J8821" t="s">
        <v>19591</v>
      </c>
    </row>
    <row r="8822" spans="1:10" x14ac:dyDescent="0.25">
      <c r="A8822">
        <v>4592619</v>
      </c>
      <c r="B8822" t="s">
        <v>9338</v>
      </c>
      <c r="C8822" t="str">
        <f>"9781472595959"</f>
        <v>9781472595959</v>
      </c>
      <c r="D8822" t="str">
        <f>"9781472595973"</f>
        <v>9781472595973</v>
      </c>
      <c r="E8822" t="s">
        <v>4180</v>
      </c>
      <c r="F8822" t="s">
        <v>6461</v>
      </c>
      <c r="G8822" s="1">
        <v>42677</v>
      </c>
      <c r="H8822" s="1">
        <v>42567</v>
      </c>
      <c r="I8822" t="s">
        <v>12</v>
      </c>
      <c r="J8822" t="s">
        <v>19592</v>
      </c>
    </row>
    <row r="8823" spans="1:10" x14ac:dyDescent="0.25">
      <c r="A8823">
        <v>4603097</v>
      </c>
      <c r="B8823" t="s">
        <v>9339</v>
      </c>
      <c r="C8823" t="str">
        <f>"9781844864096"</f>
        <v>9781844864096</v>
      </c>
      <c r="D8823" t="str">
        <f>"9781844864102"</f>
        <v>9781844864102</v>
      </c>
      <c r="E8823" t="s">
        <v>4180</v>
      </c>
      <c r="F8823" t="s">
        <v>9325</v>
      </c>
      <c r="G8823" s="1">
        <v>40029</v>
      </c>
      <c r="H8823" s="1">
        <v>42572</v>
      </c>
      <c r="I8823" t="s">
        <v>12</v>
      </c>
      <c r="J8823" t="s">
        <v>19593</v>
      </c>
    </row>
    <row r="8824" spans="1:10" x14ac:dyDescent="0.25">
      <c r="A8824">
        <v>4605474</v>
      </c>
      <c r="B8824" t="s">
        <v>9340</v>
      </c>
      <c r="C8824" t="str">
        <f>"9780826122537"</f>
        <v>9780826122537</v>
      </c>
      <c r="D8824" t="str">
        <f>"9780826122544"</f>
        <v>9780826122544</v>
      </c>
      <c r="E8824" t="s">
        <v>3016</v>
      </c>
      <c r="F8824" t="s">
        <v>3016</v>
      </c>
      <c r="G8824" s="1">
        <v>42641</v>
      </c>
      <c r="H8824" s="1">
        <v>42574</v>
      </c>
      <c r="I8824" t="s">
        <v>12</v>
      </c>
      <c r="J8824" t="s">
        <v>19594</v>
      </c>
    </row>
    <row r="8825" spans="1:10" x14ac:dyDescent="0.25">
      <c r="A8825">
        <v>4616240</v>
      </c>
      <c r="B8825" t="s">
        <v>9341</v>
      </c>
      <c r="C8825" t="str">
        <f>"9780814431627"</f>
        <v>9780814431627</v>
      </c>
      <c r="D8825" t="str">
        <f>"9780814409800"</f>
        <v>9780814409800</v>
      </c>
      <c r="E8825" t="s">
        <v>1080</v>
      </c>
      <c r="F8825" t="s">
        <v>1080</v>
      </c>
      <c r="G8825" s="1">
        <v>39344</v>
      </c>
      <c r="H8825" s="1">
        <v>42581</v>
      </c>
      <c r="I8825" t="s">
        <v>12</v>
      </c>
      <c r="J8825" t="s">
        <v>19595</v>
      </c>
    </row>
    <row r="8826" spans="1:10" x14ac:dyDescent="0.25">
      <c r="A8826">
        <v>4621037</v>
      </c>
      <c r="B8826" t="s">
        <v>9342</v>
      </c>
      <c r="C8826" t="str">
        <f>"9781936303960"</f>
        <v>9781936303960</v>
      </c>
      <c r="D8826" t="str">
        <f>"9781617052811"</f>
        <v>9781617052811</v>
      </c>
      <c r="E8826" t="s">
        <v>3016</v>
      </c>
      <c r="F8826" t="s">
        <v>5873</v>
      </c>
      <c r="G8826" s="1">
        <v>42610</v>
      </c>
      <c r="H8826" s="1">
        <v>42585</v>
      </c>
      <c r="I8826" t="s">
        <v>12</v>
      </c>
      <c r="J8826" t="s">
        <v>19596</v>
      </c>
    </row>
    <row r="8827" spans="1:10" x14ac:dyDescent="0.25">
      <c r="A8827">
        <v>4625094</v>
      </c>
      <c r="B8827" t="s">
        <v>9343</v>
      </c>
      <c r="C8827" t="str">
        <f>"9780826131522"</f>
        <v>9780826131522</v>
      </c>
      <c r="D8827" t="str">
        <f>"9780826131539"</f>
        <v>9780826131539</v>
      </c>
      <c r="E8827" t="s">
        <v>3016</v>
      </c>
      <c r="F8827" t="s">
        <v>3016</v>
      </c>
      <c r="G8827" s="1">
        <v>42641</v>
      </c>
      <c r="H8827" s="1">
        <v>42587</v>
      </c>
      <c r="I8827" t="s">
        <v>12</v>
      </c>
      <c r="J8827" t="s">
        <v>19597</v>
      </c>
    </row>
    <row r="8828" spans="1:10" x14ac:dyDescent="0.25">
      <c r="A8828">
        <v>4625095</v>
      </c>
      <c r="B8828" t="s">
        <v>9344</v>
      </c>
      <c r="C8828" t="str">
        <f>"9780826194510"</f>
        <v>9780826194510</v>
      </c>
      <c r="D8828" t="str">
        <f>"9780826194527"</f>
        <v>9780826194527</v>
      </c>
      <c r="E8828" t="s">
        <v>3016</v>
      </c>
      <c r="F8828" t="s">
        <v>3016</v>
      </c>
      <c r="G8828" s="1">
        <v>41883</v>
      </c>
      <c r="H8828" s="1">
        <v>42587</v>
      </c>
      <c r="I8828" t="s">
        <v>12</v>
      </c>
      <c r="J8828" t="s">
        <v>19598</v>
      </c>
    </row>
    <row r="8829" spans="1:10" x14ac:dyDescent="0.25">
      <c r="A8829">
        <v>4634297</v>
      </c>
      <c r="B8829" t="s">
        <v>9345</v>
      </c>
      <c r="C8829" t="str">
        <f>"9780824708863"</f>
        <v>9780824708863</v>
      </c>
      <c r="D8829" t="str">
        <f>"9781482275889"</f>
        <v>9781482275889</v>
      </c>
      <c r="E8829" t="s">
        <v>144</v>
      </c>
      <c r="F8829" t="s">
        <v>139</v>
      </c>
      <c r="G8829" s="1">
        <v>37602</v>
      </c>
      <c r="H8829" s="1">
        <v>1</v>
      </c>
      <c r="I8829" t="s">
        <v>12</v>
      </c>
      <c r="J8829" t="s">
        <v>19599</v>
      </c>
    </row>
    <row r="8830" spans="1:10" x14ac:dyDescent="0.25">
      <c r="A8830">
        <v>4634779</v>
      </c>
      <c r="B8830" t="s">
        <v>9346</v>
      </c>
      <c r="C8830" t="str">
        <f>"9781935251736"</f>
        <v>9781935251736</v>
      </c>
      <c r="D8830" t="str">
        <f>"9781935618225"</f>
        <v>9781935618225</v>
      </c>
      <c r="E8830" t="s">
        <v>9347</v>
      </c>
      <c r="F8830" t="s">
        <v>9347</v>
      </c>
      <c r="G8830" s="1">
        <v>40274</v>
      </c>
      <c r="H8830" s="1">
        <v>1</v>
      </c>
      <c r="I8830" t="s">
        <v>12</v>
      </c>
      <c r="J8830" t="s">
        <v>19600</v>
      </c>
    </row>
    <row r="8831" spans="1:10" x14ac:dyDescent="0.25">
      <c r="A8831">
        <v>4634801</v>
      </c>
      <c r="B8831" t="s">
        <v>9348</v>
      </c>
      <c r="C8831" t="str">
        <f>"9780979777752"</f>
        <v>9780979777752</v>
      </c>
      <c r="D8831" t="str">
        <f>"9780979777776"</f>
        <v>9780979777776</v>
      </c>
      <c r="E8831" t="s">
        <v>9349</v>
      </c>
      <c r="F8831" t="s">
        <v>9349</v>
      </c>
      <c r="G8831" s="1">
        <v>40442</v>
      </c>
      <c r="H8831" s="1">
        <v>1</v>
      </c>
      <c r="I8831" t="s">
        <v>12</v>
      </c>
      <c r="J8831" t="s">
        <v>19601</v>
      </c>
    </row>
    <row r="8832" spans="1:10" x14ac:dyDescent="0.25">
      <c r="A8832">
        <v>4635025</v>
      </c>
      <c r="B8832" t="s">
        <v>9350</v>
      </c>
      <c r="C8832" t="str">
        <f>"9780566080777"</f>
        <v>9780566080777</v>
      </c>
      <c r="D8832" t="str">
        <f>"9780754682721"</f>
        <v>9780754682721</v>
      </c>
      <c r="E8832" t="s">
        <v>9351</v>
      </c>
      <c r="F8832" t="s">
        <v>9352</v>
      </c>
      <c r="G8832" s="1">
        <v>38322</v>
      </c>
      <c r="H8832" s="1">
        <v>1</v>
      </c>
      <c r="I8832" t="s">
        <v>12</v>
      </c>
      <c r="J8832" t="s">
        <v>19602</v>
      </c>
    </row>
    <row r="8833" spans="1:10" x14ac:dyDescent="0.25">
      <c r="A8833">
        <v>4635039</v>
      </c>
      <c r="B8833" t="s">
        <v>9353</v>
      </c>
      <c r="C8833" t="str">
        <f>"9780750645539"</f>
        <v>9780750645539</v>
      </c>
      <c r="D8833" t="str">
        <f>"9780080454573"</f>
        <v>9780080454573</v>
      </c>
      <c r="E8833" t="s">
        <v>16</v>
      </c>
      <c r="F8833" t="s">
        <v>16</v>
      </c>
      <c r="G8833" s="1">
        <v>38383</v>
      </c>
      <c r="H8833" s="1">
        <v>1</v>
      </c>
      <c r="I8833" t="s">
        <v>12</v>
      </c>
      <c r="J8833" t="s">
        <v>19603</v>
      </c>
    </row>
    <row r="8834" spans="1:10" x14ac:dyDescent="0.25">
      <c r="A8834">
        <v>4636333</v>
      </c>
      <c r="B8834" t="s">
        <v>9354</v>
      </c>
      <c r="C8834" t="str">
        <f>"9780713682861"</f>
        <v>9780713682861</v>
      </c>
      <c r="D8834" t="str">
        <f>"9781408102282"</f>
        <v>9781408102282</v>
      </c>
      <c r="E8834" t="s">
        <v>8010</v>
      </c>
      <c r="F8834" t="s">
        <v>8010</v>
      </c>
      <c r="G8834" s="1">
        <v>39174</v>
      </c>
      <c r="H8834" s="1">
        <v>1</v>
      </c>
      <c r="I8834" t="s">
        <v>12</v>
      </c>
      <c r="J8834" t="s">
        <v>19604</v>
      </c>
    </row>
    <row r="8835" spans="1:10" x14ac:dyDescent="0.25">
      <c r="A8835">
        <v>4636363</v>
      </c>
      <c r="B8835" t="s">
        <v>9355</v>
      </c>
      <c r="C8835" t="str">
        <f>"9781845204518"</f>
        <v>9781845204518</v>
      </c>
      <c r="D8835" t="str">
        <f>"9781847884695"</f>
        <v>9781847884695</v>
      </c>
      <c r="E8835" t="s">
        <v>5919</v>
      </c>
      <c r="F8835" t="s">
        <v>5919</v>
      </c>
      <c r="G8835" s="1">
        <v>40026</v>
      </c>
      <c r="H8835" s="1">
        <v>43699</v>
      </c>
      <c r="I8835" t="s">
        <v>12</v>
      </c>
      <c r="J8835" t="s">
        <v>19605</v>
      </c>
    </row>
    <row r="8836" spans="1:10" x14ac:dyDescent="0.25">
      <c r="A8836">
        <v>4636471</v>
      </c>
      <c r="B8836" t="s">
        <v>9356</v>
      </c>
      <c r="C8836" t="str">
        <f>"9780974753508"</f>
        <v>9780974753508</v>
      </c>
      <c r="D8836" t="str">
        <f>"9780974753515"</f>
        <v>9780974753515</v>
      </c>
      <c r="E8836" t="s">
        <v>9357</v>
      </c>
      <c r="F8836" t="s">
        <v>9358</v>
      </c>
      <c r="G8836" s="1">
        <v>40238</v>
      </c>
      <c r="H8836" s="1">
        <v>1</v>
      </c>
      <c r="I8836" t="s">
        <v>12</v>
      </c>
      <c r="J8836" t="s">
        <v>19606</v>
      </c>
    </row>
    <row r="8837" spans="1:10" x14ac:dyDescent="0.25">
      <c r="A8837">
        <v>4641607</v>
      </c>
      <c r="B8837" t="s">
        <v>9359</v>
      </c>
      <c r="C8837" t="str">
        <f>"9780824709273"</f>
        <v>9780824709273</v>
      </c>
      <c r="D8837" t="str">
        <f>"9780203912195"</f>
        <v>9780203912195</v>
      </c>
      <c r="E8837" t="s">
        <v>144</v>
      </c>
      <c r="F8837" t="s">
        <v>144</v>
      </c>
      <c r="G8837" s="1">
        <v>41750</v>
      </c>
      <c r="H8837" s="1">
        <v>43312</v>
      </c>
      <c r="I8837" t="s">
        <v>12</v>
      </c>
      <c r="J8837" t="s">
        <v>19607</v>
      </c>
    </row>
    <row r="8838" spans="1:10" x14ac:dyDescent="0.25">
      <c r="A8838">
        <v>4642291</v>
      </c>
      <c r="B8838" t="s">
        <v>9360</v>
      </c>
      <c r="C8838" t="str">
        <f>"9788185771656"</f>
        <v>9788185771656</v>
      </c>
      <c r="D8838" t="str">
        <f>"9788185771656"</f>
        <v>9788185771656</v>
      </c>
      <c r="E8838" t="s">
        <v>8130</v>
      </c>
      <c r="F8838" t="s">
        <v>6493</v>
      </c>
      <c r="G8838" s="1">
        <v>40148</v>
      </c>
      <c r="H8838" s="1">
        <v>1</v>
      </c>
      <c r="I8838" t="s">
        <v>12</v>
      </c>
      <c r="J8838" t="s">
        <v>19608</v>
      </c>
    </row>
    <row r="8839" spans="1:10" x14ac:dyDescent="0.25">
      <c r="A8839">
        <v>4642296</v>
      </c>
      <c r="B8839" t="s">
        <v>9361</v>
      </c>
      <c r="C8839" t="str">
        <f>"9788189011079"</f>
        <v>9788189011079</v>
      </c>
      <c r="D8839" t="str">
        <f>"9788189011079"</f>
        <v>9788189011079</v>
      </c>
      <c r="E8839" t="s">
        <v>8130</v>
      </c>
      <c r="F8839" t="s">
        <v>6493</v>
      </c>
      <c r="G8839" s="1">
        <v>40148</v>
      </c>
      <c r="H8839" s="1">
        <v>1</v>
      </c>
      <c r="I8839" t="s">
        <v>12</v>
      </c>
      <c r="J8839" t="s">
        <v>19609</v>
      </c>
    </row>
    <row r="8840" spans="1:10" x14ac:dyDescent="0.25">
      <c r="A8840">
        <v>4642299</v>
      </c>
      <c r="B8840" t="s">
        <v>9362</v>
      </c>
      <c r="C8840" t="str">
        <f>"9788189011581"</f>
        <v>9788189011581</v>
      </c>
      <c r="D8840" t="str">
        <f>"9788189011581"</f>
        <v>9788189011581</v>
      </c>
      <c r="E8840" t="s">
        <v>8130</v>
      </c>
      <c r="F8840" t="s">
        <v>6493</v>
      </c>
      <c r="G8840" s="1">
        <v>40148</v>
      </c>
      <c r="H8840" s="1">
        <v>1</v>
      </c>
      <c r="I8840" t="s">
        <v>12</v>
      </c>
      <c r="J8840" t="s">
        <v>19610</v>
      </c>
    </row>
    <row r="8841" spans="1:10" x14ac:dyDescent="0.25">
      <c r="A8841">
        <v>4642302</v>
      </c>
      <c r="B8841" t="s">
        <v>9363</v>
      </c>
      <c r="C8841" t="str">
        <f>"9788189011109"</f>
        <v>9788189011109</v>
      </c>
      <c r="D8841" t="str">
        <f>"9788189011109"</f>
        <v>9788189011109</v>
      </c>
      <c r="E8841" t="s">
        <v>8130</v>
      </c>
      <c r="F8841" t="s">
        <v>6493</v>
      </c>
      <c r="G8841" s="1">
        <v>40148</v>
      </c>
      <c r="H8841" s="1">
        <v>1</v>
      </c>
      <c r="I8841" t="s">
        <v>12</v>
      </c>
      <c r="J8841" t="s">
        <v>19611</v>
      </c>
    </row>
    <row r="8842" spans="1:10" x14ac:dyDescent="0.25">
      <c r="A8842">
        <v>4642304</v>
      </c>
      <c r="B8842" t="s">
        <v>9364</v>
      </c>
      <c r="C8842" t="str">
        <f>"9788189011116"</f>
        <v>9788189011116</v>
      </c>
      <c r="D8842" t="str">
        <f>""</f>
        <v/>
      </c>
      <c r="E8842" t="s">
        <v>8130</v>
      </c>
      <c r="F8842" t="s">
        <v>6493</v>
      </c>
      <c r="G8842" s="1">
        <v>40148</v>
      </c>
      <c r="H8842" s="1">
        <v>1</v>
      </c>
      <c r="I8842" t="s">
        <v>12</v>
      </c>
      <c r="J8842" t="s">
        <v>19612</v>
      </c>
    </row>
    <row r="8843" spans="1:10" x14ac:dyDescent="0.25">
      <c r="A8843">
        <v>4642308</v>
      </c>
      <c r="B8843" t="s">
        <v>9365</v>
      </c>
      <c r="C8843" t="str">
        <f>"9788183760065"</f>
        <v>9788183760065</v>
      </c>
      <c r="D8843" t="str">
        <f>"9788183760065"</f>
        <v>9788183760065</v>
      </c>
      <c r="E8843" t="s">
        <v>8130</v>
      </c>
      <c r="F8843" t="s">
        <v>6493</v>
      </c>
      <c r="G8843" s="1">
        <v>40148</v>
      </c>
      <c r="H8843" s="1">
        <v>1</v>
      </c>
      <c r="I8843" t="s">
        <v>12</v>
      </c>
      <c r="J8843" t="s">
        <v>19613</v>
      </c>
    </row>
    <row r="8844" spans="1:10" x14ac:dyDescent="0.25">
      <c r="A8844">
        <v>4642310</v>
      </c>
      <c r="B8844" t="s">
        <v>9366</v>
      </c>
      <c r="C8844" t="str">
        <f>"9788189011987"</f>
        <v>9788189011987</v>
      </c>
      <c r="D8844" t="str">
        <f>"9788189011987"</f>
        <v>9788189011987</v>
      </c>
      <c r="E8844" t="s">
        <v>8130</v>
      </c>
      <c r="F8844" t="s">
        <v>6493</v>
      </c>
      <c r="G8844" s="1">
        <v>40148</v>
      </c>
      <c r="H8844" s="1">
        <v>1</v>
      </c>
      <c r="I8844" t="s">
        <v>12</v>
      </c>
      <c r="J8844" t="s">
        <v>19614</v>
      </c>
    </row>
    <row r="8845" spans="1:10" x14ac:dyDescent="0.25">
      <c r="A8845">
        <v>4642313</v>
      </c>
      <c r="B8845" t="s">
        <v>9367</v>
      </c>
      <c r="C8845" t="str">
        <f>"9788183760416"</f>
        <v>9788183760416</v>
      </c>
      <c r="D8845" t="str">
        <f>"9781282802377"</f>
        <v>9781282802377</v>
      </c>
      <c r="E8845" t="s">
        <v>8130</v>
      </c>
      <c r="F8845" t="s">
        <v>6493</v>
      </c>
      <c r="G8845" s="1">
        <v>40148</v>
      </c>
      <c r="H8845" s="1">
        <v>1</v>
      </c>
      <c r="I8845" t="s">
        <v>12</v>
      </c>
      <c r="J8845" t="s">
        <v>19615</v>
      </c>
    </row>
    <row r="8846" spans="1:10" x14ac:dyDescent="0.25">
      <c r="A8846">
        <v>4642322</v>
      </c>
      <c r="B8846" t="s">
        <v>9368</v>
      </c>
      <c r="C8846" t="str">
        <f>"9788185771151"</f>
        <v>9788185771151</v>
      </c>
      <c r="D8846" t="str">
        <f>"9788185771151"</f>
        <v>9788185771151</v>
      </c>
      <c r="E8846" t="s">
        <v>8130</v>
      </c>
      <c r="F8846" t="s">
        <v>6493</v>
      </c>
      <c r="G8846" s="1">
        <v>40148</v>
      </c>
      <c r="H8846" s="1">
        <v>1</v>
      </c>
      <c r="I8846" t="s">
        <v>12</v>
      </c>
      <c r="J8846" t="s">
        <v>19616</v>
      </c>
    </row>
    <row r="8847" spans="1:10" x14ac:dyDescent="0.25">
      <c r="A8847">
        <v>4642324</v>
      </c>
      <c r="B8847" t="s">
        <v>9369</v>
      </c>
      <c r="C8847" t="str">
        <f>"9788189011659"</f>
        <v>9788189011659</v>
      </c>
      <c r="D8847" t="str">
        <f>"9788189011659"</f>
        <v>9788189011659</v>
      </c>
      <c r="E8847" t="s">
        <v>8130</v>
      </c>
      <c r="F8847" t="s">
        <v>6493</v>
      </c>
      <c r="G8847" s="1">
        <v>40148</v>
      </c>
      <c r="H8847" s="1">
        <v>1</v>
      </c>
      <c r="I8847" t="s">
        <v>12</v>
      </c>
      <c r="J8847" t="s">
        <v>19617</v>
      </c>
    </row>
    <row r="8848" spans="1:10" x14ac:dyDescent="0.25">
      <c r="A8848">
        <v>4642330</v>
      </c>
      <c r="B8848" t="s">
        <v>9370</v>
      </c>
      <c r="C8848" t="str">
        <f>"9788185771304"</f>
        <v>9788185771304</v>
      </c>
      <c r="D8848" t="str">
        <f>"9788185771304"</f>
        <v>9788185771304</v>
      </c>
      <c r="E8848" t="s">
        <v>8130</v>
      </c>
      <c r="F8848" t="s">
        <v>6493</v>
      </c>
      <c r="G8848" s="1">
        <v>40148</v>
      </c>
      <c r="H8848" s="1">
        <v>1</v>
      </c>
      <c r="I8848" t="s">
        <v>12</v>
      </c>
      <c r="J8848" t="s">
        <v>19618</v>
      </c>
    </row>
    <row r="8849" spans="1:10" x14ac:dyDescent="0.25">
      <c r="A8849">
        <v>4642332</v>
      </c>
      <c r="B8849" t="s">
        <v>9371</v>
      </c>
      <c r="C8849" t="str">
        <f>"9788189011536"</f>
        <v>9788189011536</v>
      </c>
      <c r="D8849" t="str">
        <f>"9788189011536"</f>
        <v>9788189011536</v>
      </c>
      <c r="E8849" t="s">
        <v>8130</v>
      </c>
      <c r="F8849" t="s">
        <v>6493</v>
      </c>
      <c r="G8849" s="1">
        <v>40148</v>
      </c>
      <c r="H8849" s="1">
        <v>1</v>
      </c>
      <c r="I8849" t="s">
        <v>12</v>
      </c>
      <c r="J8849" t="s">
        <v>19619</v>
      </c>
    </row>
    <row r="8850" spans="1:10" x14ac:dyDescent="0.25">
      <c r="A8850">
        <v>4642335</v>
      </c>
      <c r="B8850" t="s">
        <v>8238</v>
      </c>
      <c r="C8850" t="str">
        <f>"9788183760478"</f>
        <v>9788183760478</v>
      </c>
      <c r="D8850" t="str">
        <f>"9788183760478"</f>
        <v>9788183760478</v>
      </c>
      <c r="E8850" t="s">
        <v>8130</v>
      </c>
      <c r="F8850" t="s">
        <v>6493</v>
      </c>
      <c r="G8850" s="1">
        <v>40148</v>
      </c>
      <c r="H8850" s="1">
        <v>1</v>
      </c>
      <c r="I8850" t="s">
        <v>12</v>
      </c>
      <c r="J8850" t="s">
        <v>19620</v>
      </c>
    </row>
    <row r="8851" spans="1:10" x14ac:dyDescent="0.25">
      <c r="A8851">
        <v>4642336</v>
      </c>
      <c r="B8851" t="s">
        <v>9372</v>
      </c>
      <c r="C8851" t="str">
        <f>"9788185771557"</f>
        <v>9788185771557</v>
      </c>
      <c r="D8851" t="str">
        <f>"9788185771557"</f>
        <v>9788185771557</v>
      </c>
      <c r="E8851" t="s">
        <v>8130</v>
      </c>
      <c r="F8851" t="s">
        <v>6493</v>
      </c>
      <c r="G8851" s="1">
        <v>40148</v>
      </c>
      <c r="H8851" s="1">
        <v>1</v>
      </c>
      <c r="I8851" t="s">
        <v>12</v>
      </c>
      <c r="J8851" t="s">
        <v>19621</v>
      </c>
    </row>
    <row r="8852" spans="1:10" x14ac:dyDescent="0.25">
      <c r="A8852">
        <v>4642339</v>
      </c>
      <c r="B8852" t="s">
        <v>9373</v>
      </c>
      <c r="C8852" t="str">
        <f>"9788183760171"</f>
        <v>9788183760171</v>
      </c>
      <c r="D8852" t="str">
        <f>""</f>
        <v/>
      </c>
      <c r="E8852" t="s">
        <v>8130</v>
      </c>
      <c r="F8852" t="s">
        <v>6493</v>
      </c>
      <c r="G8852" s="1">
        <v>40148</v>
      </c>
      <c r="H8852" s="1">
        <v>1</v>
      </c>
      <c r="I8852" t="s">
        <v>12</v>
      </c>
      <c r="J8852" t="s">
        <v>19622</v>
      </c>
    </row>
    <row r="8853" spans="1:10" x14ac:dyDescent="0.25">
      <c r="A8853">
        <v>4642352</v>
      </c>
      <c r="B8853" t="s">
        <v>9374</v>
      </c>
      <c r="C8853" t="str">
        <f>"9788189011147"</f>
        <v>9788189011147</v>
      </c>
      <c r="D8853" t="str">
        <f>""</f>
        <v/>
      </c>
      <c r="E8853" t="s">
        <v>8130</v>
      </c>
      <c r="F8853" t="s">
        <v>6493</v>
      </c>
      <c r="G8853" s="1">
        <v>40148</v>
      </c>
      <c r="H8853" s="1">
        <v>1</v>
      </c>
      <c r="I8853" t="s">
        <v>12</v>
      </c>
      <c r="J8853" t="s">
        <v>19623</v>
      </c>
    </row>
    <row r="8854" spans="1:10" x14ac:dyDescent="0.25">
      <c r="A8854">
        <v>4642353</v>
      </c>
      <c r="B8854" t="s">
        <v>9375</v>
      </c>
      <c r="C8854" t="str">
        <f>"9788189011772"</f>
        <v>9788189011772</v>
      </c>
      <c r="D8854" t="str">
        <f>"9788189011772"</f>
        <v>9788189011772</v>
      </c>
      <c r="E8854" t="s">
        <v>8130</v>
      </c>
      <c r="F8854" t="s">
        <v>6493</v>
      </c>
      <c r="G8854" s="1">
        <v>40148</v>
      </c>
      <c r="H8854" s="1">
        <v>1</v>
      </c>
      <c r="I8854" t="s">
        <v>12</v>
      </c>
      <c r="J8854" t="s">
        <v>19624</v>
      </c>
    </row>
    <row r="8855" spans="1:10" x14ac:dyDescent="0.25">
      <c r="A8855">
        <v>4642361</v>
      </c>
      <c r="B8855" t="s">
        <v>9376</v>
      </c>
      <c r="C8855" t="str">
        <f>"9788185771038"</f>
        <v>9788185771038</v>
      </c>
      <c r="D8855" t="str">
        <f>"9788185771038"</f>
        <v>9788185771038</v>
      </c>
      <c r="E8855" t="s">
        <v>8130</v>
      </c>
      <c r="F8855" t="s">
        <v>6493</v>
      </c>
      <c r="G8855" s="1">
        <v>40148</v>
      </c>
      <c r="H8855" s="1">
        <v>1</v>
      </c>
      <c r="I8855" t="s">
        <v>12</v>
      </c>
      <c r="J8855" t="s">
        <v>19625</v>
      </c>
    </row>
    <row r="8856" spans="1:10" x14ac:dyDescent="0.25">
      <c r="A8856">
        <v>4642363</v>
      </c>
      <c r="B8856" t="s">
        <v>9377</v>
      </c>
      <c r="C8856" t="str">
        <f>"9788185771533"</f>
        <v>9788185771533</v>
      </c>
      <c r="D8856" t="str">
        <f>"9788185771533"</f>
        <v>9788185771533</v>
      </c>
      <c r="E8856" t="s">
        <v>8130</v>
      </c>
      <c r="F8856" t="s">
        <v>6493</v>
      </c>
      <c r="G8856" s="1">
        <v>40148</v>
      </c>
      <c r="H8856" s="1">
        <v>1</v>
      </c>
      <c r="I8856" t="s">
        <v>12</v>
      </c>
      <c r="J8856" t="s">
        <v>19626</v>
      </c>
    </row>
    <row r="8857" spans="1:10" x14ac:dyDescent="0.25">
      <c r="A8857">
        <v>4642372</v>
      </c>
      <c r="B8857" t="s">
        <v>9378</v>
      </c>
      <c r="C8857" t="str">
        <f>"9781572307773"</f>
        <v>9781572307773</v>
      </c>
      <c r="D8857" t="str">
        <f>"9781593855550"</f>
        <v>9781593855550</v>
      </c>
      <c r="E8857" t="s">
        <v>4216</v>
      </c>
      <c r="F8857" t="s">
        <v>4216</v>
      </c>
      <c r="G8857" s="1">
        <v>37469</v>
      </c>
      <c r="H8857" s="1">
        <v>1</v>
      </c>
      <c r="I8857" t="s">
        <v>12</v>
      </c>
      <c r="J8857" t="s">
        <v>19627</v>
      </c>
    </row>
    <row r="8858" spans="1:10" x14ac:dyDescent="0.25">
      <c r="A8858">
        <v>4642373</v>
      </c>
      <c r="B8858" t="s">
        <v>9379</v>
      </c>
      <c r="C8858" t="str">
        <f>"9781593851408"</f>
        <v>9781593851408</v>
      </c>
      <c r="D8858" t="str">
        <f>"9781593855499"</f>
        <v>9781593855499</v>
      </c>
      <c r="E8858" t="s">
        <v>4216</v>
      </c>
      <c r="F8858" t="s">
        <v>4216</v>
      </c>
      <c r="G8858" s="1">
        <v>38443</v>
      </c>
      <c r="H8858" s="1">
        <v>1</v>
      </c>
      <c r="I8858" t="s">
        <v>12</v>
      </c>
      <c r="J8858" t="s">
        <v>19628</v>
      </c>
    </row>
    <row r="8859" spans="1:10" x14ac:dyDescent="0.25">
      <c r="A8859">
        <v>4642375</v>
      </c>
      <c r="B8859" t="s">
        <v>9380</v>
      </c>
      <c r="C8859" t="str">
        <f>"9781593852979"</f>
        <v>9781593852979</v>
      </c>
      <c r="D8859" t="str">
        <f>"9781593855222"</f>
        <v>9781593855222</v>
      </c>
      <c r="E8859" t="s">
        <v>4216</v>
      </c>
      <c r="F8859" t="s">
        <v>4216</v>
      </c>
      <c r="G8859" s="1">
        <v>38808</v>
      </c>
      <c r="H8859" s="1">
        <v>1</v>
      </c>
      <c r="I8859" t="s">
        <v>12</v>
      </c>
      <c r="J8859" t="s">
        <v>19629</v>
      </c>
    </row>
    <row r="8860" spans="1:10" x14ac:dyDescent="0.25">
      <c r="A8860">
        <v>4642378</v>
      </c>
      <c r="B8860" t="s">
        <v>9381</v>
      </c>
      <c r="C8860" t="str">
        <f>"9781593853921"</f>
        <v>9781593853921</v>
      </c>
      <c r="D8860" t="str">
        <f>"9781593856588"</f>
        <v>9781593856588</v>
      </c>
      <c r="E8860" t="s">
        <v>4216</v>
      </c>
      <c r="F8860" t="s">
        <v>4216</v>
      </c>
      <c r="G8860" s="1">
        <v>39083</v>
      </c>
      <c r="H8860" s="1">
        <v>1</v>
      </c>
      <c r="I8860" t="s">
        <v>12</v>
      </c>
      <c r="J8860" t="s">
        <v>19630</v>
      </c>
    </row>
    <row r="8861" spans="1:10" x14ac:dyDescent="0.25">
      <c r="A8861">
        <v>4642381</v>
      </c>
      <c r="B8861" t="s">
        <v>9382</v>
      </c>
      <c r="C8861" t="str">
        <f>"9781572306707"</f>
        <v>9781572306707</v>
      </c>
      <c r="D8861" t="str">
        <f>"9781593859343"</f>
        <v>9781593859343</v>
      </c>
      <c r="E8861" t="s">
        <v>4216</v>
      </c>
      <c r="F8861" t="s">
        <v>4216</v>
      </c>
      <c r="G8861" s="1">
        <v>37803</v>
      </c>
      <c r="H8861" s="1">
        <v>1</v>
      </c>
      <c r="I8861" t="s">
        <v>12</v>
      </c>
      <c r="J8861" t="s">
        <v>19631</v>
      </c>
    </row>
    <row r="8862" spans="1:10" x14ac:dyDescent="0.25">
      <c r="A8862">
        <v>4642391</v>
      </c>
      <c r="B8862" t="s">
        <v>9383</v>
      </c>
      <c r="C8862" t="str">
        <f>"9781572307988"</f>
        <v>9781572307988</v>
      </c>
      <c r="D8862" t="str">
        <f>"9781593859299"</f>
        <v>9781593859299</v>
      </c>
      <c r="E8862" t="s">
        <v>4216</v>
      </c>
      <c r="F8862" t="s">
        <v>4216</v>
      </c>
      <c r="G8862" s="1">
        <v>37530</v>
      </c>
      <c r="H8862" s="1">
        <v>1</v>
      </c>
      <c r="I8862" t="s">
        <v>12</v>
      </c>
      <c r="J8862" t="s">
        <v>19632</v>
      </c>
    </row>
    <row r="8863" spans="1:10" x14ac:dyDescent="0.25">
      <c r="A8863">
        <v>4642396</v>
      </c>
      <c r="B8863" t="s">
        <v>9384</v>
      </c>
      <c r="C8863" t="str">
        <f>"9781572308862"</f>
        <v>9781572308862</v>
      </c>
      <c r="D8863" t="str">
        <f>"9781593859497"</f>
        <v>9781593859497</v>
      </c>
      <c r="E8863" t="s">
        <v>4216</v>
      </c>
      <c r="F8863" t="s">
        <v>4216</v>
      </c>
      <c r="G8863" s="1">
        <v>37773</v>
      </c>
      <c r="H8863" s="1">
        <v>1</v>
      </c>
      <c r="I8863" t="s">
        <v>12</v>
      </c>
      <c r="J8863" t="s">
        <v>19633</v>
      </c>
    </row>
    <row r="8864" spans="1:10" x14ac:dyDescent="0.25">
      <c r="A8864">
        <v>4642405</v>
      </c>
      <c r="B8864" t="s">
        <v>9385</v>
      </c>
      <c r="C8864" t="str">
        <f>"9781572309777"</f>
        <v>9781572309777</v>
      </c>
      <c r="D8864" t="str">
        <f>"9781606231500"</f>
        <v>9781606231500</v>
      </c>
      <c r="E8864" t="s">
        <v>4216</v>
      </c>
      <c r="F8864" t="s">
        <v>4216</v>
      </c>
      <c r="G8864" s="1">
        <v>38169</v>
      </c>
      <c r="H8864" s="1">
        <v>1</v>
      </c>
      <c r="I8864" t="s">
        <v>12</v>
      </c>
      <c r="J8864" t="s">
        <v>19634</v>
      </c>
    </row>
    <row r="8865" spans="1:10" x14ac:dyDescent="0.25">
      <c r="A8865">
        <v>4642475</v>
      </c>
      <c r="B8865" t="s">
        <v>9386</v>
      </c>
      <c r="C8865" t="str">
        <f>"9780801883149"</f>
        <v>9780801883149</v>
      </c>
      <c r="D8865" t="str">
        <f>"9780801889295"</f>
        <v>9780801889295</v>
      </c>
      <c r="E8865" t="s">
        <v>8861</v>
      </c>
      <c r="F8865" t="s">
        <v>9387</v>
      </c>
      <c r="G8865" s="1">
        <v>39052</v>
      </c>
      <c r="H8865" s="1">
        <v>1</v>
      </c>
      <c r="I8865" t="s">
        <v>12</v>
      </c>
      <c r="J8865" t="s">
        <v>19635</v>
      </c>
    </row>
    <row r="8866" spans="1:10" x14ac:dyDescent="0.25">
      <c r="A8866">
        <v>4642480</v>
      </c>
      <c r="B8866" t="s">
        <v>9388</v>
      </c>
      <c r="C8866" t="str">
        <f>""</f>
        <v/>
      </c>
      <c r="D8866" t="str">
        <f>"9789027291486"</f>
        <v>9789027291486</v>
      </c>
      <c r="E8866" t="s">
        <v>6670</v>
      </c>
      <c r="F8866" t="s">
        <v>9389</v>
      </c>
      <c r="G8866" s="1">
        <v>39508</v>
      </c>
      <c r="H8866" s="1">
        <v>1</v>
      </c>
      <c r="I8866" t="s">
        <v>12</v>
      </c>
      <c r="J8866" t="s">
        <v>19636</v>
      </c>
    </row>
    <row r="8867" spans="1:10" x14ac:dyDescent="0.25">
      <c r="A8867">
        <v>4642495</v>
      </c>
      <c r="B8867" t="s">
        <v>9390</v>
      </c>
      <c r="C8867" t="str">
        <f>"9781405107020"</f>
        <v>9781405107020</v>
      </c>
      <c r="D8867" t="str">
        <f>"9781405150194"</f>
        <v>9781405150194</v>
      </c>
      <c r="E8867" t="s">
        <v>1089</v>
      </c>
      <c r="F8867" t="s">
        <v>9391</v>
      </c>
      <c r="G8867" s="1">
        <v>38687</v>
      </c>
      <c r="H8867" s="1">
        <v>1</v>
      </c>
      <c r="I8867" t="s">
        <v>12</v>
      </c>
      <c r="J8867" t="s">
        <v>19637</v>
      </c>
    </row>
    <row r="8868" spans="1:10" x14ac:dyDescent="0.25">
      <c r="A8868">
        <v>4642516</v>
      </c>
      <c r="B8868" t="s">
        <v>9392</v>
      </c>
      <c r="C8868" t="str">
        <f>"9780749442576"</f>
        <v>9780749442576</v>
      </c>
      <c r="D8868" t="str">
        <f>"9780749447106"</f>
        <v>9780749447106</v>
      </c>
      <c r="E8868" t="s">
        <v>1770</v>
      </c>
      <c r="F8868" t="s">
        <v>9393</v>
      </c>
      <c r="G8868" s="1">
        <v>38231</v>
      </c>
      <c r="H8868" s="1">
        <v>1</v>
      </c>
      <c r="I8868" t="s">
        <v>12</v>
      </c>
      <c r="J8868" t="s">
        <v>19638</v>
      </c>
    </row>
    <row r="8869" spans="1:10" x14ac:dyDescent="0.25">
      <c r="A8869">
        <v>4642525</v>
      </c>
      <c r="B8869" t="s">
        <v>9394</v>
      </c>
      <c r="C8869" t="str">
        <f>"9780749441814"</f>
        <v>9780749441814</v>
      </c>
      <c r="D8869" t="str">
        <f>"9780749445966"</f>
        <v>9780749445966</v>
      </c>
      <c r="E8869" t="s">
        <v>1770</v>
      </c>
      <c r="F8869" t="s">
        <v>9393</v>
      </c>
      <c r="G8869" s="1">
        <v>37956</v>
      </c>
      <c r="H8869" s="1">
        <v>1</v>
      </c>
      <c r="I8869" t="s">
        <v>12</v>
      </c>
      <c r="J8869" t="s">
        <v>19639</v>
      </c>
    </row>
    <row r="8870" spans="1:10" x14ac:dyDescent="0.25">
      <c r="A8870">
        <v>4642526</v>
      </c>
      <c r="B8870" t="s">
        <v>9395</v>
      </c>
      <c r="C8870" t="str">
        <f>"9780749444167"</f>
        <v>9780749444167</v>
      </c>
      <c r="D8870" t="str">
        <f>"9780749446000"</f>
        <v>9780749446000</v>
      </c>
      <c r="E8870" t="s">
        <v>1770</v>
      </c>
      <c r="F8870" t="s">
        <v>9393</v>
      </c>
      <c r="G8870" s="1">
        <v>38322</v>
      </c>
      <c r="H8870" s="1">
        <v>1</v>
      </c>
      <c r="I8870" t="s">
        <v>12</v>
      </c>
      <c r="J8870" t="s">
        <v>19640</v>
      </c>
    </row>
    <row r="8871" spans="1:10" x14ac:dyDescent="0.25">
      <c r="A8871">
        <v>4642527</v>
      </c>
      <c r="B8871" t="s">
        <v>9396</v>
      </c>
      <c r="C8871" t="str">
        <f>"9780749444143"</f>
        <v>9780749444143</v>
      </c>
      <c r="D8871" t="str">
        <f>"9780749446079"</f>
        <v>9780749446079</v>
      </c>
      <c r="E8871" t="s">
        <v>1770</v>
      </c>
      <c r="F8871" t="s">
        <v>9393</v>
      </c>
      <c r="G8871" s="1">
        <v>38565</v>
      </c>
      <c r="H8871" s="1">
        <v>1</v>
      </c>
      <c r="I8871" t="s">
        <v>12</v>
      </c>
      <c r="J8871" t="s">
        <v>19641</v>
      </c>
    </row>
    <row r="8872" spans="1:10" x14ac:dyDescent="0.25">
      <c r="A8872">
        <v>4642535</v>
      </c>
      <c r="B8872" t="s">
        <v>9397</v>
      </c>
      <c r="C8872" t="str">
        <f>"9780749445706"</f>
        <v>9780749445706</v>
      </c>
      <c r="D8872" t="str">
        <f>"9780749448592"</f>
        <v>9780749448592</v>
      </c>
      <c r="E8872" t="s">
        <v>1770</v>
      </c>
      <c r="F8872" t="s">
        <v>9393</v>
      </c>
      <c r="G8872" s="1">
        <v>38687</v>
      </c>
      <c r="H8872" s="1">
        <v>1</v>
      </c>
      <c r="I8872" t="s">
        <v>12</v>
      </c>
      <c r="J8872" t="s">
        <v>19642</v>
      </c>
    </row>
    <row r="8873" spans="1:10" x14ac:dyDescent="0.25">
      <c r="A8873">
        <v>4642536</v>
      </c>
      <c r="B8873" t="s">
        <v>9398</v>
      </c>
      <c r="C8873" t="str">
        <f>"9780749446659"</f>
        <v>9780749446659</v>
      </c>
      <c r="D8873" t="str">
        <f>"9780749448615"</f>
        <v>9780749448615</v>
      </c>
      <c r="E8873" t="s">
        <v>1770</v>
      </c>
      <c r="F8873" t="s">
        <v>9393</v>
      </c>
      <c r="G8873" s="1">
        <v>38687</v>
      </c>
      <c r="H8873" s="1">
        <v>1</v>
      </c>
      <c r="I8873" t="s">
        <v>12</v>
      </c>
      <c r="J8873" t="s">
        <v>19643</v>
      </c>
    </row>
    <row r="8874" spans="1:10" x14ac:dyDescent="0.25">
      <c r="A8874">
        <v>4642540</v>
      </c>
      <c r="B8874" t="s">
        <v>9399</v>
      </c>
      <c r="C8874" t="str">
        <f>"9780749444686"</f>
        <v>9780749444686</v>
      </c>
      <c r="D8874" t="str">
        <f>"9780749448486"</f>
        <v>9780749448486</v>
      </c>
      <c r="E8874" t="s">
        <v>1770</v>
      </c>
      <c r="F8874" t="s">
        <v>9393</v>
      </c>
      <c r="G8874" s="1">
        <v>38749</v>
      </c>
      <c r="H8874" s="1">
        <v>1</v>
      </c>
      <c r="I8874" t="s">
        <v>12</v>
      </c>
      <c r="J8874" t="s">
        <v>19644</v>
      </c>
    </row>
    <row r="8875" spans="1:10" x14ac:dyDescent="0.25">
      <c r="A8875">
        <v>4642542</v>
      </c>
      <c r="B8875" t="s">
        <v>9400</v>
      </c>
      <c r="C8875" t="str">
        <f>"9780749448134"</f>
        <v>9780749448134</v>
      </c>
      <c r="D8875" t="str">
        <f>"9780749450502"</f>
        <v>9780749450502</v>
      </c>
      <c r="E8875" t="s">
        <v>1770</v>
      </c>
      <c r="F8875" t="s">
        <v>9393</v>
      </c>
      <c r="G8875" s="1">
        <v>39022</v>
      </c>
      <c r="H8875" s="1">
        <v>1</v>
      </c>
      <c r="I8875" t="s">
        <v>12</v>
      </c>
      <c r="J8875" t="s">
        <v>19645</v>
      </c>
    </row>
    <row r="8876" spans="1:10" x14ac:dyDescent="0.25">
      <c r="A8876">
        <v>4642543</v>
      </c>
      <c r="B8876" t="s">
        <v>9401</v>
      </c>
      <c r="C8876" t="str">
        <f>"9780749448226"</f>
        <v>9780749448226</v>
      </c>
      <c r="D8876" t="str">
        <f>"9780749451851"</f>
        <v>9780749451851</v>
      </c>
      <c r="E8876" t="s">
        <v>1770</v>
      </c>
      <c r="F8876" t="s">
        <v>9393</v>
      </c>
      <c r="G8876" s="1">
        <v>39022</v>
      </c>
      <c r="H8876" s="1">
        <v>1</v>
      </c>
      <c r="I8876" t="s">
        <v>12</v>
      </c>
      <c r="J8876" t="s">
        <v>19646</v>
      </c>
    </row>
    <row r="8877" spans="1:10" x14ac:dyDescent="0.25">
      <c r="A8877">
        <v>4642544</v>
      </c>
      <c r="B8877" t="s">
        <v>9402</v>
      </c>
      <c r="C8877" t="str">
        <f>"9780749445584"</f>
        <v>9780749445584</v>
      </c>
      <c r="D8877" t="str">
        <f>"9780749451776"</f>
        <v>9780749451776</v>
      </c>
      <c r="E8877" t="s">
        <v>1770</v>
      </c>
      <c r="F8877" t="s">
        <v>9393</v>
      </c>
      <c r="G8877" s="1">
        <v>38899</v>
      </c>
      <c r="H8877" s="1">
        <v>1</v>
      </c>
      <c r="I8877" t="s">
        <v>12</v>
      </c>
      <c r="J8877" t="s">
        <v>19647</v>
      </c>
    </row>
    <row r="8878" spans="1:10" x14ac:dyDescent="0.25">
      <c r="A8878">
        <v>4642545</v>
      </c>
      <c r="B8878" t="s">
        <v>9403</v>
      </c>
      <c r="C8878" t="str">
        <f>"9780749449193"</f>
        <v>9780749449193</v>
      </c>
      <c r="D8878" t="str">
        <f>"9780749451783"</f>
        <v>9780749451783</v>
      </c>
      <c r="E8878" t="s">
        <v>1770</v>
      </c>
      <c r="F8878" t="s">
        <v>9393</v>
      </c>
      <c r="G8878" s="1">
        <v>39052</v>
      </c>
      <c r="H8878" s="1">
        <v>1</v>
      </c>
      <c r="I8878" t="s">
        <v>12</v>
      </c>
      <c r="J8878" t="s">
        <v>19648</v>
      </c>
    </row>
    <row r="8879" spans="1:10" x14ac:dyDescent="0.25">
      <c r="A8879">
        <v>4642546</v>
      </c>
      <c r="B8879" t="s">
        <v>6262</v>
      </c>
      <c r="C8879" t="str">
        <f>"9780749446680"</f>
        <v>9780749446680</v>
      </c>
      <c r="D8879" t="str">
        <f>"9780749451844"</f>
        <v>9780749451844</v>
      </c>
      <c r="E8879" t="s">
        <v>1770</v>
      </c>
      <c r="F8879" t="s">
        <v>9393</v>
      </c>
      <c r="G8879" s="1">
        <v>38838</v>
      </c>
      <c r="H8879" s="1">
        <v>1</v>
      </c>
      <c r="I8879" t="s">
        <v>12</v>
      </c>
      <c r="J8879" t="s">
        <v>19649</v>
      </c>
    </row>
    <row r="8880" spans="1:10" x14ac:dyDescent="0.25">
      <c r="A8880">
        <v>4642549</v>
      </c>
      <c r="B8880" t="s">
        <v>9404</v>
      </c>
      <c r="C8880" t="str">
        <f>"9780749449537"</f>
        <v>9780749449537</v>
      </c>
      <c r="D8880" t="str">
        <f>"9780749451349"</f>
        <v>9780749451349</v>
      </c>
      <c r="E8880" t="s">
        <v>1770</v>
      </c>
      <c r="F8880" t="s">
        <v>9393</v>
      </c>
      <c r="G8880" s="1">
        <v>39114</v>
      </c>
      <c r="H8880" s="1">
        <v>1</v>
      </c>
      <c r="I8880" t="s">
        <v>12</v>
      </c>
      <c r="J8880" t="s">
        <v>19650</v>
      </c>
    </row>
    <row r="8881" spans="1:10" x14ac:dyDescent="0.25">
      <c r="A8881">
        <v>4642550</v>
      </c>
      <c r="B8881" t="s">
        <v>9405</v>
      </c>
      <c r="C8881" t="str">
        <f>"9780749448653"</f>
        <v>9780749448653</v>
      </c>
      <c r="D8881" t="str">
        <f>"9780749451301"</f>
        <v>9780749451301</v>
      </c>
      <c r="E8881" t="s">
        <v>1770</v>
      </c>
      <c r="F8881" t="s">
        <v>9393</v>
      </c>
      <c r="G8881" s="1">
        <v>39083</v>
      </c>
      <c r="H8881" s="1">
        <v>1</v>
      </c>
      <c r="I8881" t="s">
        <v>12</v>
      </c>
      <c r="J8881" t="s">
        <v>19651</v>
      </c>
    </row>
    <row r="8882" spans="1:10" x14ac:dyDescent="0.25">
      <c r="A8882">
        <v>4642551</v>
      </c>
      <c r="B8882" t="s">
        <v>9406</v>
      </c>
      <c r="C8882" t="str">
        <f>"9780749448660"</f>
        <v>9780749448660</v>
      </c>
      <c r="D8882" t="str">
        <f>"9780749451936"</f>
        <v>9780749451936</v>
      </c>
      <c r="E8882" t="s">
        <v>1770</v>
      </c>
      <c r="F8882" t="s">
        <v>9393</v>
      </c>
      <c r="G8882" s="1">
        <v>39052</v>
      </c>
      <c r="H8882" s="1">
        <v>1</v>
      </c>
      <c r="I8882" t="s">
        <v>12</v>
      </c>
      <c r="J8882" t="s">
        <v>19652</v>
      </c>
    </row>
    <row r="8883" spans="1:10" x14ac:dyDescent="0.25">
      <c r="A8883">
        <v>4642552</v>
      </c>
      <c r="B8883" t="s">
        <v>9407</v>
      </c>
      <c r="C8883" t="str">
        <f>"9780749445515"</f>
        <v>9780749445515</v>
      </c>
      <c r="D8883" t="str">
        <f>"9780749451806"</f>
        <v>9780749451806</v>
      </c>
      <c r="E8883" t="s">
        <v>1770</v>
      </c>
      <c r="F8883" t="s">
        <v>9393</v>
      </c>
      <c r="G8883" s="1">
        <v>38899</v>
      </c>
      <c r="H8883" s="1">
        <v>1</v>
      </c>
      <c r="I8883" t="s">
        <v>12</v>
      </c>
      <c r="J8883" t="s">
        <v>19653</v>
      </c>
    </row>
    <row r="8884" spans="1:10" x14ac:dyDescent="0.25">
      <c r="A8884">
        <v>4642553</v>
      </c>
      <c r="B8884" t="s">
        <v>9408</v>
      </c>
      <c r="C8884" t="str">
        <f>"9780749445539"</f>
        <v>9780749445539</v>
      </c>
      <c r="D8884" t="str">
        <f>"9780749451820"</f>
        <v>9780749451820</v>
      </c>
      <c r="E8884" t="s">
        <v>1770</v>
      </c>
      <c r="F8884" t="s">
        <v>9393</v>
      </c>
      <c r="G8884" s="1">
        <v>38838</v>
      </c>
      <c r="H8884" s="1">
        <v>1</v>
      </c>
      <c r="I8884" t="s">
        <v>12</v>
      </c>
      <c r="J8884" t="s">
        <v>19654</v>
      </c>
    </row>
    <row r="8885" spans="1:10" x14ac:dyDescent="0.25">
      <c r="A8885">
        <v>4642554</v>
      </c>
      <c r="B8885" t="s">
        <v>9409</v>
      </c>
      <c r="C8885" t="str">
        <f>"9780749448233"</f>
        <v>9780749448233</v>
      </c>
      <c r="D8885" t="str">
        <f>"9780749451387"</f>
        <v>9780749451387</v>
      </c>
      <c r="E8885" t="s">
        <v>1770</v>
      </c>
      <c r="F8885" t="s">
        <v>9393</v>
      </c>
      <c r="G8885" s="1">
        <v>39114</v>
      </c>
      <c r="H8885" s="1">
        <v>1</v>
      </c>
      <c r="I8885" t="s">
        <v>12</v>
      </c>
      <c r="J8885" t="s">
        <v>19655</v>
      </c>
    </row>
    <row r="8886" spans="1:10" x14ac:dyDescent="0.25">
      <c r="A8886">
        <v>4642555</v>
      </c>
      <c r="B8886" t="s">
        <v>9410</v>
      </c>
      <c r="C8886" t="str">
        <f>"9780749449490"</f>
        <v>9780749449490</v>
      </c>
      <c r="D8886" t="str">
        <f>"9780749451974"</f>
        <v>9780749451974</v>
      </c>
      <c r="E8886" t="s">
        <v>1770</v>
      </c>
      <c r="F8886" t="s">
        <v>9393</v>
      </c>
      <c r="G8886" s="1">
        <v>39175</v>
      </c>
      <c r="H8886" s="1">
        <v>1</v>
      </c>
      <c r="I8886" t="s">
        <v>12</v>
      </c>
      <c r="J8886" t="s">
        <v>19656</v>
      </c>
    </row>
    <row r="8887" spans="1:10" x14ac:dyDescent="0.25">
      <c r="A8887">
        <v>4642556</v>
      </c>
      <c r="B8887" t="s">
        <v>9411</v>
      </c>
      <c r="C8887" t="str">
        <f>"9780749447991"</f>
        <v>9780749447991</v>
      </c>
      <c r="D8887" t="str">
        <f>"9780749452186"</f>
        <v>9780749452186</v>
      </c>
      <c r="E8887" t="s">
        <v>1770</v>
      </c>
      <c r="F8887" t="s">
        <v>9393</v>
      </c>
      <c r="G8887" s="1">
        <v>39203</v>
      </c>
      <c r="H8887" s="1">
        <v>1</v>
      </c>
      <c r="I8887" t="s">
        <v>12</v>
      </c>
      <c r="J8887" t="s">
        <v>19657</v>
      </c>
    </row>
    <row r="8888" spans="1:10" x14ac:dyDescent="0.25">
      <c r="A8888">
        <v>4642557</v>
      </c>
      <c r="B8888" t="s">
        <v>9412</v>
      </c>
      <c r="C8888" t="str">
        <f>"9780749449629"</f>
        <v>9780749449629</v>
      </c>
      <c r="D8888" t="str">
        <f>"9780749451981"</f>
        <v>9780749451981</v>
      </c>
      <c r="E8888" t="s">
        <v>1770</v>
      </c>
      <c r="F8888" t="s">
        <v>9393</v>
      </c>
      <c r="G8888" s="1">
        <v>39173</v>
      </c>
      <c r="H8888" s="1">
        <v>1</v>
      </c>
      <c r="I8888" t="s">
        <v>12</v>
      </c>
      <c r="J8888" t="s">
        <v>19658</v>
      </c>
    </row>
    <row r="8889" spans="1:10" x14ac:dyDescent="0.25">
      <c r="A8889">
        <v>4642558</v>
      </c>
      <c r="B8889" t="s">
        <v>9413</v>
      </c>
      <c r="C8889" t="str">
        <f>"9780749451066"</f>
        <v>9780749451066</v>
      </c>
      <c r="D8889" t="str">
        <f>"9780749452810"</f>
        <v>9780749452810</v>
      </c>
      <c r="E8889" t="s">
        <v>1770</v>
      </c>
      <c r="F8889" t="s">
        <v>9393</v>
      </c>
      <c r="G8889" s="1">
        <v>39356</v>
      </c>
      <c r="H8889" s="1">
        <v>1</v>
      </c>
      <c r="I8889" t="s">
        <v>12</v>
      </c>
      <c r="J8889" t="s">
        <v>19659</v>
      </c>
    </row>
    <row r="8890" spans="1:10" x14ac:dyDescent="0.25">
      <c r="A8890">
        <v>4642565</v>
      </c>
      <c r="B8890" t="s">
        <v>9414</v>
      </c>
      <c r="C8890" t="str">
        <f>"9780749449698"</f>
        <v>9780749449698</v>
      </c>
      <c r="D8890" t="str">
        <f>"9780749453527"</f>
        <v>9780749453527</v>
      </c>
      <c r="E8890" t="s">
        <v>1770</v>
      </c>
      <c r="F8890" t="s">
        <v>9393</v>
      </c>
      <c r="G8890" s="1">
        <v>39448</v>
      </c>
      <c r="H8890" s="1">
        <v>1</v>
      </c>
      <c r="I8890" t="s">
        <v>12</v>
      </c>
      <c r="J8890" t="s">
        <v>19660</v>
      </c>
    </row>
    <row r="8891" spans="1:10" x14ac:dyDescent="0.25">
      <c r="A8891">
        <v>4642616</v>
      </c>
      <c r="B8891" t="s">
        <v>9415</v>
      </c>
      <c r="C8891" t="str">
        <f>"9780262151191"</f>
        <v>9780262151191</v>
      </c>
      <c r="D8891" t="str">
        <f>"9780262255028"</f>
        <v>9780262255028</v>
      </c>
      <c r="E8891" t="s">
        <v>8895</v>
      </c>
      <c r="F8891" t="s">
        <v>8895</v>
      </c>
      <c r="G8891" s="1">
        <v>40148</v>
      </c>
      <c r="H8891" s="1">
        <v>1</v>
      </c>
      <c r="I8891" t="s">
        <v>12</v>
      </c>
      <c r="J8891" t="s">
        <v>19661</v>
      </c>
    </row>
    <row r="8892" spans="1:10" x14ac:dyDescent="0.25">
      <c r="A8892">
        <v>4642857</v>
      </c>
      <c r="B8892" t="s">
        <v>9416</v>
      </c>
      <c r="C8892" t="str">
        <f>"9780028639185"</f>
        <v>9780028639185</v>
      </c>
      <c r="D8892" t="str">
        <f>""</f>
        <v/>
      </c>
      <c r="E8892" t="s">
        <v>9417</v>
      </c>
      <c r="F8892" t="s">
        <v>9417</v>
      </c>
      <c r="G8892" s="1">
        <v>36708</v>
      </c>
      <c r="H8892" s="1">
        <v>1</v>
      </c>
      <c r="I8892" t="s">
        <v>12</v>
      </c>
      <c r="J8892" t="s">
        <v>19662</v>
      </c>
    </row>
    <row r="8893" spans="1:10" x14ac:dyDescent="0.25">
      <c r="A8893">
        <v>4642928</v>
      </c>
      <c r="B8893" t="s">
        <v>9418</v>
      </c>
      <c r="C8893" t="str">
        <f>"9781594630194"</f>
        <v>9781594630194</v>
      </c>
      <c r="D8893" t="str">
        <f>"9780786577262"</f>
        <v>9780786577262</v>
      </c>
      <c r="E8893" t="s">
        <v>9419</v>
      </c>
      <c r="F8893" t="s">
        <v>9419</v>
      </c>
      <c r="G8893" s="1">
        <v>38932</v>
      </c>
      <c r="H8893" s="1">
        <v>1</v>
      </c>
      <c r="I8893" t="s">
        <v>12</v>
      </c>
      <c r="J8893" t="s">
        <v>19663</v>
      </c>
    </row>
    <row r="8894" spans="1:10" x14ac:dyDescent="0.25">
      <c r="A8894">
        <v>4642931</v>
      </c>
      <c r="B8894" t="s">
        <v>9420</v>
      </c>
      <c r="C8894" t="str">
        <f>"9781592401857"</f>
        <v>9781592401857</v>
      </c>
      <c r="D8894" t="str">
        <f>"9780786577736"</f>
        <v>9780786577736</v>
      </c>
      <c r="E8894" t="s">
        <v>9419</v>
      </c>
      <c r="F8894" t="s">
        <v>9419</v>
      </c>
      <c r="G8894" s="1">
        <v>39052</v>
      </c>
      <c r="H8894" s="1">
        <v>1</v>
      </c>
      <c r="I8894" t="s">
        <v>12</v>
      </c>
      <c r="J8894" t="s">
        <v>19664</v>
      </c>
    </row>
    <row r="8895" spans="1:10" x14ac:dyDescent="0.25">
      <c r="A8895">
        <v>4642944</v>
      </c>
      <c r="B8895" t="s">
        <v>9421</v>
      </c>
      <c r="C8895" t="str">
        <f>"9780525949381"</f>
        <v>9780525949381</v>
      </c>
      <c r="D8895" t="str">
        <f>"9780786587360"</f>
        <v>9780786587360</v>
      </c>
      <c r="E8895" t="s">
        <v>9419</v>
      </c>
      <c r="F8895" t="s">
        <v>9422</v>
      </c>
      <c r="G8895" s="1">
        <v>38981</v>
      </c>
      <c r="H8895" s="1">
        <v>1</v>
      </c>
      <c r="I8895" t="s">
        <v>12</v>
      </c>
      <c r="J8895" t="s">
        <v>19665</v>
      </c>
    </row>
    <row r="8896" spans="1:10" x14ac:dyDescent="0.25">
      <c r="A8896">
        <v>4642946</v>
      </c>
      <c r="B8896" t="s">
        <v>9423</v>
      </c>
      <c r="C8896" t="str">
        <f>"9780142004678"</f>
        <v>9780142004678</v>
      </c>
      <c r="D8896" t="str">
        <f>"9780786585397"</f>
        <v>9780786585397</v>
      </c>
      <c r="E8896" t="s">
        <v>9419</v>
      </c>
      <c r="F8896" t="s">
        <v>9422</v>
      </c>
      <c r="G8896" s="1">
        <v>37956</v>
      </c>
      <c r="H8896" s="1">
        <v>1</v>
      </c>
      <c r="I8896" t="s">
        <v>12</v>
      </c>
      <c r="J8896" t="s">
        <v>19666</v>
      </c>
    </row>
    <row r="8897" spans="1:10" x14ac:dyDescent="0.25">
      <c r="A8897">
        <v>4643311</v>
      </c>
      <c r="B8897" t="s">
        <v>9424</v>
      </c>
      <c r="C8897" t="str">
        <f>"9780415327978"</f>
        <v>9780415327978</v>
      </c>
      <c r="D8897" t="str">
        <f>"9780203390795"</f>
        <v>9780203390795</v>
      </c>
      <c r="E8897" t="s">
        <v>16</v>
      </c>
      <c r="F8897" t="s">
        <v>16</v>
      </c>
      <c r="G8897" s="1">
        <v>38546</v>
      </c>
      <c r="H8897" s="1">
        <v>1</v>
      </c>
      <c r="I8897" t="s">
        <v>12</v>
      </c>
      <c r="J8897" t="s">
        <v>19667</v>
      </c>
    </row>
    <row r="8898" spans="1:10" x14ac:dyDescent="0.25">
      <c r="A8898">
        <v>4643360</v>
      </c>
      <c r="B8898" t="s">
        <v>9425</v>
      </c>
      <c r="C8898" t="str">
        <f>"9781859414316"</f>
        <v>9781859414316</v>
      </c>
      <c r="D8898" t="str">
        <f>"9781843140092"</f>
        <v>9781843140092</v>
      </c>
      <c r="E8898" t="s">
        <v>16</v>
      </c>
      <c r="F8898" t="s">
        <v>16</v>
      </c>
      <c r="G8898" s="1">
        <v>36410</v>
      </c>
      <c r="H8898" s="1">
        <v>1</v>
      </c>
      <c r="I8898" t="s">
        <v>12</v>
      </c>
      <c r="J8898" t="s">
        <v>19668</v>
      </c>
    </row>
    <row r="8899" spans="1:10" x14ac:dyDescent="0.25">
      <c r="A8899">
        <v>4643361</v>
      </c>
      <c r="B8899" t="s">
        <v>9426</v>
      </c>
      <c r="C8899" t="str">
        <f>"9781859416198"</f>
        <v>9781859416198</v>
      </c>
      <c r="D8899" t="str">
        <f>"9781843143062"</f>
        <v>9781843143062</v>
      </c>
      <c r="E8899" t="s">
        <v>16</v>
      </c>
      <c r="F8899" t="s">
        <v>16</v>
      </c>
      <c r="G8899" s="1">
        <v>37591</v>
      </c>
      <c r="H8899" s="1">
        <v>1</v>
      </c>
      <c r="I8899" t="s">
        <v>12</v>
      </c>
      <c r="J8899" t="s">
        <v>19669</v>
      </c>
    </row>
    <row r="8900" spans="1:10" x14ac:dyDescent="0.25">
      <c r="A8900">
        <v>4643373</v>
      </c>
      <c r="B8900" t="s">
        <v>9427</v>
      </c>
      <c r="C8900" t="str">
        <f>"9781859417768"</f>
        <v>9781859417768</v>
      </c>
      <c r="D8900" t="str">
        <f>"9781843145295"</f>
        <v>9781843145295</v>
      </c>
      <c r="E8900" t="s">
        <v>16</v>
      </c>
      <c r="F8900" t="s">
        <v>16</v>
      </c>
      <c r="G8900" s="1">
        <v>37591</v>
      </c>
      <c r="H8900" s="1">
        <v>1</v>
      </c>
      <c r="I8900" t="s">
        <v>12</v>
      </c>
      <c r="J8900" t="s">
        <v>19670</v>
      </c>
    </row>
    <row r="8901" spans="1:10" x14ac:dyDescent="0.25">
      <c r="A8901">
        <v>4643378</v>
      </c>
      <c r="B8901" t="s">
        <v>9428</v>
      </c>
      <c r="C8901" t="str">
        <f>"9780415049573"</f>
        <v>9780415049573</v>
      </c>
      <c r="D8901" t="str">
        <f>"9780203408551"</f>
        <v>9780203408551</v>
      </c>
      <c r="E8901" t="s">
        <v>16</v>
      </c>
      <c r="F8901" t="s">
        <v>16</v>
      </c>
      <c r="G8901" s="1">
        <v>33573</v>
      </c>
      <c r="H8901" s="1">
        <v>1</v>
      </c>
      <c r="I8901" t="s">
        <v>12</v>
      </c>
      <c r="J8901" t="s">
        <v>19671</v>
      </c>
    </row>
    <row r="8902" spans="1:10" x14ac:dyDescent="0.25">
      <c r="A8902">
        <v>4643591</v>
      </c>
      <c r="B8902" t="s">
        <v>9429</v>
      </c>
      <c r="C8902" t="str">
        <f>"9780826160010"</f>
        <v>9780826160010</v>
      </c>
      <c r="D8902" t="str">
        <f>"9780826160027"</f>
        <v>9780826160027</v>
      </c>
      <c r="E8902" t="s">
        <v>3016</v>
      </c>
      <c r="F8902" t="s">
        <v>3016</v>
      </c>
      <c r="G8902" s="1">
        <v>42610</v>
      </c>
      <c r="H8902" s="1">
        <v>42594</v>
      </c>
      <c r="I8902" t="s">
        <v>12</v>
      </c>
      <c r="J8902" t="s">
        <v>19672</v>
      </c>
    </row>
    <row r="8903" spans="1:10" x14ac:dyDescent="0.25">
      <c r="A8903">
        <v>4644556</v>
      </c>
      <c r="B8903" t="s">
        <v>9430</v>
      </c>
      <c r="C8903" t="str">
        <f>"9781620700730"</f>
        <v>9781620700730</v>
      </c>
      <c r="D8903" t="str">
        <f>"9781617052439"</f>
        <v>9781617052439</v>
      </c>
      <c r="E8903" t="s">
        <v>3016</v>
      </c>
      <c r="F8903" t="s">
        <v>5675</v>
      </c>
      <c r="G8903" s="1">
        <v>42610</v>
      </c>
      <c r="H8903" s="1">
        <v>42596</v>
      </c>
      <c r="I8903" t="s">
        <v>12</v>
      </c>
      <c r="J8903" t="s">
        <v>19673</v>
      </c>
    </row>
    <row r="8904" spans="1:10" x14ac:dyDescent="0.25">
      <c r="A8904">
        <v>4648112</v>
      </c>
      <c r="B8904" t="s">
        <v>9431</v>
      </c>
      <c r="C8904" t="str">
        <f>"9780826117243"</f>
        <v>9780826117243</v>
      </c>
      <c r="D8904" t="str">
        <f>"9780826117496"</f>
        <v>9780826117496</v>
      </c>
      <c r="E8904" t="s">
        <v>3016</v>
      </c>
      <c r="F8904" t="s">
        <v>3016</v>
      </c>
      <c r="G8904" s="1">
        <v>42610</v>
      </c>
      <c r="H8904" s="1">
        <v>42599</v>
      </c>
      <c r="I8904" t="s">
        <v>12</v>
      </c>
      <c r="J8904" t="s">
        <v>19674</v>
      </c>
    </row>
    <row r="8905" spans="1:10" x14ac:dyDescent="0.25">
      <c r="A8905">
        <v>4649816</v>
      </c>
      <c r="B8905" t="s">
        <v>9432</v>
      </c>
      <c r="C8905" t="str">
        <f>"9780826129680"</f>
        <v>9780826129680</v>
      </c>
      <c r="D8905" t="str">
        <f>"9780826129697"</f>
        <v>9780826129697</v>
      </c>
      <c r="E8905" t="s">
        <v>3016</v>
      </c>
      <c r="F8905" t="s">
        <v>3016</v>
      </c>
      <c r="G8905" s="1">
        <v>42671</v>
      </c>
      <c r="H8905" s="1">
        <v>42604</v>
      </c>
      <c r="I8905" t="s">
        <v>12</v>
      </c>
      <c r="J8905" t="s">
        <v>19675</v>
      </c>
    </row>
    <row r="8906" spans="1:10" x14ac:dyDescent="0.25">
      <c r="A8906">
        <v>4654074</v>
      </c>
      <c r="B8906" t="s">
        <v>9433</v>
      </c>
      <c r="C8906" t="str">
        <f>"9782940373710"</f>
        <v>9782940373710</v>
      </c>
      <c r="D8906" t="str">
        <f>"9782940439621"</f>
        <v>9782940439621</v>
      </c>
      <c r="E8906" t="s">
        <v>9434</v>
      </c>
      <c r="F8906" t="s">
        <v>9434</v>
      </c>
      <c r="G8906" s="1">
        <v>39706</v>
      </c>
      <c r="H8906" s="1">
        <v>1</v>
      </c>
      <c r="I8906" t="s">
        <v>12</v>
      </c>
      <c r="J8906" t="s">
        <v>19676</v>
      </c>
    </row>
    <row r="8907" spans="1:10" x14ac:dyDescent="0.25">
      <c r="A8907">
        <v>4654086</v>
      </c>
      <c r="B8907" t="s">
        <v>9435</v>
      </c>
      <c r="C8907" t="str">
        <f>"9782940411177"</f>
        <v>9782940411177</v>
      </c>
      <c r="D8907" t="str">
        <f>"9782940439386"</f>
        <v>9782940439386</v>
      </c>
      <c r="E8907" t="s">
        <v>9434</v>
      </c>
      <c r="F8907" t="s">
        <v>9434</v>
      </c>
      <c r="G8907" s="1">
        <v>40148</v>
      </c>
      <c r="H8907" s="1">
        <v>1</v>
      </c>
      <c r="I8907" t="s">
        <v>12</v>
      </c>
      <c r="J8907" t="s">
        <v>19677</v>
      </c>
    </row>
    <row r="8908" spans="1:10" x14ac:dyDescent="0.25">
      <c r="A8908">
        <v>4654092</v>
      </c>
      <c r="B8908" t="s">
        <v>9436</v>
      </c>
      <c r="C8908" t="str">
        <f>"9782940373833"</f>
        <v>9782940373833</v>
      </c>
      <c r="D8908" t="str">
        <f>"9782940439577"</f>
        <v>9782940439577</v>
      </c>
      <c r="E8908" t="s">
        <v>9434</v>
      </c>
      <c r="F8908" t="s">
        <v>9434</v>
      </c>
      <c r="G8908" s="1">
        <v>39753</v>
      </c>
      <c r="H8908" s="1">
        <v>1</v>
      </c>
      <c r="I8908" t="s">
        <v>12</v>
      </c>
      <c r="J8908" t="s">
        <v>19678</v>
      </c>
    </row>
    <row r="8909" spans="1:10" x14ac:dyDescent="0.25">
      <c r="A8909">
        <v>4654093</v>
      </c>
      <c r="B8909" t="s">
        <v>9437</v>
      </c>
      <c r="C8909" t="str">
        <f>"9782940373949"</f>
        <v>9782940373949</v>
      </c>
      <c r="D8909" t="str">
        <f>"9782940439362"</f>
        <v>9782940439362</v>
      </c>
      <c r="E8909" t="s">
        <v>9434</v>
      </c>
      <c r="F8909" t="s">
        <v>9434</v>
      </c>
      <c r="G8909" s="1">
        <v>40087</v>
      </c>
      <c r="H8909" s="1">
        <v>1</v>
      </c>
      <c r="I8909" t="s">
        <v>12</v>
      </c>
      <c r="J8909" t="s">
        <v>19679</v>
      </c>
    </row>
    <row r="8910" spans="1:10" x14ac:dyDescent="0.25">
      <c r="A8910">
        <v>4654095</v>
      </c>
      <c r="B8910" t="s">
        <v>9438</v>
      </c>
      <c r="C8910" t="str">
        <f>"9782940373406"</f>
        <v>9782940373406</v>
      </c>
      <c r="D8910" t="str">
        <f>"9782940439867"</f>
        <v>9782940439867</v>
      </c>
      <c r="E8910" t="s">
        <v>9434</v>
      </c>
      <c r="F8910" t="s">
        <v>9434</v>
      </c>
      <c r="G8910" s="1">
        <v>39722</v>
      </c>
      <c r="H8910" s="1">
        <v>1</v>
      </c>
      <c r="I8910" t="s">
        <v>12</v>
      </c>
      <c r="J8910" t="s">
        <v>19680</v>
      </c>
    </row>
    <row r="8911" spans="1:10" x14ac:dyDescent="0.25">
      <c r="A8911">
        <v>4654098</v>
      </c>
      <c r="B8911" t="s">
        <v>9439</v>
      </c>
      <c r="C8911" t="str">
        <f>"9782940373802"</f>
        <v>9782940373802</v>
      </c>
      <c r="D8911" t="str">
        <f>"9782940439614"</f>
        <v>9782940439614</v>
      </c>
      <c r="E8911" t="s">
        <v>9434</v>
      </c>
      <c r="F8911" t="s">
        <v>9434</v>
      </c>
      <c r="G8911" s="1">
        <v>39776</v>
      </c>
      <c r="H8911" s="1">
        <v>1</v>
      </c>
      <c r="I8911" t="s">
        <v>12</v>
      </c>
      <c r="J8911" t="s">
        <v>19681</v>
      </c>
    </row>
    <row r="8912" spans="1:10" x14ac:dyDescent="0.25">
      <c r="A8912">
        <v>4654101</v>
      </c>
      <c r="B8912" t="s">
        <v>9440</v>
      </c>
      <c r="C8912" t="str">
        <f>"9782940373628"</f>
        <v>9782940373628</v>
      </c>
      <c r="D8912" t="str">
        <f>"9782940439836"</f>
        <v>9782940439836</v>
      </c>
      <c r="E8912" t="s">
        <v>9434</v>
      </c>
      <c r="F8912" t="s">
        <v>9434</v>
      </c>
      <c r="G8912" s="1">
        <v>39508</v>
      </c>
      <c r="H8912" s="1">
        <v>1</v>
      </c>
      <c r="I8912" t="s">
        <v>12</v>
      </c>
      <c r="J8912" t="s">
        <v>19682</v>
      </c>
    </row>
    <row r="8913" spans="1:10" x14ac:dyDescent="0.25">
      <c r="A8913">
        <v>4654106</v>
      </c>
      <c r="B8913" t="s">
        <v>9441</v>
      </c>
      <c r="C8913" t="str">
        <f>"9782940411290"</f>
        <v>9782940411290</v>
      </c>
      <c r="D8913" t="str">
        <f>"9782940439812"</f>
        <v>9782940439812</v>
      </c>
      <c r="E8913" t="s">
        <v>9434</v>
      </c>
      <c r="F8913" t="s">
        <v>9434</v>
      </c>
      <c r="G8913" s="1">
        <v>40364</v>
      </c>
      <c r="H8913" s="1">
        <v>1</v>
      </c>
      <c r="I8913" t="s">
        <v>12</v>
      </c>
      <c r="J8913" t="s">
        <v>19683</v>
      </c>
    </row>
    <row r="8914" spans="1:10" x14ac:dyDescent="0.25">
      <c r="A8914">
        <v>4654107</v>
      </c>
      <c r="B8914" t="s">
        <v>9442</v>
      </c>
      <c r="C8914" t="str">
        <f>"9782940373604"</f>
        <v>9782940373604</v>
      </c>
      <c r="D8914" t="str">
        <f>"9782940439850"</f>
        <v>9782940439850</v>
      </c>
      <c r="E8914" t="s">
        <v>9434</v>
      </c>
      <c r="F8914" t="s">
        <v>9434</v>
      </c>
      <c r="G8914" s="1">
        <v>39440</v>
      </c>
      <c r="H8914" s="1">
        <v>1</v>
      </c>
      <c r="I8914" t="s">
        <v>12</v>
      </c>
      <c r="J8914" t="s">
        <v>19684</v>
      </c>
    </row>
    <row r="8915" spans="1:10" x14ac:dyDescent="0.25">
      <c r="A8915">
        <v>4654108</v>
      </c>
      <c r="B8915" t="s">
        <v>9443</v>
      </c>
      <c r="C8915" t="str">
        <f>"9782940411221"</f>
        <v>9782940411221</v>
      </c>
      <c r="D8915" t="str">
        <f>"9782940439492"</f>
        <v>9782940439492</v>
      </c>
      <c r="E8915" t="s">
        <v>9434</v>
      </c>
      <c r="F8915" t="s">
        <v>9434</v>
      </c>
      <c r="G8915" s="1">
        <v>40385</v>
      </c>
      <c r="H8915" s="1">
        <v>1</v>
      </c>
      <c r="I8915" t="s">
        <v>12</v>
      </c>
      <c r="J8915" t="s">
        <v>19685</v>
      </c>
    </row>
    <row r="8916" spans="1:10" x14ac:dyDescent="0.25">
      <c r="A8916">
        <v>4654110</v>
      </c>
      <c r="B8916" t="s">
        <v>9444</v>
      </c>
      <c r="C8916" t="str">
        <f>"9782940373512"</f>
        <v>9782940373512</v>
      </c>
      <c r="D8916" t="str">
        <f>"9782940439997"</f>
        <v>9782940439997</v>
      </c>
      <c r="E8916" t="s">
        <v>9434</v>
      </c>
      <c r="F8916" t="s">
        <v>9434</v>
      </c>
      <c r="G8916" s="1">
        <v>39258</v>
      </c>
      <c r="H8916" s="1">
        <v>1</v>
      </c>
      <c r="I8916" t="s">
        <v>12</v>
      </c>
      <c r="J8916" t="s">
        <v>19686</v>
      </c>
    </row>
    <row r="8917" spans="1:10" x14ac:dyDescent="0.25">
      <c r="A8917">
        <v>4654111</v>
      </c>
      <c r="B8917" t="s">
        <v>9445</v>
      </c>
      <c r="C8917" t="str">
        <f>"9782940411214"</f>
        <v>9782940411214</v>
      </c>
      <c r="D8917" t="str">
        <f>"9782940439447"</f>
        <v>9782940439447</v>
      </c>
      <c r="E8917" t="s">
        <v>9434</v>
      </c>
      <c r="F8917" t="s">
        <v>9434</v>
      </c>
      <c r="G8917" s="1">
        <v>40330</v>
      </c>
      <c r="H8917" s="1">
        <v>1</v>
      </c>
      <c r="I8917" t="s">
        <v>12</v>
      </c>
      <c r="J8917" t="s">
        <v>19687</v>
      </c>
    </row>
    <row r="8918" spans="1:10" x14ac:dyDescent="0.25">
      <c r="A8918">
        <v>4654200</v>
      </c>
      <c r="B8918" t="s">
        <v>9446</v>
      </c>
      <c r="C8918" t="str">
        <f>""</f>
        <v/>
      </c>
      <c r="D8918" t="str">
        <f>"9781602991415"</f>
        <v>9781602991415</v>
      </c>
      <c r="E8918" t="s">
        <v>9447</v>
      </c>
      <c r="F8918" t="s">
        <v>9448</v>
      </c>
      <c r="G8918" s="1">
        <v>38991</v>
      </c>
      <c r="H8918" s="1">
        <v>43010</v>
      </c>
      <c r="I8918" t="s">
        <v>12</v>
      </c>
      <c r="J8918" t="s">
        <v>19688</v>
      </c>
    </row>
    <row r="8919" spans="1:10" x14ac:dyDescent="0.25">
      <c r="A8919">
        <v>4654318</v>
      </c>
      <c r="B8919" t="s">
        <v>9449</v>
      </c>
      <c r="C8919" t="str">
        <f>"9780071355001"</f>
        <v>9780071355001</v>
      </c>
      <c r="D8919" t="str">
        <f>"9780071376709"</f>
        <v>9780071376709</v>
      </c>
      <c r="E8919" t="s">
        <v>2947</v>
      </c>
      <c r="F8919" t="s">
        <v>9450</v>
      </c>
      <c r="G8919" s="1">
        <v>36615</v>
      </c>
      <c r="H8919" s="1">
        <v>1</v>
      </c>
      <c r="I8919" t="s">
        <v>12</v>
      </c>
      <c r="J8919" t="s">
        <v>19689</v>
      </c>
    </row>
    <row r="8920" spans="1:10" x14ac:dyDescent="0.25">
      <c r="A8920">
        <v>4654536</v>
      </c>
      <c r="B8920" t="s">
        <v>9451</v>
      </c>
      <c r="C8920" t="str">
        <f>"9780071362955"</f>
        <v>9780071362955</v>
      </c>
      <c r="D8920" t="str">
        <f>"9780071415606"</f>
        <v>9780071415606</v>
      </c>
      <c r="E8920" t="s">
        <v>2947</v>
      </c>
      <c r="F8920" t="s">
        <v>9452</v>
      </c>
      <c r="G8920" s="1">
        <v>36899</v>
      </c>
      <c r="H8920" s="1">
        <v>1</v>
      </c>
      <c r="I8920" t="s">
        <v>12</v>
      </c>
      <c r="J8920" t="s">
        <v>19690</v>
      </c>
    </row>
    <row r="8921" spans="1:10" x14ac:dyDescent="0.25">
      <c r="A8921">
        <v>4654888</v>
      </c>
      <c r="B8921" t="s">
        <v>9453</v>
      </c>
      <c r="C8921" t="str">
        <f>"9780071387064"</f>
        <v>9780071387064</v>
      </c>
      <c r="D8921" t="str">
        <f>"9780071415651"</f>
        <v>9780071415651</v>
      </c>
      <c r="E8921" t="s">
        <v>2947</v>
      </c>
      <c r="F8921" t="s">
        <v>9450</v>
      </c>
      <c r="G8921" s="1">
        <v>37521</v>
      </c>
      <c r="H8921" s="1">
        <v>1</v>
      </c>
      <c r="I8921" t="s">
        <v>12</v>
      </c>
      <c r="J8921" t="s">
        <v>19691</v>
      </c>
    </row>
    <row r="8922" spans="1:10" x14ac:dyDescent="0.25">
      <c r="A8922">
        <v>4654932</v>
      </c>
      <c r="B8922" t="s">
        <v>9454</v>
      </c>
      <c r="C8922" t="str">
        <f>"9780071373807"</f>
        <v>9780071373807</v>
      </c>
      <c r="D8922" t="str">
        <f>"9780071415781"</f>
        <v>9780071415781</v>
      </c>
      <c r="E8922" t="s">
        <v>2947</v>
      </c>
      <c r="F8922" t="s">
        <v>9455</v>
      </c>
      <c r="G8922" s="1">
        <v>37139</v>
      </c>
      <c r="H8922" s="1">
        <v>1</v>
      </c>
      <c r="I8922" t="s">
        <v>12</v>
      </c>
      <c r="J8922" t="s">
        <v>19692</v>
      </c>
    </row>
    <row r="8923" spans="1:10" x14ac:dyDescent="0.25">
      <c r="A8923">
        <v>4655000</v>
      </c>
      <c r="B8923" t="s">
        <v>9456</v>
      </c>
      <c r="C8923" t="str">
        <f>"9780071388764"</f>
        <v>9780071388764</v>
      </c>
      <c r="D8923" t="str">
        <f>"9780071415736"</f>
        <v>9780071415736</v>
      </c>
      <c r="E8923" t="s">
        <v>2947</v>
      </c>
      <c r="F8923" t="s">
        <v>9455</v>
      </c>
      <c r="G8923" s="1">
        <v>37551</v>
      </c>
      <c r="H8923" s="1">
        <v>1</v>
      </c>
      <c r="I8923" t="s">
        <v>12</v>
      </c>
      <c r="J8923" t="s">
        <v>19693</v>
      </c>
    </row>
    <row r="8924" spans="1:10" x14ac:dyDescent="0.25">
      <c r="A8924">
        <v>4655003</v>
      </c>
      <c r="B8924" t="s">
        <v>9457</v>
      </c>
      <c r="C8924" t="str">
        <f>"9780071370134"</f>
        <v>9780071370134</v>
      </c>
      <c r="D8924" t="str">
        <f>"9780071399852"</f>
        <v>9780071399852</v>
      </c>
      <c r="E8924" t="s">
        <v>2947</v>
      </c>
      <c r="F8924" t="s">
        <v>9450</v>
      </c>
      <c r="G8924" s="1">
        <v>37246</v>
      </c>
      <c r="H8924" s="1">
        <v>1</v>
      </c>
      <c r="I8924" t="s">
        <v>12</v>
      </c>
      <c r="J8924" t="s">
        <v>19694</v>
      </c>
    </row>
    <row r="8925" spans="1:10" x14ac:dyDescent="0.25">
      <c r="A8925">
        <v>4655033</v>
      </c>
      <c r="B8925" t="s">
        <v>9458</v>
      </c>
      <c r="C8925" t="str">
        <f>"9780071393935"</f>
        <v>9780071393935</v>
      </c>
      <c r="D8925" t="str">
        <f>"9780071415637"</f>
        <v>9780071415637</v>
      </c>
      <c r="E8925" t="s">
        <v>2947</v>
      </c>
      <c r="F8925" t="s">
        <v>9455</v>
      </c>
      <c r="G8925" s="1">
        <v>36526</v>
      </c>
      <c r="H8925" s="1">
        <v>1</v>
      </c>
      <c r="I8925" t="s">
        <v>12</v>
      </c>
      <c r="J8925" t="s">
        <v>19695</v>
      </c>
    </row>
    <row r="8926" spans="1:10" x14ac:dyDescent="0.25">
      <c r="A8926">
        <v>4655082</v>
      </c>
      <c r="B8926" t="s">
        <v>9459</v>
      </c>
      <c r="C8926" t="str">
        <f>"9780071381567"</f>
        <v>9780071381567</v>
      </c>
      <c r="D8926" t="str">
        <f>"9780071429016"</f>
        <v>9780071429016</v>
      </c>
      <c r="E8926" t="s">
        <v>9460</v>
      </c>
      <c r="F8926" t="s">
        <v>9460</v>
      </c>
      <c r="G8926" s="1">
        <v>37702</v>
      </c>
      <c r="H8926" s="1">
        <v>1</v>
      </c>
      <c r="I8926" t="s">
        <v>12</v>
      </c>
      <c r="J8926" t="s">
        <v>19696</v>
      </c>
    </row>
    <row r="8927" spans="1:10" x14ac:dyDescent="0.25">
      <c r="A8927">
        <v>4655120</v>
      </c>
      <c r="B8927" t="s">
        <v>9461</v>
      </c>
      <c r="C8927" t="str">
        <f>"9780071414333"</f>
        <v>9780071414333</v>
      </c>
      <c r="D8927" t="str">
        <f>"9780071428934"</f>
        <v>9780071428934</v>
      </c>
      <c r="E8927" t="s">
        <v>2947</v>
      </c>
      <c r="F8927" t="s">
        <v>9455</v>
      </c>
      <c r="G8927" s="1">
        <v>37691</v>
      </c>
      <c r="H8927" s="1">
        <v>1</v>
      </c>
      <c r="I8927" t="s">
        <v>12</v>
      </c>
      <c r="J8927" t="s">
        <v>19697</v>
      </c>
    </row>
    <row r="8928" spans="1:10" x14ac:dyDescent="0.25">
      <c r="A8928">
        <v>4655138</v>
      </c>
      <c r="B8928" t="s">
        <v>9462</v>
      </c>
      <c r="C8928" t="str">
        <f>"9780071408073"</f>
        <v>9780071408073</v>
      </c>
      <c r="D8928" t="str">
        <f>"9780071420792"</f>
        <v>9780071420792</v>
      </c>
      <c r="E8928" t="s">
        <v>2947</v>
      </c>
      <c r="F8928" t="s">
        <v>9455</v>
      </c>
      <c r="G8928" s="1">
        <v>37612</v>
      </c>
      <c r="H8928" s="1">
        <v>1</v>
      </c>
      <c r="I8928" t="s">
        <v>12</v>
      </c>
      <c r="J8928" t="s">
        <v>19698</v>
      </c>
    </row>
    <row r="8929" spans="1:10" x14ac:dyDescent="0.25">
      <c r="A8929">
        <v>4655166</v>
      </c>
      <c r="B8929" t="s">
        <v>9463</v>
      </c>
      <c r="C8929" t="str">
        <f>"9780071393904"</f>
        <v>9780071393904</v>
      </c>
      <c r="D8929" t="str">
        <f>"9780071429061"</f>
        <v>9780071429061</v>
      </c>
      <c r="E8929" t="s">
        <v>2947</v>
      </c>
      <c r="F8929" t="s">
        <v>9450</v>
      </c>
      <c r="G8929" s="1">
        <v>37702</v>
      </c>
      <c r="H8929" s="1">
        <v>1</v>
      </c>
      <c r="I8929" t="s">
        <v>12</v>
      </c>
      <c r="J8929" t="s">
        <v>19699</v>
      </c>
    </row>
    <row r="8930" spans="1:10" x14ac:dyDescent="0.25">
      <c r="A8930">
        <v>4655199</v>
      </c>
      <c r="B8930" t="s">
        <v>9464</v>
      </c>
      <c r="C8930" t="str">
        <f>"9780071409971"</f>
        <v>9780071409971</v>
      </c>
      <c r="D8930" t="str">
        <f>"9780071435833"</f>
        <v>9780071435833</v>
      </c>
      <c r="E8930" t="s">
        <v>9460</v>
      </c>
      <c r="F8930" t="s">
        <v>9460</v>
      </c>
      <c r="G8930" s="1">
        <v>37847</v>
      </c>
      <c r="H8930" s="1">
        <v>1</v>
      </c>
      <c r="I8930" t="s">
        <v>12</v>
      </c>
      <c r="J8930" t="s">
        <v>19700</v>
      </c>
    </row>
    <row r="8931" spans="1:10" x14ac:dyDescent="0.25">
      <c r="A8931">
        <v>4655207</v>
      </c>
      <c r="B8931" t="s">
        <v>9465</v>
      </c>
      <c r="C8931" t="str">
        <f>"9780071416634"</f>
        <v>9780071416634</v>
      </c>
      <c r="D8931" t="str">
        <f>"9780071436229"</f>
        <v>9780071436229</v>
      </c>
      <c r="E8931" t="s">
        <v>9460</v>
      </c>
      <c r="F8931" t="s">
        <v>9460</v>
      </c>
      <c r="G8931" s="1">
        <v>37855</v>
      </c>
      <c r="H8931" s="1">
        <v>1</v>
      </c>
      <c r="I8931" t="s">
        <v>12</v>
      </c>
      <c r="J8931" t="s">
        <v>19701</v>
      </c>
    </row>
    <row r="8932" spans="1:10" x14ac:dyDescent="0.25">
      <c r="A8932">
        <v>4655212</v>
      </c>
      <c r="B8932" t="s">
        <v>9466</v>
      </c>
      <c r="C8932" t="str">
        <f>"9780071418294"</f>
        <v>9780071418294</v>
      </c>
      <c r="D8932" t="str">
        <f>"9780071431118"</f>
        <v>9780071431118</v>
      </c>
      <c r="E8932" t="s">
        <v>9460</v>
      </c>
      <c r="F8932" t="s">
        <v>9460</v>
      </c>
      <c r="G8932" s="1">
        <v>37865</v>
      </c>
      <c r="H8932" s="1">
        <v>1</v>
      </c>
      <c r="I8932" t="s">
        <v>12</v>
      </c>
      <c r="J8932" t="s">
        <v>19702</v>
      </c>
    </row>
    <row r="8933" spans="1:10" x14ac:dyDescent="0.25">
      <c r="A8933">
        <v>4655215</v>
      </c>
      <c r="B8933" t="s">
        <v>9467</v>
      </c>
      <c r="C8933" t="str">
        <f>"9780071412391"</f>
        <v>9780071412391</v>
      </c>
      <c r="D8933" t="str">
        <f>"9780071436038"</f>
        <v>9780071436038</v>
      </c>
      <c r="E8933" t="s">
        <v>2947</v>
      </c>
      <c r="F8933" t="s">
        <v>9450</v>
      </c>
      <c r="G8933" s="1">
        <v>37803</v>
      </c>
      <c r="H8933" s="1">
        <v>1</v>
      </c>
      <c r="I8933" t="s">
        <v>12</v>
      </c>
      <c r="J8933" t="s">
        <v>19703</v>
      </c>
    </row>
    <row r="8934" spans="1:10" x14ac:dyDescent="0.25">
      <c r="A8934">
        <v>4655230</v>
      </c>
      <c r="B8934" t="s">
        <v>9468</v>
      </c>
      <c r="C8934" t="str">
        <f>"9780071427951"</f>
        <v>9780071427951</v>
      </c>
      <c r="D8934" t="str">
        <f>"9780071442251"</f>
        <v>9780071442251</v>
      </c>
      <c r="E8934" t="s">
        <v>2947</v>
      </c>
      <c r="F8934" t="s">
        <v>9450</v>
      </c>
      <c r="G8934" s="1">
        <v>38068</v>
      </c>
      <c r="H8934" s="1">
        <v>1</v>
      </c>
      <c r="I8934" t="s">
        <v>12</v>
      </c>
      <c r="J8934" t="s">
        <v>19704</v>
      </c>
    </row>
    <row r="8935" spans="1:10" x14ac:dyDescent="0.25">
      <c r="A8935">
        <v>4655237</v>
      </c>
      <c r="B8935" t="s">
        <v>9469</v>
      </c>
      <c r="C8935" t="str">
        <f>"9780071429559"</f>
        <v>9780071429559</v>
      </c>
      <c r="D8935" t="str">
        <f>"9780071442268"</f>
        <v>9780071442268</v>
      </c>
      <c r="E8935" t="s">
        <v>2947</v>
      </c>
      <c r="F8935" t="s">
        <v>9450</v>
      </c>
      <c r="G8935" s="1">
        <v>38099</v>
      </c>
      <c r="H8935" s="1">
        <v>1</v>
      </c>
      <c r="I8935" t="s">
        <v>12</v>
      </c>
      <c r="J8935" t="s">
        <v>19705</v>
      </c>
    </row>
    <row r="8936" spans="1:10" x14ac:dyDescent="0.25">
      <c r="A8936">
        <v>4655245</v>
      </c>
      <c r="B8936" t="s">
        <v>9470</v>
      </c>
      <c r="C8936" t="str">
        <f>"9780071420372"</f>
        <v>9780071420372</v>
      </c>
      <c r="D8936" t="str">
        <f>"9780071431132"</f>
        <v>9780071431132</v>
      </c>
      <c r="E8936" t="s">
        <v>2947</v>
      </c>
      <c r="F8936" t="s">
        <v>9450</v>
      </c>
      <c r="G8936" s="1">
        <v>38078</v>
      </c>
      <c r="H8936" s="1">
        <v>1</v>
      </c>
      <c r="I8936" t="s">
        <v>12</v>
      </c>
      <c r="J8936" t="s">
        <v>19706</v>
      </c>
    </row>
    <row r="8937" spans="1:10" x14ac:dyDescent="0.25">
      <c r="A8937">
        <v>4655290</v>
      </c>
      <c r="B8937" t="s">
        <v>9471</v>
      </c>
      <c r="C8937" t="str">
        <f>"9780071439992"</f>
        <v>9780071439992</v>
      </c>
      <c r="D8937" t="str">
        <f>"9780071445948"</f>
        <v>9780071445948</v>
      </c>
      <c r="E8937" t="s">
        <v>2947</v>
      </c>
      <c r="F8937" t="s">
        <v>9455</v>
      </c>
      <c r="G8937" s="1">
        <v>38190</v>
      </c>
      <c r="H8937" s="1">
        <v>1</v>
      </c>
      <c r="I8937" t="s">
        <v>12</v>
      </c>
      <c r="J8937" t="s">
        <v>19707</v>
      </c>
    </row>
    <row r="8938" spans="1:10" x14ac:dyDescent="0.25">
      <c r="A8938">
        <v>4655291</v>
      </c>
      <c r="B8938" t="s">
        <v>9472</v>
      </c>
      <c r="C8938" t="str">
        <f>"9780071432092"</f>
        <v>9780071432092</v>
      </c>
      <c r="D8938" t="str">
        <f>"9780071442978"</f>
        <v>9780071442978</v>
      </c>
      <c r="E8938" t="s">
        <v>2947</v>
      </c>
      <c r="F8938" t="s">
        <v>9455</v>
      </c>
      <c r="G8938" s="1">
        <v>38099</v>
      </c>
      <c r="H8938" s="1">
        <v>1</v>
      </c>
      <c r="I8938" t="s">
        <v>12</v>
      </c>
      <c r="J8938" t="s">
        <v>19708</v>
      </c>
    </row>
    <row r="8939" spans="1:10" x14ac:dyDescent="0.25">
      <c r="A8939">
        <v>4655296</v>
      </c>
      <c r="B8939" t="s">
        <v>9473</v>
      </c>
      <c r="C8939" t="str">
        <f>"9780071435406"</f>
        <v>9780071435406</v>
      </c>
      <c r="D8939" t="str">
        <f>"9780071446044"</f>
        <v>9780071446044</v>
      </c>
      <c r="E8939" t="s">
        <v>2947</v>
      </c>
      <c r="F8939" t="s">
        <v>9455</v>
      </c>
      <c r="G8939" s="1">
        <v>38221</v>
      </c>
      <c r="H8939" s="1">
        <v>1</v>
      </c>
      <c r="I8939" t="s">
        <v>12</v>
      </c>
      <c r="J8939" t="s">
        <v>19709</v>
      </c>
    </row>
    <row r="8940" spans="1:10" x14ac:dyDescent="0.25">
      <c r="A8940">
        <v>4655301</v>
      </c>
      <c r="B8940" t="s">
        <v>9474</v>
      </c>
      <c r="C8940" t="str">
        <f>"9780071438872"</f>
        <v>9780071438872</v>
      </c>
      <c r="D8940" t="str">
        <f>"9780071446129"</f>
        <v>9780071446129</v>
      </c>
      <c r="E8940" t="s">
        <v>2947</v>
      </c>
      <c r="F8940" t="s">
        <v>9455</v>
      </c>
      <c r="G8940" s="1">
        <v>38221</v>
      </c>
      <c r="H8940" s="1">
        <v>1</v>
      </c>
      <c r="I8940" t="s">
        <v>12</v>
      </c>
      <c r="J8940" t="s">
        <v>19710</v>
      </c>
    </row>
    <row r="8941" spans="1:10" x14ac:dyDescent="0.25">
      <c r="A8941">
        <v>4655312</v>
      </c>
      <c r="B8941" t="s">
        <v>9475</v>
      </c>
      <c r="C8941" t="str">
        <f>"9780071436830"</f>
        <v>9780071436830</v>
      </c>
      <c r="D8941" t="str">
        <f>"9780071454346"</f>
        <v>9780071454346</v>
      </c>
      <c r="E8941" t="s">
        <v>2947</v>
      </c>
      <c r="F8941" t="s">
        <v>9455</v>
      </c>
      <c r="G8941" s="1">
        <v>38069</v>
      </c>
      <c r="H8941" s="1">
        <v>1</v>
      </c>
      <c r="I8941" t="s">
        <v>12</v>
      </c>
      <c r="J8941" t="s">
        <v>19711</v>
      </c>
    </row>
    <row r="8942" spans="1:10" x14ac:dyDescent="0.25">
      <c r="A8942">
        <v>4655319</v>
      </c>
      <c r="B8942" t="s">
        <v>9476</v>
      </c>
      <c r="C8942" t="str">
        <f>"9780071424066"</f>
        <v>9780071424066</v>
      </c>
      <c r="D8942" t="str">
        <f>"9780071454377"</f>
        <v>9780071454377</v>
      </c>
      <c r="E8942" t="s">
        <v>2947</v>
      </c>
      <c r="F8942" t="s">
        <v>9455</v>
      </c>
      <c r="G8942" s="1">
        <v>38142</v>
      </c>
      <c r="H8942" s="1">
        <v>1</v>
      </c>
      <c r="I8942" t="s">
        <v>12</v>
      </c>
      <c r="J8942" t="s">
        <v>19712</v>
      </c>
    </row>
    <row r="8943" spans="1:10" x14ac:dyDescent="0.25">
      <c r="A8943">
        <v>4655343</v>
      </c>
      <c r="B8943" t="s">
        <v>9477</v>
      </c>
      <c r="C8943" t="str">
        <f>"9780071441391"</f>
        <v>9780071441391</v>
      </c>
      <c r="D8943" t="str">
        <f>"9780071454636"</f>
        <v>9780071454636</v>
      </c>
      <c r="E8943" t="s">
        <v>2947</v>
      </c>
      <c r="F8943" t="s">
        <v>9450</v>
      </c>
      <c r="G8943" s="1">
        <v>36526</v>
      </c>
      <c r="H8943" s="1">
        <v>1</v>
      </c>
      <c r="I8943" t="s">
        <v>12</v>
      </c>
      <c r="J8943" t="s">
        <v>19713</v>
      </c>
    </row>
    <row r="8944" spans="1:10" x14ac:dyDescent="0.25">
      <c r="A8944">
        <v>4655348</v>
      </c>
      <c r="B8944" t="s">
        <v>9478</v>
      </c>
      <c r="C8944" t="str">
        <f>"9780071441155"</f>
        <v>9780071441155</v>
      </c>
      <c r="D8944" t="str">
        <f>"9780071454810"</f>
        <v>9780071454810</v>
      </c>
      <c r="E8944" t="s">
        <v>2947</v>
      </c>
      <c r="F8944" t="s">
        <v>9450</v>
      </c>
      <c r="G8944" s="1">
        <v>36526</v>
      </c>
      <c r="H8944" s="1">
        <v>1</v>
      </c>
      <c r="I8944" t="s">
        <v>12</v>
      </c>
      <c r="J8944" t="s">
        <v>19714</v>
      </c>
    </row>
    <row r="8945" spans="1:10" x14ac:dyDescent="0.25">
      <c r="A8945">
        <v>4655350</v>
      </c>
      <c r="B8945" t="s">
        <v>9479</v>
      </c>
      <c r="C8945" t="str">
        <f>"9780071434829"</f>
        <v>9780071434829</v>
      </c>
      <c r="D8945" t="str">
        <f>"9780071454674"</f>
        <v>9780071454674</v>
      </c>
      <c r="E8945" t="s">
        <v>2947</v>
      </c>
      <c r="F8945" t="s">
        <v>9450</v>
      </c>
      <c r="G8945" s="1">
        <v>38282</v>
      </c>
      <c r="H8945" s="1">
        <v>1</v>
      </c>
      <c r="I8945" t="s">
        <v>12</v>
      </c>
      <c r="J8945" t="s">
        <v>19715</v>
      </c>
    </row>
    <row r="8946" spans="1:10" x14ac:dyDescent="0.25">
      <c r="A8946">
        <v>4655351</v>
      </c>
      <c r="B8946" t="s">
        <v>9480</v>
      </c>
      <c r="C8946" t="str">
        <f>"9780071444880"</f>
        <v>9780071444880</v>
      </c>
      <c r="D8946" t="str">
        <f>"9780071454711"</f>
        <v>9780071454711</v>
      </c>
      <c r="E8946" t="s">
        <v>2947</v>
      </c>
      <c r="F8946" t="s">
        <v>9450</v>
      </c>
      <c r="G8946" s="1">
        <v>38313</v>
      </c>
      <c r="H8946" s="1">
        <v>1</v>
      </c>
      <c r="I8946" t="s">
        <v>12</v>
      </c>
      <c r="J8946" t="s">
        <v>19716</v>
      </c>
    </row>
    <row r="8947" spans="1:10" x14ac:dyDescent="0.25">
      <c r="A8947">
        <v>4655356</v>
      </c>
      <c r="B8947" t="s">
        <v>9481</v>
      </c>
      <c r="C8947" t="str">
        <f>"9780071442084"</f>
        <v>9780071442084</v>
      </c>
      <c r="D8947" t="str">
        <f>"9780071454520"</f>
        <v>9780071454520</v>
      </c>
      <c r="E8947" t="s">
        <v>2947</v>
      </c>
      <c r="F8947" t="s">
        <v>9450</v>
      </c>
      <c r="G8947" s="1">
        <v>36526</v>
      </c>
      <c r="H8947" s="1">
        <v>1</v>
      </c>
      <c r="I8947" t="s">
        <v>12</v>
      </c>
      <c r="J8947" t="s">
        <v>19717</v>
      </c>
    </row>
    <row r="8948" spans="1:10" x14ac:dyDescent="0.25">
      <c r="A8948">
        <v>4655362</v>
      </c>
      <c r="B8948" t="s">
        <v>9482</v>
      </c>
      <c r="C8948" t="str">
        <f>"9780071437073"</f>
        <v>9780071437073</v>
      </c>
      <c r="D8948" t="str">
        <f>"9780071446006"</f>
        <v>9780071446006</v>
      </c>
      <c r="E8948" t="s">
        <v>2947</v>
      </c>
      <c r="F8948" t="s">
        <v>9450</v>
      </c>
      <c r="G8948" s="1">
        <v>38129</v>
      </c>
      <c r="H8948" s="1">
        <v>1</v>
      </c>
      <c r="I8948" t="s">
        <v>12</v>
      </c>
      <c r="J8948" t="s">
        <v>19718</v>
      </c>
    </row>
    <row r="8949" spans="1:10" x14ac:dyDescent="0.25">
      <c r="A8949">
        <v>4655363</v>
      </c>
      <c r="B8949" t="s">
        <v>9483</v>
      </c>
      <c r="C8949" t="str">
        <f>"9780071432153"</f>
        <v>9780071432153</v>
      </c>
      <c r="D8949" t="str">
        <f>"9780071457163"</f>
        <v>9780071457163</v>
      </c>
      <c r="E8949" t="s">
        <v>2947</v>
      </c>
      <c r="F8949" t="s">
        <v>9450</v>
      </c>
      <c r="G8949" s="1">
        <v>38047</v>
      </c>
      <c r="H8949" s="1">
        <v>1</v>
      </c>
      <c r="I8949" t="s">
        <v>12</v>
      </c>
      <c r="J8949" t="s">
        <v>19719</v>
      </c>
    </row>
    <row r="8950" spans="1:10" x14ac:dyDescent="0.25">
      <c r="A8950">
        <v>4655379</v>
      </c>
      <c r="B8950" t="s">
        <v>9484</v>
      </c>
      <c r="C8950" t="str">
        <f>"9780071445870"</f>
        <v>9780071445870</v>
      </c>
      <c r="D8950" t="str">
        <f>"9780071454827"</f>
        <v>9780071454827</v>
      </c>
      <c r="E8950" t="s">
        <v>2947</v>
      </c>
      <c r="F8950" t="s">
        <v>9450</v>
      </c>
      <c r="G8950" s="1">
        <v>38343</v>
      </c>
      <c r="H8950" s="1">
        <v>1</v>
      </c>
      <c r="I8950" t="s">
        <v>12</v>
      </c>
      <c r="J8950" t="s">
        <v>19720</v>
      </c>
    </row>
    <row r="8951" spans="1:10" x14ac:dyDescent="0.25">
      <c r="A8951">
        <v>4655398</v>
      </c>
      <c r="B8951" t="s">
        <v>9485</v>
      </c>
      <c r="C8951" t="str">
        <f>"9780071422574"</f>
        <v>9780071422574</v>
      </c>
      <c r="D8951" t="str">
        <f>"9780071458467"</f>
        <v>9780071458467</v>
      </c>
      <c r="E8951" t="s">
        <v>2947</v>
      </c>
      <c r="F8951" t="s">
        <v>9450</v>
      </c>
      <c r="G8951" s="1">
        <v>36526</v>
      </c>
      <c r="H8951" s="1">
        <v>1</v>
      </c>
      <c r="I8951" t="s">
        <v>12</v>
      </c>
      <c r="J8951" t="s">
        <v>19721</v>
      </c>
    </row>
    <row r="8952" spans="1:10" x14ac:dyDescent="0.25">
      <c r="A8952">
        <v>4655399</v>
      </c>
      <c r="B8952" t="s">
        <v>9486</v>
      </c>
      <c r="C8952" t="str">
        <f>"9780071430067"</f>
        <v>9780071430067</v>
      </c>
      <c r="D8952" t="str">
        <f>"9780071458580"</f>
        <v>9780071458580</v>
      </c>
      <c r="E8952" t="s">
        <v>2947</v>
      </c>
      <c r="F8952" t="s">
        <v>9450</v>
      </c>
      <c r="G8952" s="1">
        <v>38007</v>
      </c>
      <c r="H8952" s="1">
        <v>1</v>
      </c>
      <c r="I8952" t="s">
        <v>12</v>
      </c>
      <c r="J8952" t="s">
        <v>19722</v>
      </c>
    </row>
    <row r="8953" spans="1:10" x14ac:dyDescent="0.25">
      <c r="A8953">
        <v>4655412</v>
      </c>
      <c r="B8953" t="s">
        <v>9487</v>
      </c>
      <c r="C8953" t="str">
        <f>"9780071429702"</f>
        <v>9780071429702</v>
      </c>
      <c r="D8953" t="str">
        <f>"9780071458559"</f>
        <v>9780071458559</v>
      </c>
      <c r="E8953" t="s">
        <v>2947</v>
      </c>
      <c r="F8953" t="s">
        <v>9450</v>
      </c>
      <c r="G8953" s="1">
        <v>38098</v>
      </c>
      <c r="H8953" s="1">
        <v>1</v>
      </c>
      <c r="I8953" t="s">
        <v>12</v>
      </c>
      <c r="J8953" t="s">
        <v>19723</v>
      </c>
    </row>
    <row r="8954" spans="1:10" x14ac:dyDescent="0.25">
      <c r="A8954">
        <v>4655426</v>
      </c>
      <c r="B8954" t="s">
        <v>9488</v>
      </c>
      <c r="C8954" t="str">
        <f>"9780071445429"</f>
        <v>9780071445429</v>
      </c>
      <c r="D8954" t="str">
        <f>"9780071460057"</f>
        <v>9780071460057</v>
      </c>
      <c r="E8954" t="s">
        <v>2947</v>
      </c>
      <c r="F8954" t="s">
        <v>9450</v>
      </c>
      <c r="G8954" s="1">
        <v>38312</v>
      </c>
      <c r="H8954" s="1">
        <v>1</v>
      </c>
      <c r="I8954" t="s">
        <v>12</v>
      </c>
      <c r="J8954" t="s">
        <v>19724</v>
      </c>
    </row>
    <row r="8955" spans="1:10" x14ac:dyDescent="0.25">
      <c r="A8955">
        <v>4655449</v>
      </c>
      <c r="B8955" t="s">
        <v>9489</v>
      </c>
      <c r="C8955" t="str">
        <f>"9780071448352"</f>
        <v>9780071448352</v>
      </c>
      <c r="D8955" t="str">
        <f>"9780071466493"</f>
        <v>9780071466493</v>
      </c>
      <c r="E8955" t="s">
        <v>2947</v>
      </c>
      <c r="F8955" t="s">
        <v>9450</v>
      </c>
      <c r="G8955" s="1">
        <v>36526</v>
      </c>
      <c r="H8955" s="1">
        <v>1</v>
      </c>
      <c r="I8955" t="s">
        <v>12</v>
      </c>
      <c r="J8955" t="s">
        <v>19725</v>
      </c>
    </row>
    <row r="8956" spans="1:10" x14ac:dyDescent="0.25">
      <c r="A8956">
        <v>4655482</v>
      </c>
      <c r="B8956" t="s">
        <v>9490</v>
      </c>
      <c r="C8956" t="str">
        <f>"9780071445436"</f>
        <v>9780071445436</v>
      </c>
      <c r="D8956" t="str">
        <f>"9780071465182"</f>
        <v>9780071465182</v>
      </c>
      <c r="E8956" t="s">
        <v>2947</v>
      </c>
      <c r="F8956" t="s">
        <v>9450</v>
      </c>
      <c r="G8956" s="1">
        <v>38373</v>
      </c>
      <c r="H8956" s="1">
        <v>1</v>
      </c>
      <c r="I8956" t="s">
        <v>12</v>
      </c>
      <c r="J8956" t="s">
        <v>19726</v>
      </c>
    </row>
    <row r="8957" spans="1:10" x14ac:dyDescent="0.25">
      <c r="A8957">
        <v>4655530</v>
      </c>
      <c r="B8957" t="s">
        <v>9491</v>
      </c>
      <c r="C8957" t="str">
        <f>"9780071446372"</f>
        <v>9780071446372</v>
      </c>
      <c r="D8957" t="str">
        <f>"9780071469531"</f>
        <v>9780071469531</v>
      </c>
      <c r="E8957" t="s">
        <v>2947</v>
      </c>
      <c r="F8957" t="s">
        <v>9450</v>
      </c>
      <c r="G8957" s="1">
        <v>38449</v>
      </c>
      <c r="H8957" s="1">
        <v>1</v>
      </c>
      <c r="I8957" t="s">
        <v>12</v>
      </c>
      <c r="J8957" t="s">
        <v>19727</v>
      </c>
    </row>
    <row r="8958" spans="1:10" x14ac:dyDescent="0.25">
      <c r="A8958">
        <v>4655551</v>
      </c>
      <c r="B8958" t="s">
        <v>9492</v>
      </c>
      <c r="C8958" t="str">
        <f>"9780071445597"</f>
        <v>9780071445597</v>
      </c>
      <c r="D8958" t="str">
        <f>"9780071469654"</f>
        <v>9780071469654</v>
      </c>
      <c r="E8958" t="s">
        <v>2947</v>
      </c>
      <c r="F8958" t="s">
        <v>2947</v>
      </c>
      <c r="G8958" s="1">
        <v>38490</v>
      </c>
      <c r="H8958" s="1">
        <v>1</v>
      </c>
      <c r="I8958" t="s">
        <v>12</v>
      </c>
      <c r="J8958" t="s">
        <v>19728</v>
      </c>
    </row>
    <row r="8959" spans="1:10" x14ac:dyDescent="0.25">
      <c r="A8959">
        <v>4655562</v>
      </c>
      <c r="B8959" t="s">
        <v>9493</v>
      </c>
      <c r="C8959" t="str">
        <f>"9780071445184"</f>
        <v>9780071445184</v>
      </c>
      <c r="D8959" t="str">
        <f>"9780071471213"</f>
        <v>9780071471213</v>
      </c>
      <c r="E8959" t="s">
        <v>2947</v>
      </c>
      <c r="F8959" t="s">
        <v>9450</v>
      </c>
      <c r="G8959" s="1">
        <v>36526</v>
      </c>
      <c r="H8959" s="1">
        <v>1</v>
      </c>
      <c r="I8959" t="s">
        <v>12</v>
      </c>
      <c r="J8959" t="s">
        <v>19729</v>
      </c>
    </row>
    <row r="8960" spans="1:10" x14ac:dyDescent="0.25">
      <c r="A8960">
        <v>4655582</v>
      </c>
      <c r="B8960" t="s">
        <v>9494</v>
      </c>
      <c r="C8960" t="str">
        <f>"9780072254266"</f>
        <v>9780072254266</v>
      </c>
      <c r="D8960" t="str">
        <f>"9780071470995"</f>
        <v>9780071470995</v>
      </c>
      <c r="E8960" t="s">
        <v>2947</v>
      </c>
      <c r="F8960" t="s">
        <v>9495</v>
      </c>
      <c r="G8960" s="1">
        <v>38108</v>
      </c>
      <c r="H8960" s="1">
        <v>1</v>
      </c>
      <c r="I8960" t="s">
        <v>12</v>
      </c>
      <c r="J8960" t="s">
        <v>19730</v>
      </c>
    </row>
    <row r="8961" spans="1:10" x14ac:dyDescent="0.25">
      <c r="A8961">
        <v>4655594</v>
      </c>
      <c r="B8961" t="s">
        <v>9496</v>
      </c>
      <c r="C8961" t="str">
        <f>"9780072258691"</f>
        <v>9780072258691</v>
      </c>
      <c r="D8961" t="str">
        <f>"9780071471206"</f>
        <v>9780071471206</v>
      </c>
      <c r="E8961" t="s">
        <v>2947</v>
      </c>
      <c r="F8961" t="s">
        <v>9495</v>
      </c>
      <c r="G8961" s="1">
        <v>38231</v>
      </c>
      <c r="H8961" s="1">
        <v>1</v>
      </c>
      <c r="I8961" t="s">
        <v>12</v>
      </c>
      <c r="J8961" t="s">
        <v>19731</v>
      </c>
    </row>
    <row r="8962" spans="1:10" x14ac:dyDescent="0.25">
      <c r="A8962">
        <v>4655605</v>
      </c>
      <c r="B8962" t="s">
        <v>9497</v>
      </c>
      <c r="C8962" t="str">
        <f>"9780072261615"</f>
        <v>9780072261615</v>
      </c>
      <c r="D8962" t="str">
        <f>"9780072263978"</f>
        <v>9780072263978</v>
      </c>
      <c r="E8962" t="s">
        <v>2947</v>
      </c>
      <c r="F8962" t="s">
        <v>9495</v>
      </c>
      <c r="G8962" s="1">
        <v>38575</v>
      </c>
      <c r="H8962" s="1">
        <v>1</v>
      </c>
      <c r="I8962" t="s">
        <v>12</v>
      </c>
      <c r="J8962" t="s">
        <v>19732</v>
      </c>
    </row>
    <row r="8963" spans="1:10" x14ac:dyDescent="0.25">
      <c r="A8963">
        <v>4655607</v>
      </c>
      <c r="B8963" t="s">
        <v>9498</v>
      </c>
      <c r="C8963" t="str">
        <f>"9780072262483"</f>
        <v>9780072262483</v>
      </c>
      <c r="D8963" t="str">
        <f>"9780072264005"</f>
        <v>9780072264005</v>
      </c>
      <c r="E8963" t="s">
        <v>2947</v>
      </c>
      <c r="F8963" t="s">
        <v>9495</v>
      </c>
      <c r="G8963" s="1">
        <v>38672</v>
      </c>
      <c r="H8963" s="1">
        <v>1</v>
      </c>
      <c r="I8963" t="s">
        <v>12</v>
      </c>
      <c r="J8963" t="s">
        <v>19733</v>
      </c>
    </row>
    <row r="8964" spans="1:10" x14ac:dyDescent="0.25">
      <c r="A8964">
        <v>4655617</v>
      </c>
      <c r="B8964" t="s">
        <v>9499</v>
      </c>
      <c r="C8964" t="str">
        <f>"9780072261646"</f>
        <v>9780072261646</v>
      </c>
      <c r="D8964" t="str">
        <f>"9780072264289"</f>
        <v>9780072264289</v>
      </c>
      <c r="E8964" t="s">
        <v>2947</v>
      </c>
      <c r="F8964" t="s">
        <v>9495</v>
      </c>
      <c r="G8964" s="1">
        <v>38519</v>
      </c>
      <c r="H8964" s="1">
        <v>1</v>
      </c>
      <c r="I8964" t="s">
        <v>12</v>
      </c>
      <c r="J8964" t="s">
        <v>19734</v>
      </c>
    </row>
    <row r="8965" spans="1:10" x14ac:dyDescent="0.25">
      <c r="A8965">
        <v>4655627</v>
      </c>
      <c r="B8965" t="s">
        <v>9500</v>
      </c>
      <c r="C8965" t="str">
        <f>"9780072262360"</f>
        <v>9780072262360</v>
      </c>
      <c r="D8965" t="str">
        <f>"9780072264036"</f>
        <v>9780072264036</v>
      </c>
      <c r="E8965" t="s">
        <v>2947</v>
      </c>
      <c r="F8965" t="s">
        <v>9495</v>
      </c>
      <c r="G8965" s="1">
        <v>38728</v>
      </c>
      <c r="H8965" s="1">
        <v>1</v>
      </c>
      <c r="I8965" t="s">
        <v>12</v>
      </c>
      <c r="J8965" t="s">
        <v>19735</v>
      </c>
    </row>
    <row r="8966" spans="1:10" x14ac:dyDescent="0.25">
      <c r="A8966">
        <v>4655628</v>
      </c>
      <c r="B8966" t="s">
        <v>9501</v>
      </c>
      <c r="C8966" t="str">
        <f>"9780072262520"</f>
        <v>9780072262520</v>
      </c>
      <c r="D8966" t="str">
        <f>"9780072264012"</f>
        <v>9780072264012</v>
      </c>
      <c r="E8966" t="s">
        <v>2947</v>
      </c>
      <c r="F8966" t="s">
        <v>9495</v>
      </c>
      <c r="G8966" s="1">
        <v>38698</v>
      </c>
      <c r="H8966" s="1">
        <v>1</v>
      </c>
      <c r="I8966" t="s">
        <v>12</v>
      </c>
      <c r="J8966" t="s">
        <v>19736</v>
      </c>
    </row>
    <row r="8967" spans="1:10" x14ac:dyDescent="0.25">
      <c r="A8967">
        <v>4655629</v>
      </c>
      <c r="B8967" t="s">
        <v>9502</v>
      </c>
      <c r="C8967" t="str">
        <f>"9780072231731"</f>
        <v>9780072231731</v>
      </c>
      <c r="D8967" t="str">
        <f>"9780072264401"</f>
        <v>9780072264401</v>
      </c>
      <c r="E8967" t="s">
        <v>2947</v>
      </c>
      <c r="F8967" t="s">
        <v>9495</v>
      </c>
      <c r="G8967" s="1">
        <v>38169</v>
      </c>
      <c r="H8967" s="1">
        <v>1</v>
      </c>
      <c r="I8967" t="s">
        <v>12</v>
      </c>
      <c r="J8967" t="s">
        <v>19737</v>
      </c>
    </row>
    <row r="8968" spans="1:10" x14ac:dyDescent="0.25">
      <c r="A8968">
        <v>4655633</v>
      </c>
      <c r="B8968" t="s">
        <v>9503</v>
      </c>
      <c r="C8968" t="str">
        <f>"9780072262612"</f>
        <v>9780072262612</v>
      </c>
      <c r="D8968" t="str">
        <f>"9780072264449"</f>
        <v>9780072264449</v>
      </c>
      <c r="E8968" t="s">
        <v>2947</v>
      </c>
      <c r="F8968" t="s">
        <v>9495</v>
      </c>
      <c r="G8968" s="1">
        <v>38684</v>
      </c>
      <c r="H8968" s="1">
        <v>1</v>
      </c>
      <c r="I8968" t="s">
        <v>12</v>
      </c>
      <c r="J8968" t="s">
        <v>19738</v>
      </c>
    </row>
    <row r="8969" spans="1:10" x14ac:dyDescent="0.25">
      <c r="A8969">
        <v>4655636</v>
      </c>
      <c r="B8969" t="s">
        <v>9504</v>
      </c>
      <c r="C8969" t="str">
        <f>"9780072260915"</f>
        <v>9780072260915</v>
      </c>
      <c r="D8969" t="str">
        <f>"9780072263961"</f>
        <v>9780072263961</v>
      </c>
      <c r="E8969" t="s">
        <v>2947</v>
      </c>
      <c r="F8969" t="s">
        <v>9495</v>
      </c>
      <c r="G8969" s="1">
        <v>38540</v>
      </c>
      <c r="H8969" s="1">
        <v>1</v>
      </c>
      <c r="I8969" t="s">
        <v>12</v>
      </c>
      <c r="J8969" t="s">
        <v>19739</v>
      </c>
    </row>
    <row r="8970" spans="1:10" x14ac:dyDescent="0.25">
      <c r="A8970">
        <v>4655648</v>
      </c>
      <c r="B8970" t="s">
        <v>9505</v>
      </c>
      <c r="C8970" t="str">
        <f>"9780072260991"</f>
        <v>9780072260991</v>
      </c>
      <c r="D8970" t="str">
        <f>"9780071483483"</f>
        <v>9780071483483</v>
      </c>
      <c r="E8970" t="s">
        <v>2947</v>
      </c>
      <c r="F8970" t="s">
        <v>9495</v>
      </c>
      <c r="G8970" s="1">
        <v>38716</v>
      </c>
      <c r="H8970" s="1">
        <v>1</v>
      </c>
      <c r="I8970" t="s">
        <v>12</v>
      </c>
      <c r="J8970" t="s">
        <v>19740</v>
      </c>
    </row>
    <row r="8971" spans="1:10" x14ac:dyDescent="0.25">
      <c r="A8971">
        <v>4655651</v>
      </c>
      <c r="B8971" t="s">
        <v>9506</v>
      </c>
      <c r="C8971" t="str">
        <f>"9780071460385"</f>
        <v>9780071460385</v>
      </c>
      <c r="D8971" t="str">
        <f>"9780071483339"</f>
        <v>9780071483339</v>
      </c>
      <c r="E8971" t="s">
        <v>2947</v>
      </c>
      <c r="F8971" t="s">
        <v>9507</v>
      </c>
      <c r="G8971" s="1">
        <v>38716</v>
      </c>
      <c r="H8971" s="1">
        <v>1</v>
      </c>
      <c r="I8971" t="s">
        <v>12</v>
      </c>
      <c r="J8971" t="s">
        <v>19741</v>
      </c>
    </row>
    <row r="8972" spans="1:10" x14ac:dyDescent="0.25">
      <c r="A8972">
        <v>4655652</v>
      </c>
      <c r="B8972" t="s">
        <v>9508</v>
      </c>
      <c r="C8972" t="str">
        <f>"9780072262094"</f>
        <v>9780072262094</v>
      </c>
      <c r="D8972" t="str">
        <f>"9780071483735"</f>
        <v>9780071483735</v>
      </c>
      <c r="E8972" t="s">
        <v>2947</v>
      </c>
      <c r="F8972" t="s">
        <v>9495</v>
      </c>
      <c r="G8972" s="1">
        <v>38716</v>
      </c>
      <c r="H8972" s="1">
        <v>1</v>
      </c>
      <c r="I8972" t="s">
        <v>12</v>
      </c>
      <c r="J8972" t="s">
        <v>19742</v>
      </c>
    </row>
    <row r="8973" spans="1:10" x14ac:dyDescent="0.25">
      <c r="A8973">
        <v>4655653</v>
      </c>
      <c r="B8973" t="s">
        <v>9509</v>
      </c>
      <c r="C8973" t="str">
        <f>"9780072261608"</f>
        <v>9780072261608</v>
      </c>
      <c r="D8973" t="str">
        <f>"9780071483568"</f>
        <v>9780071483568</v>
      </c>
      <c r="E8973" t="s">
        <v>2947</v>
      </c>
      <c r="F8973" t="s">
        <v>2947</v>
      </c>
      <c r="G8973" s="1">
        <v>38502</v>
      </c>
      <c r="H8973" s="1">
        <v>1</v>
      </c>
      <c r="I8973" t="s">
        <v>12</v>
      </c>
      <c r="J8973" t="s">
        <v>19743</v>
      </c>
    </row>
    <row r="8974" spans="1:10" x14ac:dyDescent="0.25">
      <c r="A8974">
        <v>4655654</v>
      </c>
      <c r="B8974" t="s">
        <v>9510</v>
      </c>
      <c r="C8974" t="str">
        <f>"9780071458917"</f>
        <v>9780071458917</v>
      </c>
      <c r="D8974" t="str">
        <f>"9780071483063"</f>
        <v>9780071483063</v>
      </c>
      <c r="E8974" t="s">
        <v>2947</v>
      </c>
      <c r="F8974" t="s">
        <v>2947</v>
      </c>
      <c r="G8974" s="1">
        <v>38720</v>
      </c>
      <c r="H8974" s="1">
        <v>1</v>
      </c>
      <c r="I8974" t="s">
        <v>12</v>
      </c>
      <c r="J8974" t="s">
        <v>19744</v>
      </c>
    </row>
    <row r="8975" spans="1:10" x14ac:dyDescent="0.25">
      <c r="A8975">
        <v>4655657</v>
      </c>
      <c r="B8975" t="s">
        <v>9511</v>
      </c>
      <c r="C8975" t="str">
        <f>"9780072262452"</f>
        <v>9780072262452</v>
      </c>
      <c r="D8975" t="str">
        <f>"9780071483599"</f>
        <v>9780071483599</v>
      </c>
      <c r="E8975" t="s">
        <v>9495</v>
      </c>
      <c r="F8975" t="s">
        <v>2947</v>
      </c>
      <c r="G8975" s="1">
        <v>38728</v>
      </c>
      <c r="H8975" s="1">
        <v>1</v>
      </c>
      <c r="I8975" t="s">
        <v>12</v>
      </c>
      <c r="J8975" t="s">
        <v>19745</v>
      </c>
    </row>
    <row r="8976" spans="1:10" x14ac:dyDescent="0.25">
      <c r="A8976">
        <v>4655661</v>
      </c>
      <c r="B8976" t="s">
        <v>9512</v>
      </c>
      <c r="C8976" t="str">
        <f>"9780071429665"</f>
        <v>9780071429665</v>
      </c>
      <c r="D8976" t="str">
        <f>"9780071483322"</f>
        <v>9780071483322</v>
      </c>
      <c r="E8976" t="s">
        <v>2947</v>
      </c>
      <c r="F8976" t="s">
        <v>9450</v>
      </c>
      <c r="G8976" s="1">
        <v>38716</v>
      </c>
      <c r="H8976" s="1">
        <v>1</v>
      </c>
      <c r="I8976" t="s">
        <v>12</v>
      </c>
      <c r="J8976" t="s">
        <v>19746</v>
      </c>
    </row>
    <row r="8977" spans="1:10" x14ac:dyDescent="0.25">
      <c r="A8977">
        <v>4655664</v>
      </c>
      <c r="B8977" t="s">
        <v>9513</v>
      </c>
      <c r="C8977" t="str">
        <f>"9780071469081"</f>
        <v>9780071469081</v>
      </c>
      <c r="D8977" t="str">
        <f>"9780071483049"</f>
        <v>9780071483049</v>
      </c>
      <c r="E8977" t="s">
        <v>2947</v>
      </c>
      <c r="F8977" t="s">
        <v>9507</v>
      </c>
      <c r="G8977" s="1">
        <v>38714</v>
      </c>
      <c r="H8977" s="1">
        <v>1</v>
      </c>
      <c r="I8977" t="s">
        <v>12</v>
      </c>
      <c r="J8977" t="s">
        <v>19747</v>
      </c>
    </row>
    <row r="8978" spans="1:10" x14ac:dyDescent="0.25">
      <c r="A8978">
        <v>4655665</v>
      </c>
      <c r="B8978" t="s">
        <v>9514</v>
      </c>
      <c r="C8978" t="str">
        <f>"9780071458986"</f>
        <v>9780071458986</v>
      </c>
      <c r="D8978" t="str">
        <f>"9780071483148"</f>
        <v>9780071483148</v>
      </c>
      <c r="E8978" t="s">
        <v>2947</v>
      </c>
      <c r="F8978" t="s">
        <v>9507</v>
      </c>
      <c r="G8978" s="1">
        <v>38723</v>
      </c>
      <c r="H8978" s="1">
        <v>1</v>
      </c>
      <c r="I8978" t="s">
        <v>12</v>
      </c>
      <c r="J8978" t="s">
        <v>19748</v>
      </c>
    </row>
    <row r="8979" spans="1:10" x14ac:dyDescent="0.25">
      <c r="A8979">
        <v>4655668</v>
      </c>
      <c r="B8979" t="s">
        <v>9515</v>
      </c>
      <c r="C8979" t="str">
        <f>"9780071462716"</f>
        <v>9780071462716</v>
      </c>
      <c r="D8979" t="str">
        <f>"9780071483032"</f>
        <v>9780071483032</v>
      </c>
      <c r="E8979" t="s">
        <v>2947</v>
      </c>
      <c r="F8979" t="s">
        <v>9507</v>
      </c>
      <c r="G8979" s="1">
        <v>36526</v>
      </c>
      <c r="H8979" s="1">
        <v>1</v>
      </c>
      <c r="I8979" t="s">
        <v>12</v>
      </c>
      <c r="J8979" t="s">
        <v>19749</v>
      </c>
    </row>
    <row r="8980" spans="1:10" x14ac:dyDescent="0.25">
      <c r="A8980">
        <v>4655669</v>
      </c>
      <c r="B8980" t="s">
        <v>9516</v>
      </c>
      <c r="C8980" t="str">
        <f>"9780071465779"</f>
        <v>9780071465779</v>
      </c>
      <c r="D8980" t="str">
        <f>"9780071483117"</f>
        <v>9780071483117</v>
      </c>
      <c r="E8980" t="s">
        <v>2947</v>
      </c>
      <c r="F8980" t="s">
        <v>9507</v>
      </c>
      <c r="G8980" s="1">
        <v>38709</v>
      </c>
      <c r="H8980" s="1">
        <v>1</v>
      </c>
      <c r="I8980" t="s">
        <v>12</v>
      </c>
      <c r="J8980" t="s">
        <v>19750</v>
      </c>
    </row>
    <row r="8981" spans="1:10" x14ac:dyDescent="0.25">
      <c r="A8981">
        <v>4655682</v>
      </c>
      <c r="B8981" t="s">
        <v>9517</v>
      </c>
      <c r="C8981" t="str">
        <f>"9780071455015"</f>
        <v>9780071455015</v>
      </c>
      <c r="D8981" t="str">
        <f>"9780071487054"</f>
        <v>9780071487054</v>
      </c>
      <c r="E8981" t="s">
        <v>2947</v>
      </c>
      <c r="F8981" t="s">
        <v>9450</v>
      </c>
      <c r="G8981" s="1">
        <v>38800</v>
      </c>
      <c r="H8981" s="1">
        <v>1</v>
      </c>
      <c r="I8981" t="s">
        <v>12</v>
      </c>
      <c r="J8981" t="s">
        <v>19751</v>
      </c>
    </row>
    <row r="8982" spans="1:10" x14ac:dyDescent="0.25">
      <c r="A8982">
        <v>4655693</v>
      </c>
      <c r="B8982" t="s">
        <v>9518</v>
      </c>
      <c r="C8982" t="str">
        <f>"9780071468671"</f>
        <v>9780071468671</v>
      </c>
      <c r="D8982" t="str">
        <f>"9780071487160"</f>
        <v>9780071487160</v>
      </c>
      <c r="E8982" t="s">
        <v>2947</v>
      </c>
      <c r="F8982" t="s">
        <v>9450</v>
      </c>
      <c r="G8982" s="1">
        <v>38814</v>
      </c>
      <c r="H8982" s="1">
        <v>1</v>
      </c>
      <c r="I8982" t="s">
        <v>12</v>
      </c>
      <c r="J8982" t="s">
        <v>19752</v>
      </c>
    </row>
    <row r="8983" spans="1:10" x14ac:dyDescent="0.25">
      <c r="A8983">
        <v>4655697</v>
      </c>
      <c r="B8983" t="s">
        <v>9519</v>
      </c>
      <c r="C8983" t="str">
        <f>"9780071468220"</f>
        <v>9780071468220</v>
      </c>
      <c r="D8983" t="str">
        <f>"9780071487146"</f>
        <v>9780071487146</v>
      </c>
      <c r="E8983" t="s">
        <v>2947</v>
      </c>
      <c r="F8983" t="s">
        <v>9450</v>
      </c>
      <c r="G8983" s="1">
        <v>38814</v>
      </c>
      <c r="H8983" s="1">
        <v>1</v>
      </c>
      <c r="I8983" t="s">
        <v>12</v>
      </c>
      <c r="J8983" t="s">
        <v>19753</v>
      </c>
    </row>
    <row r="8984" spans="1:10" x14ac:dyDescent="0.25">
      <c r="A8984">
        <v>4655699</v>
      </c>
      <c r="B8984" t="s">
        <v>9520</v>
      </c>
      <c r="C8984" t="str">
        <f>"9780071452243"</f>
        <v>9780071452243</v>
      </c>
      <c r="D8984" t="str">
        <f>"9780071483346"</f>
        <v>9780071483346</v>
      </c>
      <c r="E8984" t="s">
        <v>2947</v>
      </c>
      <c r="F8984" t="s">
        <v>9450</v>
      </c>
      <c r="G8984" s="1">
        <v>38723</v>
      </c>
      <c r="H8984" s="1">
        <v>1</v>
      </c>
      <c r="I8984" t="s">
        <v>12</v>
      </c>
      <c r="J8984" t="s">
        <v>19754</v>
      </c>
    </row>
    <row r="8985" spans="1:10" x14ac:dyDescent="0.25">
      <c r="A8985">
        <v>4655701</v>
      </c>
      <c r="B8985" t="s">
        <v>9521</v>
      </c>
      <c r="C8985" t="str">
        <f>"9780071459488"</f>
        <v>9780071459488</v>
      </c>
      <c r="D8985" t="str">
        <f>"9780071483278"</f>
        <v>9780071483278</v>
      </c>
      <c r="E8985" t="s">
        <v>9450</v>
      </c>
      <c r="F8985" t="s">
        <v>2947</v>
      </c>
      <c r="G8985" s="1">
        <v>38730</v>
      </c>
      <c r="H8985" s="1">
        <v>1</v>
      </c>
      <c r="I8985" t="s">
        <v>12</v>
      </c>
      <c r="J8985" t="s">
        <v>19755</v>
      </c>
    </row>
    <row r="8986" spans="1:10" x14ac:dyDescent="0.25">
      <c r="A8986">
        <v>4655703</v>
      </c>
      <c r="B8986" t="s">
        <v>9522</v>
      </c>
      <c r="C8986" t="str">
        <f>"9780071436786"</f>
        <v>9780071436786</v>
      </c>
      <c r="D8986" t="str">
        <f>"9780071487863"</f>
        <v>9780071487863</v>
      </c>
      <c r="E8986" t="s">
        <v>2947</v>
      </c>
      <c r="F8986" t="s">
        <v>2947</v>
      </c>
      <c r="G8986" s="1">
        <v>39052</v>
      </c>
      <c r="H8986" s="1">
        <v>1</v>
      </c>
      <c r="I8986" t="s">
        <v>12</v>
      </c>
      <c r="J8986" t="s">
        <v>19756</v>
      </c>
    </row>
    <row r="8987" spans="1:10" x14ac:dyDescent="0.25">
      <c r="A8987">
        <v>4655707</v>
      </c>
      <c r="B8987" t="s">
        <v>9523</v>
      </c>
      <c r="C8987" t="str">
        <f>"9780071467889"</f>
        <v>9780071467889</v>
      </c>
      <c r="D8987" t="str">
        <f>"9780071487412"</f>
        <v>9780071487412</v>
      </c>
      <c r="E8987" t="s">
        <v>2947</v>
      </c>
      <c r="F8987" t="s">
        <v>2947</v>
      </c>
      <c r="G8987" s="1">
        <v>38827</v>
      </c>
      <c r="H8987" s="1">
        <v>1</v>
      </c>
      <c r="I8987" t="s">
        <v>12</v>
      </c>
      <c r="J8987" t="s">
        <v>19757</v>
      </c>
    </row>
    <row r="8988" spans="1:10" x14ac:dyDescent="0.25">
      <c r="A8988">
        <v>4655713</v>
      </c>
      <c r="B8988" t="s">
        <v>9524</v>
      </c>
      <c r="C8988" t="str">
        <f>"9780072260908"</f>
        <v>9780072260908</v>
      </c>
      <c r="D8988" t="str">
        <f>"9780071486880"</f>
        <v>9780071486880</v>
      </c>
      <c r="E8988" t="s">
        <v>2947</v>
      </c>
      <c r="F8988" t="s">
        <v>9495</v>
      </c>
      <c r="G8988" s="1">
        <v>38762</v>
      </c>
      <c r="H8988" s="1">
        <v>1</v>
      </c>
      <c r="I8988" t="s">
        <v>12</v>
      </c>
      <c r="J8988" t="s">
        <v>19758</v>
      </c>
    </row>
    <row r="8989" spans="1:10" x14ac:dyDescent="0.25">
      <c r="A8989">
        <v>4655726</v>
      </c>
      <c r="B8989" t="s">
        <v>9525</v>
      </c>
      <c r="C8989" t="str">
        <f>"9780071458863"</f>
        <v>9780071458863</v>
      </c>
      <c r="D8989" t="str">
        <f>"9780071486996"</f>
        <v>9780071486996</v>
      </c>
      <c r="E8989" t="s">
        <v>2947</v>
      </c>
      <c r="F8989" t="s">
        <v>9507</v>
      </c>
      <c r="G8989" s="1">
        <v>38786</v>
      </c>
      <c r="H8989" s="1">
        <v>1</v>
      </c>
      <c r="I8989" t="s">
        <v>12</v>
      </c>
      <c r="J8989" t="s">
        <v>19759</v>
      </c>
    </row>
    <row r="8990" spans="1:10" x14ac:dyDescent="0.25">
      <c r="A8990">
        <v>4655732</v>
      </c>
      <c r="B8990" t="s">
        <v>9526</v>
      </c>
      <c r="C8990" t="str">
        <f>"9780072259537"</f>
        <v>9780072259537</v>
      </c>
      <c r="D8990" t="str">
        <f>"9780072264364"</f>
        <v>9780072264364</v>
      </c>
      <c r="E8990" t="s">
        <v>2947</v>
      </c>
      <c r="F8990" t="s">
        <v>2947</v>
      </c>
      <c r="G8990" s="1">
        <v>38473</v>
      </c>
      <c r="H8990" s="1">
        <v>1</v>
      </c>
      <c r="I8990" t="s">
        <v>12</v>
      </c>
      <c r="J8990" t="s">
        <v>19760</v>
      </c>
    </row>
    <row r="8991" spans="1:10" x14ac:dyDescent="0.25">
      <c r="A8991">
        <v>4655736</v>
      </c>
      <c r="B8991" t="s">
        <v>9527</v>
      </c>
      <c r="C8991" t="str">
        <f>"9780071469821"</f>
        <v>9780071469821</v>
      </c>
      <c r="D8991" t="str">
        <f>"9780071483070"</f>
        <v>9780071483070</v>
      </c>
      <c r="E8991" t="s">
        <v>2947</v>
      </c>
      <c r="F8991" t="s">
        <v>9507</v>
      </c>
      <c r="G8991" s="1">
        <v>36526</v>
      </c>
      <c r="H8991" s="1">
        <v>1</v>
      </c>
      <c r="I8991" t="s">
        <v>12</v>
      </c>
      <c r="J8991" t="s">
        <v>19761</v>
      </c>
    </row>
    <row r="8992" spans="1:10" x14ac:dyDescent="0.25">
      <c r="A8992">
        <v>4655737</v>
      </c>
      <c r="B8992" t="s">
        <v>9528</v>
      </c>
      <c r="C8992" t="str">
        <f>"9780071459549"</f>
        <v>9780071459549</v>
      </c>
      <c r="D8992" t="str">
        <f>"9780071491372"</f>
        <v>9780071491372</v>
      </c>
      <c r="E8992" t="s">
        <v>2947</v>
      </c>
      <c r="F8992" t="s">
        <v>9450</v>
      </c>
      <c r="G8992" s="1">
        <v>39417</v>
      </c>
      <c r="H8992" s="1">
        <v>1</v>
      </c>
      <c r="I8992" t="s">
        <v>12</v>
      </c>
      <c r="J8992" t="s">
        <v>19762</v>
      </c>
    </row>
    <row r="8993" spans="1:10" x14ac:dyDescent="0.25">
      <c r="A8993">
        <v>4655742</v>
      </c>
      <c r="B8993" t="s">
        <v>9529</v>
      </c>
      <c r="C8993" t="str">
        <f>"9780071458047"</f>
        <v>9780071458047</v>
      </c>
      <c r="D8993" t="str">
        <f>"9780071491631"</f>
        <v>9780071491631</v>
      </c>
      <c r="E8993" t="s">
        <v>2947</v>
      </c>
      <c r="F8993" t="s">
        <v>9450</v>
      </c>
      <c r="G8993" s="1">
        <v>40343</v>
      </c>
      <c r="H8993" s="1">
        <v>1</v>
      </c>
      <c r="I8993" t="s">
        <v>12</v>
      </c>
      <c r="J8993" t="s">
        <v>19763</v>
      </c>
    </row>
    <row r="8994" spans="1:10" x14ac:dyDescent="0.25">
      <c r="A8994">
        <v>4655747</v>
      </c>
      <c r="B8994" t="s">
        <v>9530</v>
      </c>
      <c r="C8994" t="str">
        <f>"9780071435321"</f>
        <v>9780071435321</v>
      </c>
      <c r="D8994" t="str">
        <f>"9780071490344"</f>
        <v>9780071490344</v>
      </c>
      <c r="E8994" t="s">
        <v>2947</v>
      </c>
      <c r="F8994" t="s">
        <v>9450</v>
      </c>
      <c r="G8994" s="1">
        <v>38722</v>
      </c>
      <c r="H8994" s="1">
        <v>1</v>
      </c>
      <c r="I8994" t="s">
        <v>12</v>
      </c>
      <c r="J8994" t="s">
        <v>19764</v>
      </c>
    </row>
    <row r="8995" spans="1:10" x14ac:dyDescent="0.25">
      <c r="A8995">
        <v>4655750</v>
      </c>
      <c r="B8995" t="s">
        <v>9531</v>
      </c>
      <c r="C8995" t="str">
        <f>"9780071464659"</f>
        <v>9780071464659</v>
      </c>
      <c r="D8995" t="str">
        <f>"9780071491419"</f>
        <v>9780071491419</v>
      </c>
      <c r="E8995" t="s">
        <v>2947</v>
      </c>
      <c r="F8995" t="s">
        <v>9507</v>
      </c>
      <c r="G8995" s="1">
        <v>40393</v>
      </c>
      <c r="H8995" s="1">
        <v>1</v>
      </c>
      <c r="I8995" t="s">
        <v>12</v>
      </c>
      <c r="J8995" t="s">
        <v>19765</v>
      </c>
    </row>
    <row r="8996" spans="1:10" x14ac:dyDescent="0.25">
      <c r="A8996">
        <v>4655755</v>
      </c>
      <c r="B8996" t="s">
        <v>9532</v>
      </c>
      <c r="C8996" t="str">
        <f>"9780071470001"</f>
        <v>9780071470001</v>
      </c>
      <c r="D8996" t="str">
        <f>"9780071491228"</f>
        <v>9780071491228</v>
      </c>
      <c r="E8996" t="s">
        <v>2947</v>
      </c>
      <c r="F8996" t="s">
        <v>9450</v>
      </c>
      <c r="G8996" s="1">
        <v>38911</v>
      </c>
      <c r="H8996" s="1">
        <v>1</v>
      </c>
      <c r="I8996" t="s">
        <v>12</v>
      </c>
      <c r="J8996" t="s">
        <v>19766</v>
      </c>
    </row>
    <row r="8997" spans="1:10" x14ac:dyDescent="0.25">
      <c r="A8997">
        <v>4655758</v>
      </c>
      <c r="B8997" t="s">
        <v>9533</v>
      </c>
      <c r="C8997" t="str">
        <f>"9780071468657"</f>
        <v>9780071468657</v>
      </c>
      <c r="D8997" t="str">
        <f>"9780071491785"</f>
        <v>9780071491785</v>
      </c>
      <c r="E8997" t="s">
        <v>2947</v>
      </c>
      <c r="F8997" t="s">
        <v>9507</v>
      </c>
      <c r="G8997" s="1">
        <v>39243</v>
      </c>
      <c r="H8997" s="1">
        <v>1</v>
      </c>
      <c r="I8997" t="s">
        <v>12</v>
      </c>
      <c r="J8997" t="s">
        <v>19767</v>
      </c>
    </row>
    <row r="8998" spans="1:10" x14ac:dyDescent="0.25">
      <c r="A8998">
        <v>4655761</v>
      </c>
      <c r="B8998" t="s">
        <v>9534</v>
      </c>
      <c r="C8998" t="str">
        <f>"9780071426688"</f>
        <v>9780071426688</v>
      </c>
      <c r="D8998" t="str">
        <f>"9780071490351"</f>
        <v>9780071490351</v>
      </c>
      <c r="E8998" t="s">
        <v>2947</v>
      </c>
      <c r="F8998" t="s">
        <v>9507</v>
      </c>
      <c r="G8998" s="1">
        <v>38508</v>
      </c>
      <c r="H8998" s="1">
        <v>1</v>
      </c>
      <c r="I8998" t="s">
        <v>12</v>
      </c>
      <c r="J8998" t="s">
        <v>19768</v>
      </c>
    </row>
    <row r="8999" spans="1:10" x14ac:dyDescent="0.25">
      <c r="A8999">
        <v>4655762</v>
      </c>
      <c r="B8999" t="s">
        <v>9535</v>
      </c>
      <c r="C8999" t="str">
        <f>"9780072262643"</f>
        <v>9780072262643</v>
      </c>
      <c r="D8999" t="str">
        <f>"9780071491662"</f>
        <v>9780071491662</v>
      </c>
      <c r="E8999" t="s">
        <v>2947</v>
      </c>
      <c r="F8999" t="s">
        <v>9507</v>
      </c>
      <c r="G8999" s="1">
        <v>39182</v>
      </c>
      <c r="H8999" s="1">
        <v>1</v>
      </c>
      <c r="I8999" t="s">
        <v>12</v>
      </c>
      <c r="J8999" t="s">
        <v>19769</v>
      </c>
    </row>
    <row r="9000" spans="1:10" x14ac:dyDescent="0.25">
      <c r="A9000">
        <v>4655763</v>
      </c>
      <c r="B9000" t="s">
        <v>9536</v>
      </c>
      <c r="C9000" t="str">
        <f>"9780071474009"</f>
        <v>9780071474009</v>
      </c>
      <c r="D9000" t="str">
        <f>"9780071491600"</f>
        <v>9780071491600</v>
      </c>
      <c r="E9000" t="s">
        <v>2947</v>
      </c>
      <c r="F9000" t="s">
        <v>9507</v>
      </c>
      <c r="G9000" s="1">
        <v>40346</v>
      </c>
      <c r="H9000" s="1">
        <v>1</v>
      </c>
      <c r="I9000" t="s">
        <v>12</v>
      </c>
      <c r="J9000" t="s">
        <v>19770</v>
      </c>
    </row>
    <row r="9001" spans="1:10" x14ac:dyDescent="0.25">
      <c r="A9001">
        <v>4655765</v>
      </c>
      <c r="B9001" t="s">
        <v>9537</v>
      </c>
      <c r="C9001" t="str">
        <f>"9780071463164"</f>
        <v>9780071463164</v>
      </c>
      <c r="D9001" t="str">
        <f>"9780071491129"</f>
        <v>9780071491129</v>
      </c>
      <c r="E9001" t="s">
        <v>2947</v>
      </c>
      <c r="F9001" t="s">
        <v>9450</v>
      </c>
      <c r="G9001" s="1">
        <v>40363</v>
      </c>
      <c r="H9001" s="1">
        <v>1</v>
      </c>
      <c r="I9001" t="s">
        <v>12</v>
      </c>
      <c r="J9001" t="s">
        <v>19771</v>
      </c>
    </row>
    <row r="9002" spans="1:10" x14ac:dyDescent="0.25">
      <c r="A9002">
        <v>4655766</v>
      </c>
      <c r="B9002" t="s">
        <v>9538</v>
      </c>
      <c r="C9002" t="str">
        <f>"9780071469852"</f>
        <v>9780071469852</v>
      </c>
      <c r="D9002" t="str">
        <f>"9780071491273"</f>
        <v>9780071491273</v>
      </c>
      <c r="E9002" t="s">
        <v>2947</v>
      </c>
      <c r="F9002" t="s">
        <v>9507</v>
      </c>
      <c r="G9002" s="1">
        <v>40378</v>
      </c>
      <c r="H9002" s="1">
        <v>1</v>
      </c>
      <c r="I9002" t="s">
        <v>12</v>
      </c>
      <c r="J9002" t="s">
        <v>19772</v>
      </c>
    </row>
    <row r="9003" spans="1:10" x14ac:dyDescent="0.25">
      <c r="A9003">
        <v>4655768</v>
      </c>
      <c r="B9003" t="s">
        <v>9539</v>
      </c>
      <c r="C9003" t="str">
        <f>"9780071450898"</f>
        <v>9780071450898</v>
      </c>
      <c r="D9003" t="str">
        <f>"9780071490290"</f>
        <v>9780071490290</v>
      </c>
      <c r="E9003" t="s">
        <v>2947</v>
      </c>
      <c r="F9003" t="s">
        <v>9450</v>
      </c>
      <c r="G9003" s="1">
        <v>39182</v>
      </c>
      <c r="H9003" s="1">
        <v>1</v>
      </c>
      <c r="I9003" t="s">
        <v>12</v>
      </c>
      <c r="J9003" t="s">
        <v>19773</v>
      </c>
    </row>
    <row r="9004" spans="1:10" x14ac:dyDescent="0.25">
      <c r="A9004">
        <v>4655770</v>
      </c>
      <c r="B9004" t="s">
        <v>9540</v>
      </c>
      <c r="C9004" t="str">
        <f>"9780071460705"</f>
        <v>9780071460705</v>
      </c>
      <c r="D9004" t="str">
        <f>"9780071491822"</f>
        <v>9780071491822</v>
      </c>
      <c r="E9004" t="s">
        <v>2947</v>
      </c>
      <c r="F9004" t="s">
        <v>9507</v>
      </c>
      <c r="G9004" s="1">
        <v>38838</v>
      </c>
      <c r="H9004" s="1">
        <v>1</v>
      </c>
      <c r="I9004" t="s">
        <v>12</v>
      </c>
      <c r="J9004" t="s">
        <v>19774</v>
      </c>
    </row>
    <row r="9005" spans="1:10" x14ac:dyDescent="0.25">
      <c r="A9005">
        <v>4655773</v>
      </c>
      <c r="B9005" t="s">
        <v>9541</v>
      </c>
      <c r="C9005" t="str">
        <f>"9780071457521"</f>
        <v>9780071457521</v>
      </c>
      <c r="D9005" t="str">
        <f>"9780071487009"</f>
        <v>9780071487009</v>
      </c>
      <c r="E9005" t="s">
        <v>2947</v>
      </c>
      <c r="F9005" t="s">
        <v>9507</v>
      </c>
      <c r="G9005" s="1">
        <v>38771</v>
      </c>
      <c r="H9005" s="1">
        <v>1</v>
      </c>
      <c r="I9005" t="s">
        <v>12</v>
      </c>
      <c r="J9005" t="s">
        <v>19775</v>
      </c>
    </row>
    <row r="9006" spans="1:10" x14ac:dyDescent="0.25">
      <c r="A9006">
        <v>4655777</v>
      </c>
      <c r="B9006" t="s">
        <v>9542</v>
      </c>
      <c r="C9006" t="str">
        <f>"9780071472340"</f>
        <v>9780071472340</v>
      </c>
      <c r="D9006" t="str">
        <f>"9780071491327"</f>
        <v>9780071491327</v>
      </c>
      <c r="E9006" t="s">
        <v>2947</v>
      </c>
      <c r="F9006" t="s">
        <v>9507</v>
      </c>
      <c r="G9006" s="1">
        <v>40391</v>
      </c>
      <c r="H9006" s="1">
        <v>1</v>
      </c>
      <c r="I9006" t="s">
        <v>12</v>
      </c>
      <c r="J9006" t="s">
        <v>19776</v>
      </c>
    </row>
    <row r="9007" spans="1:10" x14ac:dyDescent="0.25">
      <c r="A9007">
        <v>4655778</v>
      </c>
      <c r="B9007" t="s">
        <v>9543</v>
      </c>
      <c r="C9007" t="str">
        <f>"9780071473873"</f>
        <v>9780071473873</v>
      </c>
      <c r="D9007" t="str">
        <f>"9780071491570"</f>
        <v>9780071491570</v>
      </c>
      <c r="E9007" t="s">
        <v>2947</v>
      </c>
      <c r="F9007" t="s">
        <v>9507</v>
      </c>
      <c r="G9007" s="1">
        <v>39052</v>
      </c>
      <c r="H9007" s="1">
        <v>1</v>
      </c>
      <c r="I9007" t="s">
        <v>12</v>
      </c>
      <c r="J9007" t="s">
        <v>19777</v>
      </c>
    </row>
    <row r="9008" spans="1:10" x14ac:dyDescent="0.25">
      <c r="A9008">
        <v>4655779</v>
      </c>
      <c r="B9008" t="s">
        <v>9544</v>
      </c>
      <c r="C9008" t="str">
        <f>"9780071456036"</f>
        <v>9780071456036</v>
      </c>
      <c r="D9008" t="str">
        <f>"9780071490252"</f>
        <v>9780071490252</v>
      </c>
      <c r="E9008" t="s">
        <v>2947</v>
      </c>
      <c r="F9008" t="s">
        <v>9450</v>
      </c>
      <c r="G9008" s="1">
        <v>39182</v>
      </c>
      <c r="H9008" s="1">
        <v>1</v>
      </c>
      <c r="I9008" t="s">
        <v>12</v>
      </c>
      <c r="J9008" t="s">
        <v>19778</v>
      </c>
    </row>
    <row r="9009" spans="1:10" x14ac:dyDescent="0.25">
      <c r="A9009">
        <v>4655784</v>
      </c>
      <c r="B9009" t="s">
        <v>9545</v>
      </c>
      <c r="C9009" t="str">
        <f>"9780071470445"</f>
        <v>9780071470445</v>
      </c>
      <c r="D9009" t="str">
        <f>"9780071491112"</f>
        <v>9780071491112</v>
      </c>
      <c r="E9009" t="s">
        <v>2947</v>
      </c>
      <c r="F9009" t="s">
        <v>9507</v>
      </c>
      <c r="G9009" s="1">
        <v>38869</v>
      </c>
      <c r="H9009" s="1">
        <v>1</v>
      </c>
      <c r="I9009" t="s">
        <v>12</v>
      </c>
      <c r="J9009" t="s">
        <v>19779</v>
      </c>
    </row>
    <row r="9010" spans="1:10" x14ac:dyDescent="0.25">
      <c r="A9010">
        <v>4655787</v>
      </c>
      <c r="B9010" t="s">
        <v>9546</v>
      </c>
      <c r="C9010" t="str">
        <f>"9780071459518"</f>
        <v>9780071459518</v>
      </c>
      <c r="D9010" t="str">
        <f>"9780071492126"</f>
        <v>9780071492126</v>
      </c>
      <c r="E9010" t="s">
        <v>2947</v>
      </c>
      <c r="F9010" t="s">
        <v>2947</v>
      </c>
      <c r="G9010" s="1">
        <v>39052</v>
      </c>
      <c r="H9010" s="1">
        <v>1</v>
      </c>
      <c r="I9010" t="s">
        <v>12</v>
      </c>
      <c r="J9010" t="s">
        <v>19780</v>
      </c>
    </row>
    <row r="9011" spans="1:10" x14ac:dyDescent="0.25">
      <c r="A9011">
        <v>4655792</v>
      </c>
      <c r="B9011" t="s">
        <v>9547</v>
      </c>
      <c r="C9011" t="str">
        <f>"9780071456043"</f>
        <v>9780071456043</v>
      </c>
      <c r="D9011" t="str">
        <f>"9780071490313"</f>
        <v>9780071490313</v>
      </c>
      <c r="E9011" t="s">
        <v>2947</v>
      </c>
      <c r="F9011" t="s">
        <v>9450</v>
      </c>
      <c r="G9011" s="1">
        <v>38508</v>
      </c>
      <c r="H9011" s="1">
        <v>1</v>
      </c>
      <c r="I9011" t="s">
        <v>12</v>
      </c>
      <c r="J9011" t="s">
        <v>19781</v>
      </c>
    </row>
    <row r="9012" spans="1:10" x14ac:dyDescent="0.25">
      <c r="A9012">
        <v>4655793</v>
      </c>
      <c r="B9012" t="s">
        <v>9548</v>
      </c>
      <c r="C9012" t="str">
        <f>"9780071450904"</f>
        <v>9780071450904</v>
      </c>
      <c r="D9012" t="str">
        <f>"9780071490320"</f>
        <v>9780071490320</v>
      </c>
      <c r="E9012" t="s">
        <v>2947</v>
      </c>
      <c r="F9012" t="s">
        <v>9450</v>
      </c>
      <c r="G9012" s="1">
        <v>39182</v>
      </c>
      <c r="H9012" s="1">
        <v>1</v>
      </c>
      <c r="I9012" t="s">
        <v>12</v>
      </c>
      <c r="J9012" t="s">
        <v>19782</v>
      </c>
    </row>
    <row r="9013" spans="1:10" x14ac:dyDescent="0.25">
      <c r="A9013">
        <v>4655794</v>
      </c>
      <c r="B9013" t="s">
        <v>9549</v>
      </c>
      <c r="C9013" t="str">
        <f>"9780071454094"</f>
        <v>9780071454094</v>
      </c>
      <c r="D9013" t="str">
        <f>"9780071491143"</f>
        <v>9780071491143</v>
      </c>
      <c r="E9013" t="s">
        <v>2947</v>
      </c>
      <c r="F9013" t="s">
        <v>9507</v>
      </c>
      <c r="G9013" s="1">
        <v>39182</v>
      </c>
      <c r="H9013" s="1">
        <v>1</v>
      </c>
      <c r="I9013" t="s">
        <v>12</v>
      </c>
      <c r="J9013" t="s">
        <v>19783</v>
      </c>
    </row>
    <row r="9014" spans="1:10" x14ac:dyDescent="0.25">
      <c r="A9014">
        <v>4655855</v>
      </c>
      <c r="B9014" t="s">
        <v>9550</v>
      </c>
      <c r="C9014" t="str">
        <f>"9780072124897"</f>
        <v>9780072124897</v>
      </c>
      <c r="D9014" t="str">
        <f>"9780071372879"</f>
        <v>9780071372879</v>
      </c>
      <c r="E9014" t="s">
        <v>2947</v>
      </c>
      <c r="F9014" t="s">
        <v>9495</v>
      </c>
      <c r="G9014" s="1">
        <v>36714</v>
      </c>
      <c r="H9014" s="1">
        <v>1</v>
      </c>
      <c r="I9014" t="s">
        <v>12</v>
      </c>
      <c r="J9014" t="s">
        <v>19784</v>
      </c>
    </row>
    <row r="9015" spans="1:10" x14ac:dyDescent="0.25">
      <c r="A9015">
        <v>4655883</v>
      </c>
      <c r="B9015" t="s">
        <v>9551</v>
      </c>
      <c r="C9015" t="str">
        <f>"9780072126358"</f>
        <v>9780072126358</v>
      </c>
      <c r="D9015" t="str">
        <f>"9780072133325"</f>
        <v>9780072133325</v>
      </c>
      <c r="E9015" t="s">
        <v>2947</v>
      </c>
      <c r="F9015" t="s">
        <v>9495</v>
      </c>
      <c r="G9015" s="1">
        <v>36770</v>
      </c>
      <c r="H9015" s="1">
        <v>1</v>
      </c>
      <c r="I9015" t="s">
        <v>12</v>
      </c>
      <c r="J9015" t="s">
        <v>19785</v>
      </c>
    </row>
    <row r="9016" spans="1:10" x14ac:dyDescent="0.25">
      <c r="A9016">
        <v>4655968</v>
      </c>
      <c r="B9016" t="s">
        <v>9552</v>
      </c>
      <c r="C9016" t="str">
        <f>"9780071345668"</f>
        <v>9780071345668</v>
      </c>
      <c r="D9016" t="str">
        <f>"9780071368643"</f>
        <v>9780071368643</v>
      </c>
      <c r="E9016" t="s">
        <v>2947</v>
      </c>
      <c r="F9016" t="s">
        <v>9450</v>
      </c>
      <c r="G9016" s="1">
        <v>36526</v>
      </c>
      <c r="H9016" s="1">
        <v>1</v>
      </c>
      <c r="I9016" t="s">
        <v>12</v>
      </c>
      <c r="J9016" t="s">
        <v>19786</v>
      </c>
    </row>
    <row r="9017" spans="1:10" x14ac:dyDescent="0.25">
      <c r="A9017">
        <v>4656004</v>
      </c>
      <c r="B9017" t="s">
        <v>9553</v>
      </c>
      <c r="C9017" t="str">
        <f>"9780071436939"</f>
        <v>9780071436939</v>
      </c>
      <c r="D9017" t="str">
        <f>"9780071446051"</f>
        <v>9780071446051</v>
      </c>
      <c r="E9017" t="s">
        <v>2947</v>
      </c>
      <c r="F9017" t="s">
        <v>9455</v>
      </c>
      <c r="G9017" s="1">
        <v>38252</v>
      </c>
      <c r="H9017" s="1">
        <v>1</v>
      </c>
      <c r="I9017" t="s">
        <v>12</v>
      </c>
      <c r="J9017" t="s">
        <v>19787</v>
      </c>
    </row>
    <row r="9018" spans="1:10" x14ac:dyDescent="0.25">
      <c r="A9018">
        <v>4656015</v>
      </c>
      <c r="B9018" t="s">
        <v>9554</v>
      </c>
      <c r="C9018" t="str">
        <f>"9780071417532"</f>
        <v>9780071417532</v>
      </c>
      <c r="D9018" t="str">
        <f>"9780071436311"</f>
        <v>9780071436311</v>
      </c>
      <c r="E9018" t="s">
        <v>2947</v>
      </c>
      <c r="F9018" t="s">
        <v>9450</v>
      </c>
      <c r="G9018" s="1">
        <v>37781</v>
      </c>
      <c r="H9018" s="1">
        <v>1</v>
      </c>
      <c r="I9018" t="s">
        <v>12</v>
      </c>
      <c r="J9018" t="s">
        <v>19788</v>
      </c>
    </row>
    <row r="9019" spans="1:10" x14ac:dyDescent="0.25">
      <c r="A9019">
        <v>4656021</v>
      </c>
      <c r="B9019" t="s">
        <v>9555</v>
      </c>
      <c r="C9019" t="str">
        <f>"9780071414340"</f>
        <v>9780071414340</v>
      </c>
      <c r="D9019" t="str">
        <f>"9780071436120"</f>
        <v>9780071436120</v>
      </c>
      <c r="E9019" t="s">
        <v>9460</v>
      </c>
      <c r="F9019" t="s">
        <v>9460</v>
      </c>
      <c r="G9019" s="1">
        <v>37865</v>
      </c>
      <c r="H9019" s="1">
        <v>1</v>
      </c>
      <c r="I9019" t="s">
        <v>12</v>
      </c>
      <c r="J9019" t="s">
        <v>19789</v>
      </c>
    </row>
    <row r="9020" spans="1:10" x14ac:dyDescent="0.25">
      <c r="A9020">
        <v>4656057</v>
      </c>
      <c r="B9020" t="s">
        <v>9556</v>
      </c>
      <c r="C9020" t="str">
        <f>"9780071408660"</f>
        <v>9780071408660</v>
      </c>
      <c r="D9020" t="str">
        <f>"9780071426008"</f>
        <v>9780071426008</v>
      </c>
      <c r="E9020" t="s">
        <v>2947</v>
      </c>
      <c r="F9020" t="s">
        <v>9450</v>
      </c>
      <c r="G9020" s="1">
        <v>37681</v>
      </c>
      <c r="H9020" s="1">
        <v>1</v>
      </c>
      <c r="I9020" t="s">
        <v>12</v>
      </c>
      <c r="J9020" t="s">
        <v>19790</v>
      </c>
    </row>
    <row r="9021" spans="1:10" x14ac:dyDescent="0.25">
      <c r="A9021">
        <v>4656080</v>
      </c>
      <c r="B9021" t="s">
        <v>9557</v>
      </c>
      <c r="C9021" t="str">
        <f>"9780071410151"</f>
        <v>9780071410151</v>
      </c>
      <c r="D9021" t="str">
        <f>"9780071415965"</f>
        <v>9780071415965</v>
      </c>
      <c r="E9021" t="s">
        <v>9460</v>
      </c>
      <c r="F9021" t="s">
        <v>9460</v>
      </c>
      <c r="G9021" s="1">
        <v>37681</v>
      </c>
      <c r="H9021" s="1">
        <v>1</v>
      </c>
      <c r="I9021" t="s">
        <v>12</v>
      </c>
      <c r="J9021" t="s">
        <v>19791</v>
      </c>
    </row>
    <row r="9022" spans="1:10" x14ac:dyDescent="0.25">
      <c r="A9022">
        <v>4656101</v>
      </c>
      <c r="B9022" t="s">
        <v>9558</v>
      </c>
      <c r="C9022" t="str">
        <f>"9780071414906"</f>
        <v>9780071414906</v>
      </c>
      <c r="D9022" t="str">
        <f>"9780071436144"</f>
        <v>9780071436144</v>
      </c>
      <c r="E9022" t="s">
        <v>2947</v>
      </c>
      <c r="F9022" t="s">
        <v>9455</v>
      </c>
      <c r="G9022" s="1">
        <v>37886</v>
      </c>
      <c r="H9022" s="1">
        <v>1</v>
      </c>
      <c r="I9022" t="s">
        <v>12</v>
      </c>
      <c r="J9022" t="s">
        <v>19792</v>
      </c>
    </row>
    <row r="9023" spans="1:10" x14ac:dyDescent="0.25">
      <c r="A9023">
        <v>4656104</v>
      </c>
      <c r="B9023" t="s">
        <v>9559</v>
      </c>
      <c r="C9023" t="str">
        <f>"9780071407120"</f>
        <v>9780071407120</v>
      </c>
      <c r="D9023" t="str">
        <f>"9780071416085"</f>
        <v>9780071416085</v>
      </c>
      <c r="E9023" t="s">
        <v>2947</v>
      </c>
      <c r="F9023" t="s">
        <v>9450</v>
      </c>
      <c r="G9023" s="1">
        <v>37442</v>
      </c>
      <c r="H9023" s="1">
        <v>1</v>
      </c>
      <c r="I9023" t="s">
        <v>12</v>
      </c>
      <c r="J9023" t="s">
        <v>19793</v>
      </c>
    </row>
    <row r="9024" spans="1:10" x14ac:dyDescent="0.25">
      <c r="A9024">
        <v>4656114</v>
      </c>
      <c r="B9024" t="s">
        <v>9560</v>
      </c>
      <c r="C9024" t="str">
        <f>"9780071410649"</f>
        <v>9780071410649</v>
      </c>
      <c r="D9024" t="str">
        <f>"9780071435932"</f>
        <v>9780071435932</v>
      </c>
      <c r="E9024" t="s">
        <v>2947</v>
      </c>
      <c r="F9024" t="s">
        <v>9450</v>
      </c>
      <c r="G9024" s="1">
        <v>37916</v>
      </c>
      <c r="H9024" s="1">
        <v>1</v>
      </c>
      <c r="I9024" t="s">
        <v>12</v>
      </c>
      <c r="J9024" t="s">
        <v>19794</v>
      </c>
    </row>
    <row r="9025" spans="1:10" x14ac:dyDescent="0.25">
      <c r="A9025">
        <v>4656123</v>
      </c>
      <c r="B9025" t="s">
        <v>9561</v>
      </c>
      <c r="C9025" t="str">
        <f>"9780071373692"</f>
        <v>9780071373692</v>
      </c>
      <c r="D9025" t="str">
        <f>"9780071416115"</f>
        <v>9780071416115</v>
      </c>
      <c r="E9025" t="s">
        <v>9460</v>
      </c>
      <c r="F9025" t="s">
        <v>9507</v>
      </c>
      <c r="G9025" s="1">
        <v>37144</v>
      </c>
      <c r="H9025" s="1">
        <v>1</v>
      </c>
      <c r="I9025" t="s">
        <v>12</v>
      </c>
      <c r="J9025" t="s">
        <v>19795</v>
      </c>
    </row>
    <row r="9026" spans="1:10" x14ac:dyDescent="0.25">
      <c r="A9026">
        <v>4656132</v>
      </c>
      <c r="B9026" t="s">
        <v>9562</v>
      </c>
      <c r="C9026" t="str">
        <f>"9780071416627"</f>
        <v>9780071416627</v>
      </c>
      <c r="D9026" t="str">
        <f>"9780071436212"</f>
        <v>9780071436212</v>
      </c>
      <c r="E9026" t="s">
        <v>2947</v>
      </c>
      <c r="F9026" t="s">
        <v>9455</v>
      </c>
      <c r="G9026" s="1">
        <v>37855</v>
      </c>
      <c r="H9026" s="1">
        <v>1</v>
      </c>
      <c r="I9026" t="s">
        <v>12</v>
      </c>
      <c r="J9026" t="s">
        <v>19796</v>
      </c>
    </row>
    <row r="9027" spans="1:10" x14ac:dyDescent="0.25">
      <c r="A9027">
        <v>4656143</v>
      </c>
      <c r="B9027" t="s">
        <v>9563</v>
      </c>
      <c r="C9027" t="str">
        <f>"9780071412896"</f>
        <v>9780071412896</v>
      </c>
      <c r="D9027" t="str">
        <f>"9780071436052"</f>
        <v>9780071436052</v>
      </c>
      <c r="E9027" t="s">
        <v>9460</v>
      </c>
      <c r="F9027" t="s">
        <v>9460</v>
      </c>
      <c r="G9027" s="1">
        <v>37886</v>
      </c>
      <c r="H9027" s="1">
        <v>1</v>
      </c>
      <c r="I9027" t="s">
        <v>12</v>
      </c>
      <c r="J9027" t="s">
        <v>19797</v>
      </c>
    </row>
    <row r="9028" spans="1:10" x14ac:dyDescent="0.25">
      <c r="A9028">
        <v>4656166</v>
      </c>
      <c r="B9028" t="s">
        <v>9564</v>
      </c>
      <c r="C9028" t="str">
        <f>"9780071468572"</f>
        <v>9780071468572</v>
      </c>
      <c r="D9028" t="str">
        <f>"9780071491334"</f>
        <v>9780071491334</v>
      </c>
      <c r="E9028" t="s">
        <v>2947</v>
      </c>
      <c r="F9028" t="s">
        <v>9507</v>
      </c>
      <c r="G9028" s="1">
        <v>40392</v>
      </c>
      <c r="H9028" s="1">
        <v>1</v>
      </c>
      <c r="I9028" t="s">
        <v>12</v>
      </c>
      <c r="J9028" t="s">
        <v>19798</v>
      </c>
    </row>
    <row r="9029" spans="1:10" x14ac:dyDescent="0.25">
      <c r="A9029">
        <v>4656171</v>
      </c>
      <c r="B9029" t="s">
        <v>9565</v>
      </c>
      <c r="C9029" t="str">
        <f>"9780071471879"</f>
        <v>9780071471879</v>
      </c>
      <c r="D9029" t="str">
        <f>"9780071491808"</f>
        <v>9780071491808</v>
      </c>
      <c r="E9029" t="s">
        <v>2947</v>
      </c>
      <c r="F9029" t="s">
        <v>2947</v>
      </c>
      <c r="G9029" s="1">
        <v>40332</v>
      </c>
      <c r="H9029" s="1">
        <v>1</v>
      </c>
      <c r="I9029" t="s">
        <v>12</v>
      </c>
      <c r="J9029" t="s">
        <v>19799</v>
      </c>
    </row>
    <row r="9030" spans="1:10" x14ac:dyDescent="0.25">
      <c r="A9030">
        <v>4656182</v>
      </c>
      <c r="B9030" t="s">
        <v>9566</v>
      </c>
      <c r="C9030" t="str">
        <f>"9780071458856"</f>
        <v>9780071458856</v>
      </c>
      <c r="D9030" t="str">
        <f>"9780071491525"</f>
        <v>9780071491525</v>
      </c>
      <c r="E9030" t="s">
        <v>2947</v>
      </c>
      <c r="F9030" t="s">
        <v>9450</v>
      </c>
      <c r="G9030" s="1">
        <v>38722</v>
      </c>
      <c r="H9030" s="1">
        <v>1</v>
      </c>
      <c r="I9030" t="s">
        <v>12</v>
      </c>
      <c r="J9030" t="s">
        <v>19800</v>
      </c>
    </row>
    <row r="9031" spans="1:10" x14ac:dyDescent="0.25">
      <c r="A9031">
        <v>4656194</v>
      </c>
      <c r="B9031" t="s">
        <v>9567</v>
      </c>
      <c r="C9031" t="str">
        <f>"9780071459358"</f>
        <v>9780071459358</v>
      </c>
      <c r="D9031" t="str">
        <f>"9780071491099"</f>
        <v>9780071491099</v>
      </c>
      <c r="E9031" t="s">
        <v>2947</v>
      </c>
      <c r="F9031" t="s">
        <v>2947</v>
      </c>
      <c r="G9031" s="1">
        <v>40359</v>
      </c>
      <c r="H9031" s="1">
        <v>1</v>
      </c>
      <c r="I9031" t="s">
        <v>12</v>
      </c>
      <c r="J9031" t="s">
        <v>19801</v>
      </c>
    </row>
    <row r="9032" spans="1:10" x14ac:dyDescent="0.25">
      <c r="A9032">
        <v>4656204</v>
      </c>
      <c r="B9032" t="s">
        <v>9568</v>
      </c>
      <c r="C9032" t="str">
        <f>"9780071460453"</f>
        <v>9780071460453</v>
      </c>
      <c r="D9032" t="str">
        <f>"9780071491556"</f>
        <v>9780071491556</v>
      </c>
      <c r="E9032" t="s">
        <v>2947</v>
      </c>
      <c r="F9032" t="s">
        <v>2947</v>
      </c>
      <c r="G9032" s="1">
        <v>38838</v>
      </c>
      <c r="H9032" s="1">
        <v>1</v>
      </c>
      <c r="I9032" t="s">
        <v>12</v>
      </c>
      <c r="J9032" t="s">
        <v>19802</v>
      </c>
    </row>
    <row r="9033" spans="1:10" x14ac:dyDescent="0.25">
      <c r="A9033">
        <v>4656206</v>
      </c>
      <c r="B9033" t="s">
        <v>9569</v>
      </c>
      <c r="C9033" t="str">
        <f>"9780071466851"</f>
        <v>9780071466851</v>
      </c>
      <c r="D9033" t="str">
        <f>"9780071491594"</f>
        <v>9780071491594</v>
      </c>
      <c r="E9033" t="s">
        <v>2947</v>
      </c>
      <c r="F9033" t="s">
        <v>9450</v>
      </c>
      <c r="G9033" s="1">
        <v>40344</v>
      </c>
      <c r="H9033" s="1">
        <v>1</v>
      </c>
      <c r="I9033" t="s">
        <v>12</v>
      </c>
      <c r="J9033" t="s">
        <v>19803</v>
      </c>
    </row>
    <row r="9034" spans="1:10" x14ac:dyDescent="0.25">
      <c r="A9034">
        <v>4656219</v>
      </c>
      <c r="B9034" t="s">
        <v>9570</v>
      </c>
      <c r="C9034" t="str">
        <f>"9780072262773"</f>
        <v>9780072262773</v>
      </c>
      <c r="D9034" t="str">
        <f>"9780071484688"</f>
        <v>9780071484688</v>
      </c>
      <c r="E9034" t="s">
        <v>2947</v>
      </c>
      <c r="F9034" t="s">
        <v>2947</v>
      </c>
      <c r="G9034" s="1">
        <v>38765</v>
      </c>
      <c r="H9034" s="1">
        <v>1</v>
      </c>
      <c r="I9034" t="s">
        <v>12</v>
      </c>
      <c r="J9034" t="s">
        <v>19804</v>
      </c>
    </row>
    <row r="9035" spans="1:10" x14ac:dyDescent="0.25">
      <c r="A9035">
        <v>4656221</v>
      </c>
      <c r="B9035" t="s">
        <v>9571</v>
      </c>
      <c r="C9035" t="str">
        <f>"9780071459105"</f>
        <v>9780071459105</v>
      </c>
      <c r="D9035" t="str">
        <f>"9780071486781"</f>
        <v>9780071486781</v>
      </c>
      <c r="E9035" t="s">
        <v>2947</v>
      </c>
      <c r="F9035" t="s">
        <v>9450</v>
      </c>
      <c r="G9035" s="1">
        <v>38722</v>
      </c>
      <c r="H9035" s="1">
        <v>1</v>
      </c>
      <c r="I9035" t="s">
        <v>12</v>
      </c>
      <c r="J9035" t="s">
        <v>19805</v>
      </c>
    </row>
    <row r="9036" spans="1:10" x14ac:dyDescent="0.25">
      <c r="A9036">
        <v>4656227</v>
      </c>
      <c r="B9036" t="s">
        <v>9572</v>
      </c>
      <c r="C9036" t="str">
        <f>"9780071470452"</f>
        <v>9780071470452</v>
      </c>
      <c r="D9036" t="str">
        <f>"9780071491426"</f>
        <v>9780071491426</v>
      </c>
      <c r="E9036" t="s">
        <v>2947</v>
      </c>
      <c r="F9036" t="s">
        <v>2947</v>
      </c>
      <c r="G9036" s="1">
        <v>40400</v>
      </c>
      <c r="H9036" s="1">
        <v>1</v>
      </c>
      <c r="I9036" t="s">
        <v>12</v>
      </c>
      <c r="J9036" t="s">
        <v>19806</v>
      </c>
    </row>
    <row r="9037" spans="1:10" x14ac:dyDescent="0.25">
      <c r="A9037">
        <v>4656244</v>
      </c>
      <c r="B9037" t="s">
        <v>9573</v>
      </c>
      <c r="C9037" t="str">
        <f>"9780071448093"</f>
        <v>9780071448093</v>
      </c>
      <c r="D9037" t="str">
        <f>"9780071501514"</f>
        <v>9780071501514</v>
      </c>
      <c r="E9037" t="s">
        <v>2947</v>
      </c>
      <c r="F9037" t="s">
        <v>2947</v>
      </c>
      <c r="G9037" s="1">
        <v>38600</v>
      </c>
      <c r="H9037" s="1">
        <v>1</v>
      </c>
      <c r="I9037" t="s">
        <v>12</v>
      </c>
      <c r="J9037" t="s">
        <v>19807</v>
      </c>
    </row>
    <row r="9038" spans="1:10" x14ac:dyDescent="0.25">
      <c r="A9038">
        <v>4656250</v>
      </c>
      <c r="B9038" t="s">
        <v>9574</v>
      </c>
      <c r="C9038" t="str">
        <f>"9780071465007"</f>
        <v>9780071465007</v>
      </c>
      <c r="D9038" t="str">
        <f>"9780071502214"</f>
        <v>9780071502214</v>
      </c>
      <c r="E9038" t="s">
        <v>2947</v>
      </c>
      <c r="F9038" t="s">
        <v>2947</v>
      </c>
      <c r="G9038" s="1">
        <v>38858</v>
      </c>
      <c r="H9038" s="1">
        <v>1</v>
      </c>
      <c r="I9038" t="s">
        <v>12</v>
      </c>
      <c r="J9038" t="s">
        <v>19808</v>
      </c>
    </row>
    <row r="9039" spans="1:10" x14ac:dyDescent="0.25">
      <c r="A9039">
        <v>4656253</v>
      </c>
      <c r="B9039" t="s">
        <v>9575</v>
      </c>
      <c r="C9039" t="str">
        <f>"9780072262780"</f>
        <v>9780072262780</v>
      </c>
      <c r="D9039" t="str">
        <f>"9780071502351"</f>
        <v>9780071502351</v>
      </c>
      <c r="E9039" t="s">
        <v>2947</v>
      </c>
      <c r="F9039" t="s">
        <v>2947</v>
      </c>
      <c r="G9039" s="1">
        <v>38762</v>
      </c>
      <c r="H9039" s="1">
        <v>1</v>
      </c>
      <c r="I9039" t="s">
        <v>12</v>
      </c>
      <c r="J9039" t="s">
        <v>19809</v>
      </c>
    </row>
    <row r="9040" spans="1:10" x14ac:dyDescent="0.25">
      <c r="A9040">
        <v>4656254</v>
      </c>
      <c r="B9040" t="s">
        <v>9576</v>
      </c>
      <c r="C9040" t="str">
        <f>"9780071464574"</f>
        <v>9780071464574</v>
      </c>
      <c r="D9040" t="str">
        <f>"9780071502184"</f>
        <v>9780071502184</v>
      </c>
      <c r="E9040" t="s">
        <v>2947</v>
      </c>
      <c r="F9040" t="s">
        <v>2947</v>
      </c>
      <c r="G9040" s="1">
        <v>38726</v>
      </c>
      <c r="H9040" s="1">
        <v>1</v>
      </c>
      <c r="I9040" t="s">
        <v>12</v>
      </c>
      <c r="J9040" t="s">
        <v>19810</v>
      </c>
    </row>
    <row r="9041" spans="1:10" x14ac:dyDescent="0.25">
      <c r="A9041">
        <v>4656258</v>
      </c>
      <c r="B9041" t="s">
        <v>9577</v>
      </c>
      <c r="C9041" t="str">
        <f>"9780071369978"</f>
        <v>9780071369978</v>
      </c>
      <c r="D9041" t="str">
        <f>"9780071501859"</f>
        <v>9780071501859</v>
      </c>
      <c r="E9041" t="s">
        <v>2947</v>
      </c>
      <c r="F9041" t="s">
        <v>2947</v>
      </c>
      <c r="G9041" s="1">
        <v>36965</v>
      </c>
      <c r="H9041" s="1">
        <v>1</v>
      </c>
      <c r="I9041" t="s">
        <v>12</v>
      </c>
      <c r="J9041" t="s">
        <v>19811</v>
      </c>
    </row>
    <row r="9042" spans="1:10" x14ac:dyDescent="0.25">
      <c r="A9042">
        <v>4656259</v>
      </c>
      <c r="B9042" t="s">
        <v>9578</v>
      </c>
      <c r="C9042" t="str">
        <f>"9780071408387"</f>
        <v>9780071408387</v>
      </c>
      <c r="D9042" t="str">
        <f>"9780071501941"</f>
        <v>9780071501941</v>
      </c>
      <c r="E9042" t="s">
        <v>2947</v>
      </c>
      <c r="F9042" t="s">
        <v>2947</v>
      </c>
      <c r="G9042" s="1">
        <v>37561</v>
      </c>
      <c r="H9042" s="1">
        <v>1</v>
      </c>
      <c r="I9042" t="s">
        <v>12</v>
      </c>
      <c r="J9042" t="s">
        <v>19812</v>
      </c>
    </row>
    <row r="9043" spans="1:10" x14ac:dyDescent="0.25">
      <c r="A9043">
        <v>4656269</v>
      </c>
      <c r="B9043" t="s">
        <v>9579</v>
      </c>
      <c r="C9043" t="str">
        <f>"9780071448932"</f>
        <v>9780071448932</v>
      </c>
      <c r="D9043" t="str">
        <f>"9780071448932"</f>
        <v>9780071448932</v>
      </c>
      <c r="E9043" t="s">
        <v>2947</v>
      </c>
      <c r="F9043" t="s">
        <v>9450</v>
      </c>
      <c r="G9043" s="1">
        <v>38657</v>
      </c>
      <c r="H9043" s="1">
        <v>1</v>
      </c>
      <c r="I9043" t="s">
        <v>12</v>
      </c>
      <c r="J9043" t="s">
        <v>19813</v>
      </c>
    </row>
    <row r="9044" spans="1:10" x14ac:dyDescent="0.25">
      <c r="A9044">
        <v>4656271</v>
      </c>
      <c r="B9044" t="s">
        <v>9580</v>
      </c>
      <c r="C9044" t="str">
        <f>"9780071487788"</f>
        <v>9780071487788</v>
      </c>
      <c r="D9044" t="str">
        <f>"9780071508100"</f>
        <v>9780071508100</v>
      </c>
      <c r="E9044" t="s">
        <v>2947</v>
      </c>
      <c r="F9044" t="s">
        <v>9507</v>
      </c>
      <c r="G9044" s="1">
        <v>39142</v>
      </c>
      <c r="H9044" s="1">
        <v>1</v>
      </c>
      <c r="I9044" t="s">
        <v>12</v>
      </c>
      <c r="J9044" t="s">
        <v>19814</v>
      </c>
    </row>
    <row r="9045" spans="1:10" x14ac:dyDescent="0.25">
      <c r="A9045">
        <v>4656272</v>
      </c>
      <c r="B9045" t="s">
        <v>9581</v>
      </c>
      <c r="C9045" t="str">
        <f>"9780071433853"</f>
        <v>9780071433853</v>
      </c>
      <c r="D9045" t="str">
        <f>"9780071502023"</f>
        <v>9780071502023</v>
      </c>
      <c r="E9045" t="s">
        <v>2947</v>
      </c>
      <c r="F9045" t="s">
        <v>9507</v>
      </c>
      <c r="G9045" s="1">
        <v>38140</v>
      </c>
      <c r="H9045" s="1">
        <v>1</v>
      </c>
      <c r="I9045" t="s">
        <v>12</v>
      </c>
      <c r="J9045" t="s">
        <v>19815</v>
      </c>
    </row>
    <row r="9046" spans="1:10" x14ac:dyDescent="0.25">
      <c r="A9046">
        <v>4656273</v>
      </c>
      <c r="B9046" t="s">
        <v>9582</v>
      </c>
      <c r="C9046" t="str">
        <f>"9780071471671"</f>
        <v>9780071471671</v>
      </c>
      <c r="D9046" t="str">
        <f>"9780071508438"</f>
        <v>9780071508438</v>
      </c>
      <c r="E9046" t="s">
        <v>2947</v>
      </c>
      <c r="F9046" t="s">
        <v>9507</v>
      </c>
      <c r="G9046" s="1">
        <v>39031</v>
      </c>
      <c r="H9046" s="1">
        <v>1</v>
      </c>
      <c r="I9046" t="s">
        <v>12</v>
      </c>
      <c r="J9046" t="s">
        <v>19816</v>
      </c>
    </row>
    <row r="9047" spans="1:10" x14ac:dyDescent="0.25">
      <c r="A9047">
        <v>4656274</v>
      </c>
      <c r="B9047" t="s">
        <v>9583</v>
      </c>
      <c r="C9047" t="str">
        <f>"9780071461948"</f>
        <v>9780071461948</v>
      </c>
      <c r="D9047" t="str">
        <f>""</f>
        <v/>
      </c>
      <c r="E9047" t="s">
        <v>2947</v>
      </c>
      <c r="F9047" t="s">
        <v>9450</v>
      </c>
      <c r="G9047" s="1">
        <v>38718</v>
      </c>
      <c r="H9047" s="1">
        <v>1</v>
      </c>
      <c r="I9047" t="s">
        <v>12</v>
      </c>
      <c r="J9047" t="s">
        <v>19817</v>
      </c>
    </row>
    <row r="9048" spans="1:10" x14ac:dyDescent="0.25">
      <c r="A9048">
        <v>4656276</v>
      </c>
      <c r="B9048" t="s">
        <v>9584</v>
      </c>
      <c r="C9048" t="str">
        <f>"9780071468749"</f>
        <v>9780071468749</v>
      </c>
      <c r="D9048" t="str">
        <f>""</f>
        <v/>
      </c>
      <c r="E9048" t="s">
        <v>2947</v>
      </c>
      <c r="F9048" t="s">
        <v>9450</v>
      </c>
      <c r="G9048" s="1">
        <v>38749</v>
      </c>
      <c r="H9048" s="1">
        <v>1</v>
      </c>
      <c r="I9048" t="s">
        <v>12</v>
      </c>
      <c r="J9048" t="s">
        <v>19818</v>
      </c>
    </row>
    <row r="9049" spans="1:10" x14ac:dyDescent="0.25">
      <c r="A9049">
        <v>4656278</v>
      </c>
      <c r="B9049" t="s">
        <v>9585</v>
      </c>
      <c r="C9049" t="str">
        <f>"9780071476843"</f>
        <v>9780071476843</v>
      </c>
      <c r="D9049" t="str">
        <f>"9780071476843"</f>
        <v>9780071476843</v>
      </c>
      <c r="E9049" t="s">
        <v>2947</v>
      </c>
      <c r="F9049" t="s">
        <v>9507</v>
      </c>
      <c r="G9049" s="1">
        <v>36526</v>
      </c>
      <c r="H9049" s="1">
        <v>1</v>
      </c>
      <c r="I9049" t="s">
        <v>12</v>
      </c>
      <c r="J9049" t="s">
        <v>19819</v>
      </c>
    </row>
    <row r="9050" spans="1:10" x14ac:dyDescent="0.25">
      <c r="A9050">
        <v>4656281</v>
      </c>
      <c r="B9050" t="s">
        <v>9586</v>
      </c>
      <c r="C9050" t="str">
        <f>"9780071444040"</f>
        <v>9780071444040</v>
      </c>
      <c r="D9050" t="str">
        <f>"9780071502085"</f>
        <v>9780071502085</v>
      </c>
      <c r="E9050" t="s">
        <v>2947</v>
      </c>
      <c r="F9050" t="s">
        <v>9507</v>
      </c>
      <c r="G9050" s="1">
        <v>38047</v>
      </c>
      <c r="H9050" s="1">
        <v>1</v>
      </c>
      <c r="I9050" t="s">
        <v>12</v>
      </c>
      <c r="J9050" t="s">
        <v>19820</v>
      </c>
    </row>
    <row r="9051" spans="1:10" x14ac:dyDescent="0.25">
      <c r="A9051">
        <v>4656293</v>
      </c>
      <c r="B9051" t="s">
        <v>9587</v>
      </c>
      <c r="C9051" t="str">
        <f>"9780071440998"</f>
        <v>9780071440998</v>
      </c>
      <c r="D9051" t="str">
        <f>""</f>
        <v/>
      </c>
      <c r="E9051" t="s">
        <v>2947</v>
      </c>
      <c r="F9051" t="s">
        <v>9450</v>
      </c>
      <c r="G9051" s="1">
        <v>38443</v>
      </c>
      <c r="H9051" s="1">
        <v>1</v>
      </c>
      <c r="I9051" t="s">
        <v>12</v>
      </c>
      <c r="J9051" t="s">
        <v>19821</v>
      </c>
    </row>
    <row r="9052" spans="1:10" x14ac:dyDescent="0.25">
      <c r="A9052">
        <v>4656297</v>
      </c>
      <c r="B9052" t="s">
        <v>9588</v>
      </c>
      <c r="C9052" t="str">
        <f>"9780071478953"</f>
        <v>9780071478953</v>
      </c>
      <c r="D9052" t="str">
        <f>"9780071478953"</f>
        <v>9780071478953</v>
      </c>
      <c r="E9052" t="s">
        <v>2947</v>
      </c>
      <c r="F9052" t="s">
        <v>9507</v>
      </c>
      <c r="G9052" s="1">
        <v>39029</v>
      </c>
      <c r="H9052" s="1">
        <v>1</v>
      </c>
      <c r="I9052" t="s">
        <v>12</v>
      </c>
      <c r="J9052" t="s">
        <v>19822</v>
      </c>
    </row>
    <row r="9053" spans="1:10" x14ac:dyDescent="0.25">
      <c r="A9053">
        <v>4656320</v>
      </c>
      <c r="B9053" t="s">
        <v>9589</v>
      </c>
      <c r="C9053" t="str">
        <f>"9780071377843"</f>
        <v>9780071377843</v>
      </c>
      <c r="D9053" t="str">
        <f>"9780071500777"</f>
        <v>9780071500777</v>
      </c>
      <c r="E9053" t="s">
        <v>2947</v>
      </c>
      <c r="F9053" t="s">
        <v>9507</v>
      </c>
      <c r="G9053" s="1">
        <v>37408</v>
      </c>
      <c r="H9053" s="1">
        <v>1</v>
      </c>
      <c r="I9053" t="s">
        <v>12</v>
      </c>
      <c r="J9053" t="s">
        <v>19823</v>
      </c>
    </row>
    <row r="9054" spans="1:10" x14ac:dyDescent="0.25">
      <c r="A9054">
        <v>4656331</v>
      </c>
      <c r="B9054" t="s">
        <v>9590</v>
      </c>
      <c r="C9054" t="str">
        <f>"9780071445559"</f>
        <v>9780071445559</v>
      </c>
      <c r="D9054" t="str">
        <f>"9780071501460"</f>
        <v>9780071501460</v>
      </c>
      <c r="E9054" t="s">
        <v>2947</v>
      </c>
      <c r="F9054" t="s">
        <v>2947</v>
      </c>
      <c r="G9054" s="1">
        <v>38524</v>
      </c>
      <c r="H9054" s="1">
        <v>1</v>
      </c>
      <c r="I9054" t="s">
        <v>12</v>
      </c>
      <c r="J9054" t="s">
        <v>19824</v>
      </c>
    </row>
    <row r="9055" spans="1:10" x14ac:dyDescent="0.25">
      <c r="A9055">
        <v>4656339</v>
      </c>
      <c r="B9055" t="s">
        <v>9591</v>
      </c>
      <c r="C9055" t="str">
        <f>"9780071457668"</f>
        <v>9780071457668</v>
      </c>
      <c r="D9055" t="str">
        <f>"9780071501552"</f>
        <v>9780071501552</v>
      </c>
      <c r="E9055" t="s">
        <v>2947</v>
      </c>
      <c r="F9055" t="s">
        <v>9507</v>
      </c>
      <c r="G9055" s="1">
        <v>38721</v>
      </c>
      <c r="H9055" s="1">
        <v>1</v>
      </c>
      <c r="I9055" t="s">
        <v>12</v>
      </c>
      <c r="J9055" t="s">
        <v>19825</v>
      </c>
    </row>
    <row r="9056" spans="1:10" x14ac:dyDescent="0.25">
      <c r="A9056">
        <v>4656490</v>
      </c>
      <c r="B9056" t="s">
        <v>9592</v>
      </c>
      <c r="C9056" t="str">
        <f>"9780071403023"</f>
        <v>9780071403023</v>
      </c>
      <c r="D9056" t="str">
        <f>"9780071510349"</f>
        <v>9780071510349</v>
      </c>
      <c r="E9056" t="s">
        <v>2947</v>
      </c>
      <c r="F9056" t="s">
        <v>9507</v>
      </c>
      <c r="G9056" s="1">
        <v>39206</v>
      </c>
      <c r="H9056" s="1">
        <v>1</v>
      </c>
      <c r="I9056" t="s">
        <v>12</v>
      </c>
      <c r="J9056" t="s">
        <v>19826</v>
      </c>
    </row>
    <row r="9057" spans="1:10" x14ac:dyDescent="0.25">
      <c r="A9057">
        <v>4656713</v>
      </c>
      <c r="B9057" t="s">
        <v>9593</v>
      </c>
      <c r="C9057" t="str">
        <f>"9780071496018"</f>
        <v>9780071496018</v>
      </c>
      <c r="D9057" t="str">
        <f>"9780071595599"</f>
        <v>9780071595599</v>
      </c>
      <c r="E9057" t="s">
        <v>2947</v>
      </c>
      <c r="F9057" t="s">
        <v>9507</v>
      </c>
      <c r="G9057" s="1">
        <v>39405</v>
      </c>
      <c r="H9057" s="1">
        <v>1</v>
      </c>
      <c r="I9057" t="s">
        <v>12</v>
      </c>
      <c r="J9057" t="s">
        <v>19827</v>
      </c>
    </row>
    <row r="9058" spans="1:10" x14ac:dyDescent="0.25">
      <c r="A9058">
        <v>4657046</v>
      </c>
      <c r="B9058" t="s">
        <v>9594</v>
      </c>
      <c r="C9058" t="str">
        <f>"9780071482370"</f>
        <v>9780071482370</v>
      </c>
      <c r="D9058" t="str">
        <f>"9780071594240"</f>
        <v>9780071594240</v>
      </c>
      <c r="E9058" t="s">
        <v>2947</v>
      </c>
      <c r="F9058" t="s">
        <v>9507</v>
      </c>
      <c r="G9058" s="1">
        <v>39316</v>
      </c>
      <c r="H9058" s="1">
        <v>1</v>
      </c>
      <c r="I9058" t="s">
        <v>12</v>
      </c>
      <c r="J9058" t="s">
        <v>19828</v>
      </c>
    </row>
    <row r="9059" spans="1:10" x14ac:dyDescent="0.25">
      <c r="A9059">
        <v>4659183</v>
      </c>
      <c r="B9059" t="s">
        <v>9595</v>
      </c>
      <c r="C9059" t="str">
        <f>"9781462527854"</f>
        <v>9781462527854</v>
      </c>
      <c r="D9059" t="str">
        <f>"9781462527892"</f>
        <v>9781462527892</v>
      </c>
      <c r="E9059" t="s">
        <v>3740</v>
      </c>
      <c r="F9059" t="s">
        <v>3741</v>
      </c>
      <c r="G9059" s="1">
        <v>42660</v>
      </c>
      <c r="H9059" s="1">
        <v>42609</v>
      </c>
      <c r="I9059" t="s">
        <v>12</v>
      </c>
      <c r="J9059" t="s">
        <v>19829</v>
      </c>
    </row>
    <row r="9060" spans="1:10" x14ac:dyDescent="0.25">
      <c r="A9060">
        <v>4661977</v>
      </c>
      <c r="B9060" t="s">
        <v>9596</v>
      </c>
      <c r="C9060" t="str">
        <f>"9781573563949"</f>
        <v>9781573563949</v>
      </c>
      <c r="D9060" t="str">
        <f>"9780313077449"</f>
        <v>9780313077449</v>
      </c>
      <c r="E9060" t="s">
        <v>7888</v>
      </c>
      <c r="F9060" t="s">
        <v>7889</v>
      </c>
      <c r="G9060" s="1">
        <v>37408</v>
      </c>
      <c r="H9060" s="1">
        <v>1</v>
      </c>
      <c r="I9060" t="s">
        <v>12</v>
      </c>
      <c r="J9060" t="s">
        <v>19830</v>
      </c>
    </row>
    <row r="9061" spans="1:10" x14ac:dyDescent="0.25">
      <c r="A9061">
        <v>4662348</v>
      </c>
      <c r="B9061" t="s">
        <v>9597</v>
      </c>
      <c r="C9061" t="str">
        <f>"9783899930528"</f>
        <v>9783899930528</v>
      </c>
      <c r="D9061" t="str">
        <f>"9783842683594"</f>
        <v>9783842683594</v>
      </c>
      <c r="E9061" t="s">
        <v>9598</v>
      </c>
      <c r="F9061" t="s">
        <v>9599</v>
      </c>
      <c r="G9061" s="1">
        <v>40878</v>
      </c>
      <c r="H9061" s="1">
        <v>1</v>
      </c>
      <c r="I9061" t="s">
        <v>12</v>
      </c>
      <c r="J9061" t="s">
        <v>19831</v>
      </c>
    </row>
    <row r="9062" spans="1:10" x14ac:dyDescent="0.25">
      <c r="A9062">
        <v>4663876</v>
      </c>
      <c r="B9062" t="s">
        <v>9600</v>
      </c>
      <c r="C9062" t="str">
        <f>"9783899930580"</f>
        <v>9783899930580</v>
      </c>
      <c r="D9062" t="str">
        <f>"9783899930917"</f>
        <v>9783899930917</v>
      </c>
      <c r="E9062" t="s">
        <v>9598</v>
      </c>
      <c r="F9062" t="s">
        <v>9599</v>
      </c>
      <c r="G9062" s="1">
        <v>40158</v>
      </c>
      <c r="H9062" s="1">
        <v>1</v>
      </c>
      <c r="I9062" t="s">
        <v>12</v>
      </c>
      <c r="J9062" t="s">
        <v>19832</v>
      </c>
    </row>
    <row r="9063" spans="1:10" x14ac:dyDescent="0.25">
      <c r="A9063">
        <v>4669087</v>
      </c>
      <c r="B9063" t="s">
        <v>9601</v>
      </c>
      <c r="C9063" t="str">
        <f>"9781845415785"</f>
        <v>9781845415785</v>
      </c>
      <c r="D9063" t="str">
        <f>"9781845415808"</f>
        <v>9781845415808</v>
      </c>
      <c r="E9063" t="s">
        <v>886</v>
      </c>
      <c r="F9063" t="s">
        <v>886</v>
      </c>
      <c r="G9063" s="1">
        <v>42628</v>
      </c>
      <c r="H9063" s="1">
        <v>42616</v>
      </c>
      <c r="I9063" t="s">
        <v>12</v>
      </c>
      <c r="J9063" t="s">
        <v>19833</v>
      </c>
    </row>
    <row r="9064" spans="1:10" x14ac:dyDescent="0.25">
      <c r="A9064">
        <v>4669088</v>
      </c>
      <c r="B9064" t="s">
        <v>9602</v>
      </c>
      <c r="C9064" t="str">
        <f>"9781845415839"</f>
        <v>9781845415839</v>
      </c>
      <c r="D9064" t="str">
        <f>"9781845415853"</f>
        <v>9781845415853</v>
      </c>
      <c r="E9064" t="s">
        <v>886</v>
      </c>
      <c r="F9064" t="s">
        <v>886</v>
      </c>
      <c r="G9064" s="1">
        <v>42628</v>
      </c>
      <c r="H9064" s="1">
        <v>42616</v>
      </c>
      <c r="I9064" t="s">
        <v>12</v>
      </c>
      <c r="J9064" t="s">
        <v>19834</v>
      </c>
    </row>
    <row r="9065" spans="1:10" x14ac:dyDescent="0.25">
      <c r="A9065">
        <v>4669090</v>
      </c>
      <c r="B9065" t="s">
        <v>9603</v>
      </c>
      <c r="C9065" t="str">
        <f>"9781783096336"</f>
        <v>9781783096336</v>
      </c>
      <c r="D9065" t="str">
        <f>"9781783096343"</f>
        <v>9781783096343</v>
      </c>
      <c r="E9065" t="s">
        <v>886</v>
      </c>
      <c r="F9065" t="s">
        <v>887</v>
      </c>
      <c r="G9065" s="1">
        <v>42628</v>
      </c>
      <c r="H9065" s="1">
        <v>42616</v>
      </c>
      <c r="I9065" t="s">
        <v>12</v>
      </c>
      <c r="J9065" t="s">
        <v>19835</v>
      </c>
    </row>
    <row r="9066" spans="1:10" x14ac:dyDescent="0.25">
      <c r="A9066">
        <v>4673118</v>
      </c>
      <c r="B9066" t="s">
        <v>9604</v>
      </c>
      <c r="C9066" t="str">
        <f>"9780826128881"</f>
        <v>9780826128881</v>
      </c>
      <c r="D9066" t="str">
        <f>"9780826128898"</f>
        <v>9780826128898</v>
      </c>
      <c r="E9066" t="s">
        <v>3016</v>
      </c>
      <c r="F9066" t="s">
        <v>3016</v>
      </c>
      <c r="G9066" s="1">
        <v>42612</v>
      </c>
      <c r="H9066" s="1">
        <v>42617</v>
      </c>
      <c r="I9066" t="s">
        <v>12</v>
      </c>
      <c r="J9066" t="s">
        <v>19836</v>
      </c>
    </row>
    <row r="9067" spans="1:10" x14ac:dyDescent="0.25">
      <c r="A9067">
        <v>4676123</v>
      </c>
      <c r="B9067" t="s">
        <v>9605</v>
      </c>
      <c r="C9067" t="str">
        <f>"9781509905881"</f>
        <v>9781509905881</v>
      </c>
      <c r="D9067" t="str">
        <f>"9781509905904"</f>
        <v>9781509905904</v>
      </c>
      <c r="E9067" t="s">
        <v>4180</v>
      </c>
      <c r="F9067" t="s">
        <v>2199</v>
      </c>
      <c r="G9067" s="1">
        <v>42635</v>
      </c>
      <c r="H9067" s="1">
        <v>42622</v>
      </c>
      <c r="I9067" t="s">
        <v>12</v>
      </c>
      <c r="J9067" t="s">
        <v>19837</v>
      </c>
    </row>
    <row r="9068" spans="1:10" x14ac:dyDescent="0.25">
      <c r="A9068">
        <v>4689018</v>
      </c>
      <c r="B9068" t="s">
        <v>9606</v>
      </c>
      <c r="C9068" t="str">
        <f>"9780240808055"</f>
        <v>9780240808055</v>
      </c>
      <c r="D9068" t="str">
        <f>"9781136134227"</f>
        <v>9781136134227</v>
      </c>
      <c r="E9068" t="s">
        <v>144</v>
      </c>
      <c r="F9068" t="s">
        <v>16</v>
      </c>
      <c r="G9068" s="1">
        <v>39001</v>
      </c>
      <c r="H9068" s="1">
        <v>42655</v>
      </c>
      <c r="I9068" t="s">
        <v>12</v>
      </c>
      <c r="J9068" t="s">
        <v>19838</v>
      </c>
    </row>
    <row r="9069" spans="1:10" x14ac:dyDescent="0.25">
      <c r="A9069">
        <v>4689103</v>
      </c>
      <c r="B9069" t="s">
        <v>9607</v>
      </c>
      <c r="C9069" t="str">
        <f>"9780240809601"</f>
        <v>9780240809601</v>
      </c>
      <c r="D9069" t="str">
        <f>"9781136133589"</f>
        <v>9781136133589</v>
      </c>
      <c r="E9069" t="s">
        <v>144</v>
      </c>
      <c r="F9069" t="s">
        <v>16</v>
      </c>
      <c r="G9069" s="1">
        <v>39349</v>
      </c>
      <c r="H9069" s="1">
        <v>42653</v>
      </c>
      <c r="I9069" t="s">
        <v>12</v>
      </c>
      <c r="J9069" t="s">
        <v>19839</v>
      </c>
    </row>
    <row r="9070" spans="1:10" x14ac:dyDescent="0.25">
      <c r="A9070">
        <v>4689189</v>
      </c>
      <c r="B9070" t="s">
        <v>9608</v>
      </c>
      <c r="C9070" t="str">
        <f>"9780240520605"</f>
        <v>9780240520605</v>
      </c>
      <c r="D9070" t="str">
        <f>"9781136140624"</f>
        <v>9781136140624</v>
      </c>
      <c r="E9070" t="s">
        <v>144</v>
      </c>
      <c r="F9070" t="s">
        <v>16</v>
      </c>
      <c r="G9070" s="1">
        <v>39420</v>
      </c>
      <c r="H9070" s="1">
        <v>42670</v>
      </c>
      <c r="I9070" t="s">
        <v>12</v>
      </c>
      <c r="J9070" t="s">
        <v>19840</v>
      </c>
    </row>
    <row r="9071" spans="1:10" x14ac:dyDescent="0.25">
      <c r="A9071">
        <v>4689452</v>
      </c>
      <c r="B9071" t="s">
        <v>9609</v>
      </c>
      <c r="C9071" t="str">
        <f>"9780240519913"</f>
        <v>9780240519913</v>
      </c>
      <c r="D9071" t="str">
        <f>"9781136143731"</f>
        <v>9781136143731</v>
      </c>
      <c r="E9071" t="s">
        <v>144</v>
      </c>
      <c r="F9071" t="s">
        <v>16</v>
      </c>
      <c r="G9071" s="1">
        <v>38765</v>
      </c>
      <c r="H9071" s="1">
        <v>42655</v>
      </c>
      <c r="I9071" t="s">
        <v>12</v>
      </c>
      <c r="J9071" t="s">
        <v>19841</v>
      </c>
    </row>
    <row r="9072" spans="1:10" x14ac:dyDescent="0.25">
      <c r="A9072">
        <v>4694212</v>
      </c>
      <c r="B9072" t="s">
        <v>9610</v>
      </c>
      <c r="C9072" t="str">
        <f>"9781472939784"</f>
        <v>9781472939784</v>
      </c>
      <c r="D9072" t="str">
        <f>"9781472939807"</f>
        <v>9781472939807</v>
      </c>
      <c r="E9072" t="s">
        <v>4180</v>
      </c>
      <c r="F9072" t="s">
        <v>4180</v>
      </c>
      <c r="G9072" s="1">
        <v>42747</v>
      </c>
      <c r="H9072" s="1">
        <v>42635</v>
      </c>
      <c r="I9072" t="s">
        <v>12</v>
      </c>
      <c r="J9072" t="s">
        <v>19842</v>
      </c>
    </row>
    <row r="9073" spans="1:10" x14ac:dyDescent="0.25">
      <c r="A9073">
        <v>4697898</v>
      </c>
      <c r="B9073" t="s">
        <v>9611</v>
      </c>
      <c r="C9073" t="str">
        <f>"9781350025684"</f>
        <v>9781350025684</v>
      </c>
      <c r="D9073" t="str">
        <f>"9781472596031"</f>
        <v>9781472596031</v>
      </c>
      <c r="E9073" t="s">
        <v>4180</v>
      </c>
      <c r="F9073" t="s">
        <v>6461</v>
      </c>
      <c r="G9073" s="1">
        <v>42719</v>
      </c>
      <c r="H9073" s="1">
        <v>42643</v>
      </c>
      <c r="I9073" t="s">
        <v>12</v>
      </c>
      <c r="J9073" t="s">
        <v>19843</v>
      </c>
    </row>
    <row r="9074" spans="1:10" x14ac:dyDescent="0.25">
      <c r="A9074">
        <v>4700133</v>
      </c>
      <c r="B9074" t="s">
        <v>9612</v>
      </c>
      <c r="C9074" t="str">
        <f>"9780199281770"</f>
        <v>9780199281770</v>
      </c>
      <c r="D9074" t="str">
        <f>"9780191535956"</f>
        <v>9780191535956</v>
      </c>
      <c r="E9074" t="s">
        <v>1268</v>
      </c>
      <c r="F9074" t="s">
        <v>1268</v>
      </c>
      <c r="G9074" s="1">
        <v>39058</v>
      </c>
      <c r="H9074" s="1">
        <v>42644</v>
      </c>
      <c r="I9074" t="s">
        <v>12</v>
      </c>
      <c r="J9074" t="s">
        <v>19844</v>
      </c>
    </row>
    <row r="9075" spans="1:10" x14ac:dyDescent="0.25">
      <c r="A9075">
        <v>4700680</v>
      </c>
      <c r="B9075" t="s">
        <v>9613</v>
      </c>
      <c r="C9075" t="str">
        <f>"9780195161717"</f>
        <v>9780195161717</v>
      </c>
      <c r="D9075" t="str">
        <f>"9780198037347"</f>
        <v>9780198037347</v>
      </c>
      <c r="E9075" t="s">
        <v>1270</v>
      </c>
      <c r="F9075" t="s">
        <v>1270</v>
      </c>
      <c r="G9075" s="1">
        <v>37840</v>
      </c>
      <c r="H9075" s="1">
        <v>42644</v>
      </c>
      <c r="I9075" t="s">
        <v>12</v>
      </c>
      <c r="J9075" t="s">
        <v>19845</v>
      </c>
    </row>
    <row r="9076" spans="1:10" x14ac:dyDescent="0.25">
      <c r="A9076">
        <v>4701068</v>
      </c>
      <c r="B9076" t="s">
        <v>9614</v>
      </c>
      <c r="C9076" t="str">
        <f>"9780195105629"</f>
        <v>9780195105629</v>
      </c>
      <c r="D9076" t="str">
        <f>"9780195355611"</f>
        <v>9780195355611</v>
      </c>
      <c r="E9076" t="s">
        <v>1270</v>
      </c>
      <c r="F9076" t="s">
        <v>1270</v>
      </c>
      <c r="G9076" s="1">
        <v>35943</v>
      </c>
      <c r="H9076" s="1">
        <v>42644</v>
      </c>
      <c r="I9076" t="s">
        <v>12</v>
      </c>
      <c r="J9076" t="s">
        <v>19846</v>
      </c>
    </row>
    <row r="9077" spans="1:10" x14ac:dyDescent="0.25">
      <c r="A9077">
        <v>4701159</v>
      </c>
      <c r="B9077" t="s">
        <v>9615</v>
      </c>
      <c r="C9077" t="str">
        <f>""</f>
        <v/>
      </c>
      <c r="D9077" t="str">
        <f>"9780198038214"</f>
        <v>9780198038214</v>
      </c>
      <c r="E9077" t="s">
        <v>1270</v>
      </c>
      <c r="F9077" t="s">
        <v>1270</v>
      </c>
      <c r="G9077" s="1">
        <v>38232</v>
      </c>
      <c r="H9077" s="1">
        <v>42644</v>
      </c>
      <c r="I9077" t="s">
        <v>12</v>
      </c>
      <c r="J9077" t="s">
        <v>19847</v>
      </c>
    </row>
    <row r="9078" spans="1:10" x14ac:dyDescent="0.25">
      <c r="A9078">
        <v>4701224</v>
      </c>
      <c r="B9078" t="s">
        <v>9616</v>
      </c>
      <c r="C9078" t="str">
        <f>""</f>
        <v/>
      </c>
      <c r="D9078" t="str">
        <f>"9780195364675"</f>
        <v>9780195364675</v>
      </c>
      <c r="E9078" t="s">
        <v>1133</v>
      </c>
      <c r="F9078" t="s">
        <v>1133</v>
      </c>
      <c r="G9078" s="1">
        <v>31897</v>
      </c>
      <c r="H9078" s="1">
        <v>42644</v>
      </c>
      <c r="I9078" t="s">
        <v>12</v>
      </c>
      <c r="J9078" t="s">
        <v>19848</v>
      </c>
    </row>
    <row r="9079" spans="1:10" x14ac:dyDescent="0.25">
      <c r="A9079">
        <v>4701387</v>
      </c>
      <c r="B9079" t="s">
        <v>9617</v>
      </c>
      <c r="C9079" t="str">
        <f>""</f>
        <v/>
      </c>
      <c r="D9079" t="str">
        <f>"9780191537004"</f>
        <v>9780191537004</v>
      </c>
      <c r="E9079" t="s">
        <v>1133</v>
      </c>
      <c r="F9079" t="s">
        <v>5309</v>
      </c>
      <c r="G9079" s="1">
        <v>39417</v>
      </c>
      <c r="H9079" s="1">
        <v>1</v>
      </c>
      <c r="I9079" t="s">
        <v>12</v>
      </c>
      <c r="J9079" t="s">
        <v>19849</v>
      </c>
    </row>
    <row r="9080" spans="1:10" x14ac:dyDescent="0.25">
      <c r="A9080">
        <v>4701650</v>
      </c>
      <c r="B9080" t="s">
        <v>9618</v>
      </c>
      <c r="C9080" t="str">
        <f>""</f>
        <v/>
      </c>
      <c r="D9080" t="str">
        <f>"9780195353839"</f>
        <v>9780195353839</v>
      </c>
      <c r="E9080" t="s">
        <v>1133</v>
      </c>
      <c r="F9080" t="s">
        <v>1133</v>
      </c>
      <c r="G9080" s="1">
        <v>35922</v>
      </c>
      <c r="H9080" s="1">
        <v>42644</v>
      </c>
      <c r="I9080" t="s">
        <v>12</v>
      </c>
      <c r="J9080" t="s">
        <v>19850</v>
      </c>
    </row>
    <row r="9081" spans="1:10" x14ac:dyDescent="0.25">
      <c r="A9081">
        <v>4701932</v>
      </c>
      <c r="B9081" t="s">
        <v>9619</v>
      </c>
      <c r="C9081" t="str">
        <f>""</f>
        <v/>
      </c>
      <c r="D9081" t="str">
        <f>"9780195353532"</f>
        <v>9780195353532</v>
      </c>
      <c r="E9081" t="s">
        <v>1270</v>
      </c>
      <c r="F9081" t="s">
        <v>1270</v>
      </c>
      <c r="G9081" s="1">
        <v>38011</v>
      </c>
      <c r="H9081" s="1">
        <v>42644</v>
      </c>
      <c r="I9081" t="s">
        <v>12</v>
      </c>
      <c r="J9081" t="s">
        <v>19851</v>
      </c>
    </row>
    <row r="9082" spans="1:10" x14ac:dyDescent="0.25">
      <c r="A9082">
        <v>4702011</v>
      </c>
      <c r="B9082" t="s">
        <v>9620</v>
      </c>
      <c r="C9082" t="str">
        <f>"9780195071993"</f>
        <v>9780195071993</v>
      </c>
      <c r="D9082" t="str">
        <f>"9780195361117"</f>
        <v>9780195361117</v>
      </c>
      <c r="E9082" t="s">
        <v>1270</v>
      </c>
      <c r="F9082" t="s">
        <v>1270</v>
      </c>
      <c r="G9082" s="1">
        <v>34410</v>
      </c>
      <c r="H9082" s="1">
        <v>42644</v>
      </c>
      <c r="I9082" t="s">
        <v>12</v>
      </c>
      <c r="J9082" t="s">
        <v>19852</v>
      </c>
    </row>
    <row r="9083" spans="1:10" x14ac:dyDescent="0.25">
      <c r="A9083">
        <v>4702046</v>
      </c>
      <c r="B9083" t="s">
        <v>9621</v>
      </c>
      <c r="C9083" t="str">
        <f>""</f>
        <v/>
      </c>
      <c r="D9083" t="str">
        <f>"9780195362855"</f>
        <v>9780195362855</v>
      </c>
      <c r="E9083" t="s">
        <v>1133</v>
      </c>
      <c r="F9083" t="s">
        <v>1133</v>
      </c>
      <c r="G9083" s="1">
        <v>33556</v>
      </c>
      <c r="H9083" s="1">
        <v>42644</v>
      </c>
      <c r="I9083" t="s">
        <v>12</v>
      </c>
      <c r="J9083" t="s">
        <v>19853</v>
      </c>
    </row>
    <row r="9084" spans="1:10" x14ac:dyDescent="0.25">
      <c r="A9084">
        <v>4702100</v>
      </c>
      <c r="B9084" t="s">
        <v>9622</v>
      </c>
      <c r="C9084" t="str">
        <f>""</f>
        <v/>
      </c>
      <c r="D9084" t="str">
        <f>"9780195352573"</f>
        <v>9780195352573</v>
      </c>
      <c r="E9084" t="s">
        <v>1133</v>
      </c>
      <c r="F9084" t="s">
        <v>1133</v>
      </c>
      <c r="G9084" s="1">
        <v>36475</v>
      </c>
      <c r="H9084" s="1">
        <v>42644</v>
      </c>
      <c r="I9084" t="s">
        <v>12</v>
      </c>
      <c r="J9084" t="s">
        <v>19854</v>
      </c>
    </row>
    <row r="9085" spans="1:10" x14ac:dyDescent="0.25">
      <c r="A9085">
        <v>4702161</v>
      </c>
      <c r="B9085" t="s">
        <v>9623</v>
      </c>
      <c r="C9085" t="str">
        <f>"9780195166699"</f>
        <v>9780195166699</v>
      </c>
      <c r="D9085" t="str">
        <f>"9780195347234"</f>
        <v>9780195347234</v>
      </c>
      <c r="E9085" t="s">
        <v>1270</v>
      </c>
      <c r="F9085" t="s">
        <v>1270</v>
      </c>
      <c r="G9085" s="1">
        <v>38386</v>
      </c>
      <c r="H9085" s="1">
        <v>42644</v>
      </c>
      <c r="I9085" t="s">
        <v>12</v>
      </c>
      <c r="J9085" t="s">
        <v>19855</v>
      </c>
    </row>
    <row r="9086" spans="1:10" x14ac:dyDescent="0.25">
      <c r="A9086">
        <v>4702214</v>
      </c>
      <c r="B9086" t="s">
        <v>9624</v>
      </c>
      <c r="C9086" t="str">
        <f>"9780195166187"</f>
        <v>9780195166187</v>
      </c>
      <c r="D9086" t="str">
        <f>"9780195347296"</f>
        <v>9780195347296</v>
      </c>
      <c r="E9086" t="s">
        <v>1270</v>
      </c>
      <c r="F9086" t="s">
        <v>1270</v>
      </c>
      <c r="G9086" s="1">
        <v>38288</v>
      </c>
      <c r="H9086" s="1">
        <v>42644</v>
      </c>
      <c r="I9086" t="s">
        <v>12</v>
      </c>
      <c r="J9086" t="s">
        <v>19856</v>
      </c>
    </row>
    <row r="9087" spans="1:10" x14ac:dyDescent="0.25">
      <c r="A9087">
        <v>4702239</v>
      </c>
      <c r="B9087" t="s">
        <v>9625</v>
      </c>
      <c r="C9087" t="str">
        <f>""</f>
        <v/>
      </c>
      <c r="D9087" t="str">
        <f>"9780191524851"</f>
        <v>9780191524851</v>
      </c>
      <c r="E9087" t="s">
        <v>1133</v>
      </c>
      <c r="F9087" t="s">
        <v>5309</v>
      </c>
      <c r="G9087" s="1">
        <v>38932</v>
      </c>
      <c r="H9087" s="1">
        <v>1</v>
      </c>
      <c r="I9087" t="s">
        <v>12</v>
      </c>
      <c r="J9087" t="s">
        <v>19857</v>
      </c>
    </row>
    <row r="9088" spans="1:10" x14ac:dyDescent="0.25">
      <c r="A9088">
        <v>4702333</v>
      </c>
      <c r="B9088" t="s">
        <v>9626</v>
      </c>
      <c r="C9088" t="str">
        <f>""</f>
        <v/>
      </c>
      <c r="D9088" t="str">
        <f>"9780195347708"</f>
        <v>9780195347708</v>
      </c>
      <c r="E9088" t="s">
        <v>1270</v>
      </c>
      <c r="F9088" t="s">
        <v>1270</v>
      </c>
      <c r="G9088" s="1">
        <v>37861</v>
      </c>
      <c r="H9088" s="1">
        <v>42644</v>
      </c>
      <c r="I9088" t="s">
        <v>12</v>
      </c>
      <c r="J9088" t="s">
        <v>19858</v>
      </c>
    </row>
    <row r="9089" spans="1:10" x14ac:dyDescent="0.25">
      <c r="A9089">
        <v>4702510</v>
      </c>
      <c r="B9089" t="s">
        <v>9627</v>
      </c>
      <c r="C9089" t="str">
        <f>"9780195062199"</f>
        <v>9780195062199</v>
      </c>
      <c r="D9089" t="str">
        <f>"9780195362831"</f>
        <v>9780195362831</v>
      </c>
      <c r="E9089" t="s">
        <v>1270</v>
      </c>
      <c r="F9089" t="s">
        <v>1270</v>
      </c>
      <c r="G9089" s="1">
        <v>33906</v>
      </c>
      <c r="H9089" s="1">
        <v>42644</v>
      </c>
      <c r="I9089" t="s">
        <v>12</v>
      </c>
      <c r="J9089" t="s">
        <v>19859</v>
      </c>
    </row>
    <row r="9090" spans="1:10" x14ac:dyDescent="0.25">
      <c r="A9090">
        <v>4702557</v>
      </c>
      <c r="B9090" t="s">
        <v>9628</v>
      </c>
      <c r="C9090" t="str">
        <f>""</f>
        <v/>
      </c>
      <c r="D9090" t="str">
        <f>"9780195363647"</f>
        <v>9780195363647</v>
      </c>
      <c r="E9090" t="s">
        <v>1270</v>
      </c>
      <c r="F9090" t="s">
        <v>1270</v>
      </c>
      <c r="G9090" s="1">
        <v>34760</v>
      </c>
      <c r="H9090" s="1">
        <v>42644</v>
      </c>
      <c r="I9090" t="s">
        <v>12</v>
      </c>
      <c r="J9090" t="s">
        <v>19860</v>
      </c>
    </row>
    <row r="9091" spans="1:10" x14ac:dyDescent="0.25">
      <c r="A9091">
        <v>4702661</v>
      </c>
      <c r="B9091" t="s">
        <v>9629</v>
      </c>
      <c r="C9091" t="str">
        <f>""</f>
        <v/>
      </c>
      <c r="D9091" t="str">
        <f>"9780195355949"</f>
        <v>9780195355949</v>
      </c>
      <c r="E9091" t="s">
        <v>1270</v>
      </c>
      <c r="F9091" t="s">
        <v>1270</v>
      </c>
      <c r="G9091" s="1">
        <v>35481</v>
      </c>
      <c r="H9091" s="1">
        <v>42644</v>
      </c>
      <c r="I9091" t="s">
        <v>12</v>
      </c>
      <c r="J9091" t="s">
        <v>19861</v>
      </c>
    </row>
    <row r="9092" spans="1:10" x14ac:dyDescent="0.25">
      <c r="A9092">
        <v>4702790</v>
      </c>
      <c r="B9092" t="s">
        <v>9630</v>
      </c>
      <c r="C9092" t="str">
        <f>""</f>
        <v/>
      </c>
      <c r="D9092" t="str">
        <f>"9780195354560"</f>
        <v>9780195354560</v>
      </c>
      <c r="E9092" t="s">
        <v>1133</v>
      </c>
      <c r="F9092" t="s">
        <v>1133</v>
      </c>
      <c r="G9092" s="1">
        <v>36972</v>
      </c>
      <c r="H9092" s="1">
        <v>42644</v>
      </c>
      <c r="I9092" t="s">
        <v>12</v>
      </c>
      <c r="J9092" t="s">
        <v>19862</v>
      </c>
    </row>
    <row r="9093" spans="1:10" x14ac:dyDescent="0.25">
      <c r="A9093">
        <v>4703158</v>
      </c>
      <c r="B9093" t="s">
        <v>9631</v>
      </c>
      <c r="C9093" t="str">
        <f>""</f>
        <v/>
      </c>
      <c r="D9093" t="str">
        <f>"9780195362114"</f>
        <v>9780195362114</v>
      </c>
      <c r="E9093" t="s">
        <v>1270</v>
      </c>
      <c r="F9093" t="s">
        <v>1270</v>
      </c>
      <c r="G9093" s="1">
        <v>34186</v>
      </c>
      <c r="H9093" s="1">
        <v>42644</v>
      </c>
      <c r="I9093" t="s">
        <v>12</v>
      </c>
      <c r="J9093" t="s">
        <v>19863</v>
      </c>
    </row>
    <row r="9094" spans="1:10" x14ac:dyDescent="0.25">
      <c r="A9094">
        <v>4703192</v>
      </c>
      <c r="B9094" t="s">
        <v>9632</v>
      </c>
      <c r="C9094" t="str">
        <f>""</f>
        <v/>
      </c>
      <c r="D9094" t="str">
        <f>"9780195348248"</f>
        <v>9780195348248</v>
      </c>
      <c r="E9094" t="s">
        <v>1270</v>
      </c>
      <c r="F9094" t="s">
        <v>1270</v>
      </c>
      <c r="G9094" s="1">
        <v>37945</v>
      </c>
      <c r="H9094" s="1">
        <v>42644</v>
      </c>
      <c r="I9094" t="s">
        <v>12</v>
      </c>
      <c r="J9094" t="s">
        <v>19864</v>
      </c>
    </row>
    <row r="9095" spans="1:10" x14ac:dyDescent="0.25">
      <c r="A9095">
        <v>4703215</v>
      </c>
      <c r="B9095" t="s">
        <v>9633</v>
      </c>
      <c r="C9095" t="str">
        <f>""</f>
        <v/>
      </c>
      <c r="D9095" t="str">
        <f>"9780195346022"</f>
        <v>9780195346022</v>
      </c>
      <c r="E9095" t="s">
        <v>1270</v>
      </c>
      <c r="F9095" t="s">
        <v>1270</v>
      </c>
      <c r="G9095" s="1">
        <v>38729</v>
      </c>
      <c r="H9095" s="1">
        <v>42644</v>
      </c>
      <c r="I9095" t="s">
        <v>12</v>
      </c>
      <c r="J9095" t="s">
        <v>19865</v>
      </c>
    </row>
    <row r="9096" spans="1:10" x14ac:dyDescent="0.25">
      <c r="A9096">
        <v>4704972</v>
      </c>
      <c r="B9096" t="s">
        <v>9634</v>
      </c>
      <c r="C9096" t="str">
        <f>"9780195168891"</f>
        <v>9780195168891</v>
      </c>
      <c r="D9096" t="str">
        <f>"9780198032700"</f>
        <v>9780198032700</v>
      </c>
      <c r="E9096" t="s">
        <v>1268</v>
      </c>
      <c r="F9096" t="s">
        <v>1268</v>
      </c>
      <c r="G9096" s="1">
        <v>37840</v>
      </c>
      <c r="H9096" s="1">
        <v>42644</v>
      </c>
      <c r="I9096" t="s">
        <v>12</v>
      </c>
      <c r="J9096" t="s">
        <v>19866</v>
      </c>
    </row>
    <row r="9097" spans="1:10" x14ac:dyDescent="0.25">
      <c r="A9097">
        <v>4704981</v>
      </c>
      <c r="B9097" t="s">
        <v>9635</v>
      </c>
      <c r="C9097" t="str">
        <f>"9780195131581"</f>
        <v>9780195131581</v>
      </c>
      <c r="D9097" t="str">
        <f>"9780198030157"</f>
        <v>9780198030157</v>
      </c>
      <c r="E9097" t="s">
        <v>1268</v>
      </c>
      <c r="F9097" t="s">
        <v>1268</v>
      </c>
      <c r="G9097" s="1">
        <v>36426</v>
      </c>
      <c r="H9097" s="1">
        <v>42644</v>
      </c>
      <c r="I9097" t="s">
        <v>12</v>
      </c>
      <c r="J9097" t="s">
        <v>19867</v>
      </c>
    </row>
    <row r="9098" spans="1:10" x14ac:dyDescent="0.25">
      <c r="A9098">
        <v>4705106</v>
      </c>
      <c r="B9098" t="s">
        <v>9636</v>
      </c>
      <c r="C9098" t="str">
        <f>"9780195146325"</f>
        <v>9780195146325</v>
      </c>
      <c r="D9098" t="str">
        <f>"9780198033448"</f>
        <v>9780198033448</v>
      </c>
      <c r="E9098" t="s">
        <v>1268</v>
      </c>
      <c r="F9098" t="s">
        <v>1268</v>
      </c>
      <c r="G9098" s="1">
        <v>37266</v>
      </c>
      <c r="H9098" s="1">
        <v>42644</v>
      </c>
      <c r="I9098" t="s">
        <v>12</v>
      </c>
      <c r="J9098" t="s">
        <v>19868</v>
      </c>
    </row>
    <row r="9099" spans="1:10" x14ac:dyDescent="0.25">
      <c r="A9099">
        <v>4705389</v>
      </c>
      <c r="B9099" t="s">
        <v>9637</v>
      </c>
      <c r="C9099" t="str">
        <f>"9780195159004"</f>
        <v>9780195159004</v>
      </c>
      <c r="D9099" t="str">
        <f>"9780198036067"</f>
        <v>9780198036067</v>
      </c>
      <c r="E9099" t="s">
        <v>1268</v>
      </c>
      <c r="F9099" t="s">
        <v>1268</v>
      </c>
      <c r="G9099" s="1">
        <v>38015</v>
      </c>
      <c r="H9099" s="1">
        <v>42644</v>
      </c>
      <c r="I9099" t="s">
        <v>12</v>
      </c>
      <c r="J9099" t="s">
        <v>19869</v>
      </c>
    </row>
    <row r="9100" spans="1:10" x14ac:dyDescent="0.25">
      <c r="A9100">
        <v>4705662</v>
      </c>
      <c r="B9100" t="s">
        <v>9638</v>
      </c>
      <c r="C9100" t="str">
        <f>"9780195304220"</f>
        <v>9780195304220</v>
      </c>
      <c r="D9100" t="str">
        <f>"9780198035978"</f>
        <v>9780198035978</v>
      </c>
      <c r="E9100" t="s">
        <v>1268</v>
      </c>
      <c r="F9100" t="s">
        <v>1268</v>
      </c>
      <c r="G9100" s="1">
        <v>38869</v>
      </c>
      <c r="H9100" s="1">
        <v>42644</v>
      </c>
      <c r="I9100" t="s">
        <v>12</v>
      </c>
      <c r="J9100" t="s">
        <v>19870</v>
      </c>
    </row>
    <row r="9101" spans="1:10" x14ac:dyDescent="0.25">
      <c r="A9101">
        <v>4717912</v>
      </c>
      <c r="B9101" t="s">
        <v>9639</v>
      </c>
      <c r="C9101" t="str">
        <f>"9780826132536"</f>
        <v>9780826132536</v>
      </c>
      <c r="D9101" t="str">
        <f>"9780826132529"</f>
        <v>9780826132529</v>
      </c>
      <c r="E9101" t="s">
        <v>3016</v>
      </c>
      <c r="F9101" t="s">
        <v>3016</v>
      </c>
      <c r="G9101" s="1">
        <v>42650</v>
      </c>
      <c r="H9101" s="1">
        <v>42658</v>
      </c>
      <c r="I9101" t="s">
        <v>12</v>
      </c>
      <c r="J9101" t="s">
        <v>19871</v>
      </c>
    </row>
    <row r="9102" spans="1:10" x14ac:dyDescent="0.25">
      <c r="A9102">
        <v>4722558</v>
      </c>
      <c r="B9102" t="s">
        <v>9640</v>
      </c>
      <c r="C9102" t="str">
        <f>"9781783096091"</f>
        <v>9781783096091</v>
      </c>
      <c r="D9102" t="str">
        <f>"9781783096107"</f>
        <v>9781783096107</v>
      </c>
      <c r="E9102" t="s">
        <v>886</v>
      </c>
      <c r="F9102" t="s">
        <v>887</v>
      </c>
      <c r="G9102" s="1">
        <v>42681</v>
      </c>
      <c r="H9102" s="1">
        <v>42665</v>
      </c>
      <c r="I9102" t="s">
        <v>12</v>
      </c>
      <c r="J9102" t="s">
        <v>19872</v>
      </c>
    </row>
    <row r="9103" spans="1:10" x14ac:dyDescent="0.25">
      <c r="A9103">
        <v>4746229</v>
      </c>
      <c r="B9103" t="s">
        <v>9641</v>
      </c>
      <c r="C9103" t="str">
        <f>"9781472533272"</f>
        <v>9781472533272</v>
      </c>
      <c r="D9103" t="str">
        <f>"9781474286244"</f>
        <v>9781474286244</v>
      </c>
      <c r="E9103" t="s">
        <v>4180</v>
      </c>
      <c r="F9103" t="s">
        <v>6461</v>
      </c>
      <c r="G9103" s="1">
        <v>42803</v>
      </c>
      <c r="H9103" s="1">
        <v>42695</v>
      </c>
      <c r="I9103" t="s">
        <v>12</v>
      </c>
      <c r="J9103" t="s">
        <v>19873</v>
      </c>
    </row>
    <row r="9104" spans="1:10" x14ac:dyDescent="0.25">
      <c r="A9104">
        <v>4749050</v>
      </c>
      <c r="B9104" t="s">
        <v>9642</v>
      </c>
      <c r="C9104" t="str">
        <f>"9781509900848"</f>
        <v>9781509900848</v>
      </c>
      <c r="D9104" t="str">
        <f>"9781509900862"</f>
        <v>9781509900862</v>
      </c>
      <c r="E9104" t="s">
        <v>4180</v>
      </c>
      <c r="F9104" t="s">
        <v>2199</v>
      </c>
      <c r="G9104" s="1">
        <v>42761</v>
      </c>
      <c r="H9104" s="1">
        <v>42702</v>
      </c>
      <c r="I9104" t="s">
        <v>12</v>
      </c>
      <c r="J9104" t="s">
        <v>19874</v>
      </c>
    </row>
    <row r="9105" spans="1:10" x14ac:dyDescent="0.25">
      <c r="A9105">
        <v>4749051</v>
      </c>
      <c r="B9105" t="s">
        <v>9643</v>
      </c>
      <c r="C9105" t="str">
        <f>"9781782259176"</f>
        <v>9781782259176</v>
      </c>
      <c r="D9105" t="str">
        <f>"9781782259190"</f>
        <v>9781782259190</v>
      </c>
      <c r="E9105" t="s">
        <v>4180</v>
      </c>
      <c r="F9105" t="s">
        <v>2199</v>
      </c>
      <c r="G9105" s="1">
        <v>42747</v>
      </c>
      <c r="H9105" s="1">
        <v>42702</v>
      </c>
      <c r="I9105" t="s">
        <v>12</v>
      </c>
      <c r="J9105" t="s">
        <v>19875</v>
      </c>
    </row>
    <row r="9106" spans="1:10" x14ac:dyDescent="0.25">
      <c r="A9106">
        <v>4751471</v>
      </c>
      <c r="B9106" t="s">
        <v>9644</v>
      </c>
      <c r="C9106" t="str">
        <f>"9781474271882"</f>
        <v>9781474271882</v>
      </c>
      <c r="D9106" t="str">
        <f>"9781474271899"</f>
        <v>9781474271899</v>
      </c>
      <c r="E9106" t="s">
        <v>4180</v>
      </c>
      <c r="F9106" t="s">
        <v>6461</v>
      </c>
      <c r="G9106" s="1">
        <v>42747</v>
      </c>
      <c r="H9106" s="1">
        <v>42705</v>
      </c>
      <c r="I9106" t="s">
        <v>12</v>
      </c>
      <c r="J9106" t="s">
        <v>19876</v>
      </c>
    </row>
    <row r="9107" spans="1:10" x14ac:dyDescent="0.25">
      <c r="A9107">
        <v>4762953</v>
      </c>
      <c r="B9107" t="s">
        <v>9645</v>
      </c>
      <c r="C9107" t="str">
        <f>"9781403905857"</f>
        <v>9781403905857</v>
      </c>
      <c r="D9107" t="str">
        <f>"9780230628168"</f>
        <v>9780230628168</v>
      </c>
      <c r="E9107" t="s">
        <v>876</v>
      </c>
      <c r="F9107" t="s">
        <v>876</v>
      </c>
      <c r="G9107" s="1">
        <v>37069</v>
      </c>
      <c r="H9107" s="1">
        <v>42712</v>
      </c>
      <c r="I9107" t="s">
        <v>12</v>
      </c>
      <c r="J9107" t="s">
        <v>19877</v>
      </c>
    </row>
    <row r="9108" spans="1:10" x14ac:dyDescent="0.25">
      <c r="A9108">
        <v>4763252</v>
      </c>
      <c r="B9108" t="s">
        <v>9646</v>
      </c>
      <c r="C9108" t="str">
        <f>"9781403935458"</f>
        <v>9781403935458</v>
      </c>
      <c r="D9108" t="str">
        <f>"9780230505490"</f>
        <v>9780230505490</v>
      </c>
      <c r="E9108" t="s">
        <v>876</v>
      </c>
      <c r="F9108" t="s">
        <v>876</v>
      </c>
      <c r="G9108" s="1">
        <v>40634</v>
      </c>
      <c r="H9108" s="1">
        <v>42712</v>
      </c>
      <c r="I9108" t="s">
        <v>12</v>
      </c>
      <c r="J9108" t="s">
        <v>19878</v>
      </c>
    </row>
    <row r="9109" spans="1:10" x14ac:dyDescent="0.25">
      <c r="A9109">
        <v>4767116</v>
      </c>
      <c r="B9109" t="s">
        <v>9647</v>
      </c>
      <c r="C9109" t="str">
        <f>"9780415373456"</f>
        <v>9780415373456</v>
      </c>
      <c r="D9109" t="str">
        <f>"9781134190584"</f>
        <v>9781134190584</v>
      </c>
      <c r="E9109" t="s">
        <v>16</v>
      </c>
      <c r="F9109" t="s">
        <v>16</v>
      </c>
      <c r="G9109" s="1">
        <v>39314</v>
      </c>
      <c r="H9109" s="1">
        <v>42713</v>
      </c>
      <c r="I9109" t="s">
        <v>12</v>
      </c>
      <c r="J9109" t="s">
        <v>19879</v>
      </c>
    </row>
    <row r="9110" spans="1:10" x14ac:dyDescent="0.25">
      <c r="A9110">
        <v>4770918</v>
      </c>
      <c r="B9110" t="s">
        <v>9648</v>
      </c>
      <c r="C9110" t="str">
        <f>"9781849467902"</f>
        <v>9781849467902</v>
      </c>
      <c r="D9110" t="str">
        <f>"9781509902101"</f>
        <v>9781509902101</v>
      </c>
      <c r="E9110" t="s">
        <v>4180</v>
      </c>
      <c r="F9110" t="s">
        <v>2199</v>
      </c>
      <c r="G9110" s="1">
        <v>42761</v>
      </c>
      <c r="H9110" s="1">
        <v>42721</v>
      </c>
      <c r="I9110" t="s">
        <v>12</v>
      </c>
      <c r="J9110" t="s">
        <v>19880</v>
      </c>
    </row>
    <row r="9111" spans="1:10" x14ac:dyDescent="0.25">
      <c r="A9111">
        <v>4771453</v>
      </c>
      <c r="B9111" t="s">
        <v>9649</v>
      </c>
      <c r="C9111" t="str">
        <f>"9781847888266"</f>
        <v>9781847888266</v>
      </c>
      <c r="D9111" t="str">
        <f>"9781847889591"</f>
        <v>9781847889591</v>
      </c>
      <c r="E9111" t="s">
        <v>4180</v>
      </c>
      <c r="F9111" t="s">
        <v>6461</v>
      </c>
      <c r="G9111" s="1">
        <v>42775</v>
      </c>
      <c r="H9111" s="1">
        <v>42722</v>
      </c>
      <c r="I9111" t="s">
        <v>12</v>
      </c>
      <c r="J9111" t="s">
        <v>19881</v>
      </c>
    </row>
    <row r="9112" spans="1:10" x14ac:dyDescent="0.25">
      <c r="A9112">
        <v>4773817</v>
      </c>
      <c r="B9112" t="s">
        <v>9650</v>
      </c>
      <c r="C9112" t="str">
        <f>"9781474267809"</f>
        <v>9781474267809</v>
      </c>
      <c r="D9112" t="str">
        <f>"9781474267823"</f>
        <v>9781474267823</v>
      </c>
      <c r="E9112" t="s">
        <v>4180</v>
      </c>
      <c r="F9112" t="s">
        <v>6461</v>
      </c>
      <c r="G9112" s="1">
        <v>42761</v>
      </c>
      <c r="H9112" s="1">
        <v>42729</v>
      </c>
      <c r="I9112" t="s">
        <v>12</v>
      </c>
      <c r="J9112" t="s">
        <v>19882</v>
      </c>
    </row>
    <row r="9113" spans="1:10" x14ac:dyDescent="0.25">
      <c r="A9113">
        <v>4778018</v>
      </c>
      <c r="B9113" t="s">
        <v>9651</v>
      </c>
      <c r="C9113" t="str">
        <f>"9781474231244"</f>
        <v>9781474231244</v>
      </c>
      <c r="D9113" t="str">
        <f>"9781474231275"</f>
        <v>9781474231275</v>
      </c>
      <c r="E9113" t="s">
        <v>4180</v>
      </c>
      <c r="F9113" t="s">
        <v>6461</v>
      </c>
      <c r="G9113" s="1">
        <v>42789</v>
      </c>
      <c r="H9113" s="1">
        <v>42743</v>
      </c>
      <c r="I9113" t="s">
        <v>12</v>
      </c>
      <c r="J9113" t="s">
        <v>19883</v>
      </c>
    </row>
    <row r="9114" spans="1:10" x14ac:dyDescent="0.25">
      <c r="A9114">
        <v>4786456</v>
      </c>
      <c r="B9114" t="s">
        <v>9652</v>
      </c>
      <c r="C9114" t="str">
        <f>"9781472927798"</f>
        <v>9781472927798</v>
      </c>
      <c r="D9114" t="str">
        <f>"9781472944504"</f>
        <v>9781472944504</v>
      </c>
      <c r="E9114" t="s">
        <v>4180</v>
      </c>
      <c r="F9114" t="s">
        <v>9653</v>
      </c>
      <c r="G9114" s="1">
        <v>42871</v>
      </c>
      <c r="H9114" s="1">
        <v>42748</v>
      </c>
      <c r="I9114" t="s">
        <v>12</v>
      </c>
      <c r="J9114" t="s">
        <v>19884</v>
      </c>
    </row>
    <row r="9115" spans="1:10" x14ac:dyDescent="0.25">
      <c r="A9115">
        <v>4786983</v>
      </c>
      <c r="B9115" t="s">
        <v>9654</v>
      </c>
      <c r="C9115" t="str">
        <f>"9780195397031"</f>
        <v>9780195397031</v>
      </c>
      <c r="D9115" t="str">
        <f>"9780198040187"</f>
        <v>9780198040187</v>
      </c>
      <c r="E9115" t="s">
        <v>1268</v>
      </c>
      <c r="F9115" t="s">
        <v>1268</v>
      </c>
      <c r="G9115" s="1">
        <v>38722</v>
      </c>
      <c r="H9115" s="1">
        <v>42748</v>
      </c>
      <c r="I9115" t="s">
        <v>12</v>
      </c>
      <c r="J9115" t="s">
        <v>19885</v>
      </c>
    </row>
    <row r="9116" spans="1:10" x14ac:dyDescent="0.25">
      <c r="A9116">
        <v>4789956</v>
      </c>
      <c r="B9116" t="s">
        <v>9655</v>
      </c>
      <c r="C9116" t="str">
        <f>"9781474245043"</f>
        <v>9781474245043</v>
      </c>
      <c r="D9116" t="str">
        <f>"9781474245005"</f>
        <v>9781474245005</v>
      </c>
      <c r="E9116" t="s">
        <v>4180</v>
      </c>
      <c r="F9116" t="s">
        <v>6461</v>
      </c>
      <c r="G9116" s="1">
        <v>42789</v>
      </c>
      <c r="H9116" s="1">
        <v>42756</v>
      </c>
      <c r="I9116" t="s">
        <v>12</v>
      </c>
      <c r="J9116" t="s">
        <v>19886</v>
      </c>
    </row>
    <row r="9117" spans="1:10" x14ac:dyDescent="0.25">
      <c r="A9117">
        <v>4812133</v>
      </c>
      <c r="B9117" t="s">
        <v>9656</v>
      </c>
      <c r="C9117" t="str">
        <f>"9781509906529"</f>
        <v>9781509906529</v>
      </c>
      <c r="D9117" t="str">
        <f>"9781509906505"</f>
        <v>9781509906505</v>
      </c>
      <c r="E9117" t="s">
        <v>4180</v>
      </c>
      <c r="F9117" t="s">
        <v>2199</v>
      </c>
      <c r="G9117" s="1">
        <v>42817</v>
      </c>
      <c r="H9117" s="1">
        <v>42790</v>
      </c>
      <c r="I9117" t="s">
        <v>12</v>
      </c>
      <c r="J9117" t="s">
        <v>19887</v>
      </c>
    </row>
    <row r="9118" spans="1:10" x14ac:dyDescent="0.25">
      <c r="A9118">
        <v>4812145</v>
      </c>
      <c r="B9118" t="s">
        <v>9657</v>
      </c>
      <c r="C9118" t="str">
        <f>"9781472917225"</f>
        <v>9781472917225</v>
      </c>
      <c r="D9118" t="str">
        <f>"9781472917249"</f>
        <v>9781472917249</v>
      </c>
      <c r="E9118" t="s">
        <v>4180</v>
      </c>
      <c r="F9118" t="s">
        <v>9658</v>
      </c>
      <c r="G9118" s="1">
        <v>42892</v>
      </c>
      <c r="H9118" s="1">
        <v>42790</v>
      </c>
      <c r="I9118" t="s">
        <v>12</v>
      </c>
      <c r="J9118" t="s">
        <v>19888</v>
      </c>
    </row>
    <row r="9119" spans="1:10" x14ac:dyDescent="0.25">
      <c r="A9119">
        <v>4817858</v>
      </c>
      <c r="B9119" t="s">
        <v>9659</v>
      </c>
      <c r="C9119" t="str">
        <f>"9781472588173"</f>
        <v>9781472588173</v>
      </c>
      <c r="D9119" t="str">
        <f>"9781472588203"</f>
        <v>9781472588203</v>
      </c>
      <c r="E9119" t="s">
        <v>4180</v>
      </c>
      <c r="F9119" t="s">
        <v>9660</v>
      </c>
      <c r="G9119" s="1">
        <v>42817</v>
      </c>
      <c r="H9119" s="1">
        <v>42799</v>
      </c>
      <c r="I9119" t="s">
        <v>12</v>
      </c>
      <c r="J9119" t="s">
        <v>19889</v>
      </c>
    </row>
    <row r="9120" spans="1:10" x14ac:dyDescent="0.25">
      <c r="A9120">
        <v>4840096</v>
      </c>
      <c r="B9120" t="s">
        <v>9661</v>
      </c>
      <c r="C9120" t="str">
        <f>"9780803262676"</f>
        <v>9780803262676</v>
      </c>
      <c r="D9120" t="str">
        <f>"9780803213937"</f>
        <v>9780803213937</v>
      </c>
      <c r="E9120" t="s">
        <v>2728</v>
      </c>
      <c r="F9120" t="s">
        <v>2728</v>
      </c>
      <c r="G9120" s="1">
        <v>39417</v>
      </c>
      <c r="H9120" s="1">
        <v>42837</v>
      </c>
      <c r="I9120" t="s">
        <v>12</v>
      </c>
      <c r="J9120" t="s">
        <v>19890</v>
      </c>
    </row>
    <row r="9121" spans="1:10" x14ac:dyDescent="0.25">
      <c r="A9121">
        <v>4843334</v>
      </c>
      <c r="B9121" t="s">
        <v>9662</v>
      </c>
      <c r="C9121" t="str">
        <f>"9780803232297"</f>
        <v>9780803232297</v>
      </c>
      <c r="D9121" t="str">
        <f>"9780803204164"</f>
        <v>9780803204164</v>
      </c>
      <c r="E9121" t="s">
        <v>2735</v>
      </c>
      <c r="F9121" t="s">
        <v>2728</v>
      </c>
      <c r="G9121" s="1">
        <v>38108</v>
      </c>
      <c r="H9121" s="1">
        <v>42843</v>
      </c>
      <c r="I9121" t="s">
        <v>12</v>
      </c>
      <c r="J9121" t="s">
        <v>19891</v>
      </c>
    </row>
    <row r="9122" spans="1:10" x14ac:dyDescent="0.25">
      <c r="A9122">
        <v>4843538</v>
      </c>
      <c r="B9122" t="s">
        <v>9663</v>
      </c>
      <c r="C9122" t="str">
        <f>"9780803224353"</f>
        <v>9780803224353</v>
      </c>
      <c r="D9122" t="str">
        <f>"9780803251366"</f>
        <v>9780803251366</v>
      </c>
      <c r="E9122" t="s">
        <v>2735</v>
      </c>
      <c r="F9122" t="s">
        <v>2728</v>
      </c>
      <c r="G9122" s="1">
        <v>38687</v>
      </c>
      <c r="H9122" s="1">
        <v>42844</v>
      </c>
      <c r="I9122" t="s">
        <v>12</v>
      </c>
      <c r="J9122" t="s">
        <v>19892</v>
      </c>
    </row>
    <row r="9123" spans="1:10" x14ac:dyDescent="0.25">
      <c r="A9123">
        <v>4863070</v>
      </c>
      <c r="B9123" t="s">
        <v>9664</v>
      </c>
      <c r="C9123" t="str">
        <f>"9780826166562"</f>
        <v>9780826166562</v>
      </c>
      <c r="D9123" t="str">
        <f>"9780826166579"</f>
        <v>9780826166579</v>
      </c>
      <c r="E9123" t="s">
        <v>3016</v>
      </c>
      <c r="F9123" t="s">
        <v>3016</v>
      </c>
      <c r="G9123" s="1">
        <v>42850</v>
      </c>
      <c r="H9123" s="1">
        <v>42875</v>
      </c>
      <c r="I9123" t="s">
        <v>12</v>
      </c>
      <c r="J9123" t="s">
        <v>19893</v>
      </c>
    </row>
    <row r="9124" spans="1:10" x14ac:dyDescent="0.25">
      <c r="A9124">
        <v>4872943</v>
      </c>
      <c r="B9124" t="s">
        <v>9665</v>
      </c>
      <c r="C9124" t="str">
        <f>"9781472941725"</f>
        <v>9781472941725</v>
      </c>
      <c r="D9124" t="str">
        <f>"9781472941732"</f>
        <v>9781472941732</v>
      </c>
      <c r="E9124" t="s">
        <v>4180</v>
      </c>
      <c r="F9124" t="s">
        <v>4180</v>
      </c>
      <c r="G9124" s="1">
        <v>42985</v>
      </c>
      <c r="H9124" s="1">
        <v>42893</v>
      </c>
      <c r="I9124" t="s">
        <v>12</v>
      </c>
      <c r="J9124" t="s">
        <v>19894</v>
      </c>
    </row>
    <row r="9125" spans="1:10" x14ac:dyDescent="0.25">
      <c r="A9125">
        <v>4874729</v>
      </c>
      <c r="B9125" t="s">
        <v>9666</v>
      </c>
      <c r="C9125" t="str">
        <f>"9780826190116"</f>
        <v>9780826190116</v>
      </c>
      <c r="D9125" t="str">
        <f>"9780826190123"</f>
        <v>9780826190123</v>
      </c>
      <c r="E9125" t="s">
        <v>3016</v>
      </c>
      <c r="F9125" t="s">
        <v>3016</v>
      </c>
      <c r="G9125" s="1">
        <v>42912</v>
      </c>
      <c r="H9125" s="1">
        <v>42896</v>
      </c>
      <c r="I9125" t="s">
        <v>12</v>
      </c>
      <c r="J9125" t="s">
        <v>19895</v>
      </c>
    </row>
    <row r="9126" spans="1:10" x14ac:dyDescent="0.25">
      <c r="A9126">
        <v>4875438</v>
      </c>
      <c r="B9126" t="s">
        <v>9667</v>
      </c>
      <c r="C9126" t="str">
        <f>"9781474234160"</f>
        <v>9781474234160</v>
      </c>
      <c r="D9126" t="str">
        <f>"9781474234191"</f>
        <v>9781474234191</v>
      </c>
      <c r="E9126" t="s">
        <v>4180</v>
      </c>
      <c r="F9126" t="s">
        <v>9660</v>
      </c>
      <c r="G9126" s="1">
        <v>42915</v>
      </c>
      <c r="H9126" s="1">
        <v>42900</v>
      </c>
      <c r="I9126" t="s">
        <v>12</v>
      </c>
      <c r="J9126" t="s">
        <v>19896</v>
      </c>
    </row>
    <row r="9127" spans="1:10" x14ac:dyDescent="0.25">
      <c r="A9127">
        <v>4875798</v>
      </c>
      <c r="B9127" t="s">
        <v>9668</v>
      </c>
      <c r="C9127" t="str">
        <f>"9780415399395"</f>
        <v>9780415399395</v>
      </c>
      <c r="D9127" t="str">
        <f>"9781134149063"</f>
        <v>9781134149063</v>
      </c>
      <c r="E9127" t="s">
        <v>15</v>
      </c>
      <c r="F9127" t="s">
        <v>16</v>
      </c>
      <c r="G9127" s="1">
        <v>39366</v>
      </c>
      <c r="H9127" s="1">
        <v>42899</v>
      </c>
      <c r="I9127" t="s">
        <v>12</v>
      </c>
      <c r="J9127" t="s">
        <v>19897</v>
      </c>
    </row>
    <row r="9128" spans="1:10" x14ac:dyDescent="0.25">
      <c r="A9128">
        <v>4882703</v>
      </c>
      <c r="B9128" t="s">
        <v>9669</v>
      </c>
      <c r="C9128" t="str">
        <f>"9789287163103"</f>
        <v>9789287163103</v>
      </c>
      <c r="D9128" t="str">
        <f>"9781281386076"</f>
        <v>9781281386076</v>
      </c>
      <c r="E9128" t="s">
        <v>9670</v>
      </c>
      <c r="F9128" t="s">
        <v>9670</v>
      </c>
      <c r="G9128" s="1">
        <v>39612</v>
      </c>
      <c r="H9128" s="1">
        <v>42964</v>
      </c>
      <c r="I9128" t="s">
        <v>12</v>
      </c>
      <c r="J9128" t="s">
        <v>19898</v>
      </c>
    </row>
    <row r="9129" spans="1:10" x14ac:dyDescent="0.25">
      <c r="A9129">
        <v>4883899</v>
      </c>
      <c r="B9129" t="s">
        <v>9671</v>
      </c>
      <c r="C9129" t="str">
        <f>"9780826140487"</f>
        <v>9780826140487</v>
      </c>
      <c r="D9129" t="str">
        <f>"9780826140494"</f>
        <v>9780826140494</v>
      </c>
      <c r="E9129" t="s">
        <v>3016</v>
      </c>
      <c r="F9129" t="s">
        <v>3016</v>
      </c>
      <c r="G9129" s="1">
        <v>42943</v>
      </c>
      <c r="H9129" s="1">
        <v>42909</v>
      </c>
      <c r="I9129" t="s">
        <v>12</v>
      </c>
      <c r="J9129" t="s">
        <v>19899</v>
      </c>
    </row>
    <row r="9130" spans="1:10" x14ac:dyDescent="0.25">
      <c r="A9130">
        <v>4898782</v>
      </c>
      <c r="B9130" t="s">
        <v>9672</v>
      </c>
      <c r="C9130" t="str">
        <f>"9780415334440"</f>
        <v>9780415334440</v>
      </c>
      <c r="D9130" t="str">
        <f>"9781134313648"</f>
        <v>9781134313648</v>
      </c>
      <c r="E9130" t="s">
        <v>15</v>
      </c>
      <c r="F9130" t="s">
        <v>16</v>
      </c>
      <c r="G9130" s="1">
        <v>41379</v>
      </c>
      <c r="H9130" s="1">
        <v>42921</v>
      </c>
      <c r="I9130" t="s">
        <v>12</v>
      </c>
      <c r="J9130" t="s">
        <v>19900</v>
      </c>
    </row>
    <row r="9131" spans="1:10" x14ac:dyDescent="0.25">
      <c r="A9131">
        <v>4901321</v>
      </c>
      <c r="B9131" t="s">
        <v>9673</v>
      </c>
      <c r="C9131" t="str">
        <f>"9781472588098"</f>
        <v>9781472588098</v>
      </c>
      <c r="D9131" t="str">
        <f>"9781472588128"</f>
        <v>9781472588128</v>
      </c>
      <c r="E9131" t="s">
        <v>4180</v>
      </c>
      <c r="F9131" t="s">
        <v>6461</v>
      </c>
      <c r="G9131" s="1">
        <v>43027</v>
      </c>
      <c r="H9131" s="1">
        <v>42922</v>
      </c>
      <c r="I9131" t="s">
        <v>12</v>
      </c>
      <c r="J9131" t="s">
        <v>19901</v>
      </c>
    </row>
    <row r="9132" spans="1:10" x14ac:dyDescent="0.25">
      <c r="A9132">
        <v>4912136</v>
      </c>
      <c r="B9132" t="s">
        <v>9674</v>
      </c>
      <c r="C9132" t="str">
        <f>"9780415325448"</f>
        <v>9780415325448</v>
      </c>
      <c r="D9132" t="str">
        <f>"9781134342686"</f>
        <v>9781134342686</v>
      </c>
      <c r="E9132" t="s">
        <v>15</v>
      </c>
      <c r="F9132" t="s">
        <v>16</v>
      </c>
      <c r="G9132" s="1">
        <v>38134</v>
      </c>
      <c r="H9132" s="1">
        <v>1</v>
      </c>
      <c r="I9132" t="s">
        <v>12</v>
      </c>
      <c r="J9132" t="s">
        <v>19902</v>
      </c>
    </row>
    <row r="9133" spans="1:10" x14ac:dyDescent="0.25">
      <c r="A9133">
        <v>4914169</v>
      </c>
      <c r="B9133" t="s">
        <v>9675</v>
      </c>
      <c r="C9133" t="str">
        <f>"9781474290807"</f>
        <v>9781474290807</v>
      </c>
      <c r="D9133" t="str">
        <f>"9781474290814"</f>
        <v>9781474290814</v>
      </c>
      <c r="E9133" t="s">
        <v>4180</v>
      </c>
      <c r="F9133" t="s">
        <v>6461</v>
      </c>
      <c r="G9133" s="1">
        <v>42985</v>
      </c>
      <c r="H9133" s="1">
        <v>42934</v>
      </c>
      <c r="I9133" t="s">
        <v>12</v>
      </c>
      <c r="J9133" t="s">
        <v>19903</v>
      </c>
    </row>
    <row r="9134" spans="1:10" x14ac:dyDescent="0.25">
      <c r="A9134">
        <v>4929801</v>
      </c>
      <c r="B9134" t="s">
        <v>9676</v>
      </c>
      <c r="C9134" t="str">
        <f>"9780826142429"</f>
        <v>9780826142429</v>
      </c>
      <c r="D9134" t="str">
        <f>"9780826142436"</f>
        <v>9780826142436</v>
      </c>
      <c r="E9134" t="s">
        <v>3016</v>
      </c>
      <c r="F9134" t="s">
        <v>3016</v>
      </c>
      <c r="G9134" s="1">
        <v>42948</v>
      </c>
      <c r="H9134" s="1">
        <v>42945</v>
      </c>
      <c r="I9134" t="s">
        <v>12</v>
      </c>
      <c r="J9134" t="s">
        <v>19904</v>
      </c>
    </row>
    <row r="9135" spans="1:10" x14ac:dyDescent="0.25">
      <c r="A9135">
        <v>4935907</v>
      </c>
      <c r="B9135" t="s">
        <v>9677</v>
      </c>
      <c r="C9135" t="str">
        <f>"9781350027312"</f>
        <v>9781350027312</v>
      </c>
      <c r="D9135" t="str">
        <f>"9781350027336"</f>
        <v>9781350027336</v>
      </c>
      <c r="E9135" t="s">
        <v>4180</v>
      </c>
      <c r="F9135" t="s">
        <v>6461</v>
      </c>
      <c r="G9135" s="1">
        <v>42999</v>
      </c>
      <c r="H9135" s="1">
        <v>42950</v>
      </c>
      <c r="I9135" t="s">
        <v>12</v>
      </c>
      <c r="J9135" t="s">
        <v>19905</v>
      </c>
    </row>
    <row r="9136" spans="1:10" x14ac:dyDescent="0.25">
      <c r="A9136">
        <v>4939398</v>
      </c>
      <c r="B9136" t="s">
        <v>9678</v>
      </c>
      <c r="C9136" t="str">
        <f>"9781350004177"</f>
        <v>9781350004177</v>
      </c>
      <c r="D9136" t="str">
        <f>"9781350004160"</f>
        <v>9781350004160</v>
      </c>
      <c r="E9136" t="s">
        <v>4180</v>
      </c>
      <c r="F9136" t="s">
        <v>6461</v>
      </c>
      <c r="G9136" s="1">
        <v>42971</v>
      </c>
      <c r="H9136" s="1">
        <v>42952</v>
      </c>
      <c r="I9136" t="s">
        <v>12</v>
      </c>
      <c r="J9136" t="s">
        <v>19906</v>
      </c>
    </row>
    <row r="9137" spans="1:10" x14ac:dyDescent="0.25">
      <c r="A9137">
        <v>4947627</v>
      </c>
      <c r="B9137" t="s">
        <v>9679</v>
      </c>
      <c r="C9137" t="str">
        <f>"9780897897389"</f>
        <v>9780897897389</v>
      </c>
      <c r="D9137" t="str">
        <f>"9780313012846"</f>
        <v>9780313012846</v>
      </c>
      <c r="E9137" t="s">
        <v>2099</v>
      </c>
      <c r="F9137" t="s">
        <v>9680</v>
      </c>
      <c r="G9137" s="1">
        <v>37257</v>
      </c>
      <c r="H9137" s="1">
        <v>1</v>
      </c>
      <c r="I9137" t="s">
        <v>12</v>
      </c>
      <c r="J9137" t="s">
        <v>19907</v>
      </c>
    </row>
    <row r="9138" spans="1:10" x14ac:dyDescent="0.25">
      <c r="A9138">
        <v>4947636</v>
      </c>
      <c r="B9138" t="s">
        <v>9681</v>
      </c>
      <c r="C9138" t="str">
        <f>"9780275979249"</f>
        <v>9780275979249</v>
      </c>
      <c r="D9138" t="str">
        <f>"9780313072994"</f>
        <v>9780313072994</v>
      </c>
      <c r="E9138" t="s">
        <v>2099</v>
      </c>
      <c r="F9138" t="s">
        <v>9682</v>
      </c>
      <c r="G9138" s="1">
        <v>38322</v>
      </c>
      <c r="H9138" s="1">
        <v>1</v>
      </c>
      <c r="I9138" t="s">
        <v>12</v>
      </c>
      <c r="J9138" t="s">
        <v>19908</v>
      </c>
    </row>
    <row r="9139" spans="1:10" x14ac:dyDescent="0.25">
      <c r="A9139">
        <v>4947654</v>
      </c>
      <c r="B9139" t="s">
        <v>9683</v>
      </c>
      <c r="C9139" t="str">
        <f>"9780313322860"</f>
        <v>9780313322860</v>
      </c>
      <c r="D9139" t="str">
        <f>"9780313068508"</f>
        <v>9780313068508</v>
      </c>
      <c r="E9139" t="s">
        <v>2099</v>
      </c>
      <c r="F9139" t="s">
        <v>9682</v>
      </c>
      <c r="G9139" s="1">
        <v>38472</v>
      </c>
      <c r="H9139" s="1">
        <v>1</v>
      </c>
      <c r="I9139" t="s">
        <v>12</v>
      </c>
      <c r="J9139" t="s">
        <v>19909</v>
      </c>
    </row>
    <row r="9140" spans="1:10" x14ac:dyDescent="0.25">
      <c r="A9140">
        <v>4947661</v>
      </c>
      <c r="B9140" t="s">
        <v>9684</v>
      </c>
      <c r="C9140" t="str">
        <f>"9780313256585"</f>
        <v>9780313256585</v>
      </c>
      <c r="D9140" t="str">
        <f>"9780313072666"</f>
        <v>9780313072666</v>
      </c>
      <c r="E9140" t="s">
        <v>2099</v>
      </c>
      <c r="F9140" t="s">
        <v>9682</v>
      </c>
      <c r="G9140" s="1">
        <v>38322</v>
      </c>
      <c r="H9140" s="1">
        <v>1</v>
      </c>
      <c r="I9140" t="s">
        <v>12</v>
      </c>
      <c r="J9140" t="s">
        <v>19910</v>
      </c>
    </row>
    <row r="9141" spans="1:10" x14ac:dyDescent="0.25">
      <c r="A9141">
        <v>4947679</v>
      </c>
      <c r="B9141" t="s">
        <v>9685</v>
      </c>
      <c r="C9141" t="str">
        <f>"9781567506747"</f>
        <v>9781567506747</v>
      </c>
      <c r="D9141" t="str">
        <f>"9780313072918"</f>
        <v>9780313072918</v>
      </c>
      <c r="E9141" t="s">
        <v>2099</v>
      </c>
      <c r="F9141" t="s">
        <v>9682</v>
      </c>
      <c r="G9141" s="1">
        <v>38322</v>
      </c>
      <c r="H9141" s="1">
        <v>1</v>
      </c>
      <c r="I9141" t="s">
        <v>12</v>
      </c>
      <c r="J9141" t="s">
        <v>19911</v>
      </c>
    </row>
    <row r="9142" spans="1:10" x14ac:dyDescent="0.25">
      <c r="A9142">
        <v>4947743</v>
      </c>
      <c r="B9142" t="s">
        <v>9686</v>
      </c>
      <c r="C9142" t="str">
        <f>"9780814480656"</f>
        <v>9780814480656</v>
      </c>
      <c r="D9142" t="str">
        <f>"9780814401804"</f>
        <v>9780814401804</v>
      </c>
      <c r="E9142" t="s">
        <v>9687</v>
      </c>
      <c r="F9142" t="s">
        <v>9687</v>
      </c>
      <c r="G9142" s="1">
        <v>39448</v>
      </c>
      <c r="H9142" s="1">
        <v>1</v>
      </c>
      <c r="I9142" t="s">
        <v>12</v>
      </c>
      <c r="J9142" t="s">
        <v>19912</v>
      </c>
    </row>
    <row r="9143" spans="1:10" x14ac:dyDescent="0.25">
      <c r="A9143">
        <v>4947744</v>
      </c>
      <c r="B9143" t="s">
        <v>9688</v>
      </c>
      <c r="C9143" t="str">
        <f>"9780814408698"</f>
        <v>9780814408698</v>
      </c>
      <c r="D9143" t="str">
        <f>"9780814429617"</f>
        <v>9780814429617</v>
      </c>
      <c r="E9143" t="s">
        <v>9687</v>
      </c>
      <c r="F9143" t="s">
        <v>9687</v>
      </c>
      <c r="G9143" s="1">
        <v>38803</v>
      </c>
      <c r="H9143" s="1">
        <v>1</v>
      </c>
      <c r="I9143" t="s">
        <v>12</v>
      </c>
      <c r="J9143" t="s">
        <v>19913</v>
      </c>
    </row>
    <row r="9144" spans="1:10" x14ac:dyDescent="0.25">
      <c r="A9144">
        <v>4947745</v>
      </c>
      <c r="B9144" t="s">
        <v>9689</v>
      </c>
      <c r="C9144" t="str">
        <f>"9780814408773"</f>
        <v>9780814408773</v>
      </c>
      <c r="D9144" t="str">
        <f>"9780814429693"</f>
        <v>9780814429693</v>
      </c>
      <c r="E9144" t="s">
        <v>9687</v>
      </c>
      <c r="F9144" t="s">
        <v>9687</v>
      </c>
      <c r="G9144" s="1">
        <v>41773</v>
      </c>
      <c r="H9144" s="1">
        <v>1</v>
      </c>
      <c r="I9144" t="s">
        <v>12</v>
      </c>
      <c r="J9144" t="s">
        <v>19914</v>
      </c>
    </row>
    <row r="9145" spans="1:10" x14ac:dyDescent="0.25">
      <c r="A9145">
        <v>4947746</v>
      </c>
      <c r="B9145" t="s">
        <v>9690</v>
      </c>
      <c r="C9145" t="str">
        <f>"9780814408841"</f>
        <v>9780814408841</v>
      </c>
      <c r="D9145" t="str">
        <f>"9780814429402"</f>
        <v>9780814429402</v>
      </c>
      <c r="E9145" t="s">
        <v>9687</v>
      </c>
      <c r="F9145" t="s">
        <v>9687</v>
      </c>
      <c r="G9145" s="1">
        <v>41773</v>
      </c>
      <c r="H9145" s="1">
        <v>1</v>
      </c>
      <c r="I9145" t="s">
        <v>12</v>
      </c>
      <c r="J9145" t="s">
        <v>19915</v>
      </c>
    </row>
    <row r="9146" spans="1:10" x14ac:dyDescent="0.25">
      <c r="A9146">
        <v>4947750</v>
      </c>
      <c r="B9146" t="s">
        <v>9691</v>
      </c>
      <c r="C9146" t="str">
        <f>"9780814473306"</f>
        <v>9780814473306</v>
      </c>
      <c r="D9146" t="str">
        <f>"9780814429549"</f>
        <v>9780814429549</v>
      </c>
      <c r="E9146" t="s">
        <v>9687</v>
      </c>
      <c r="F9146" t="s">
        <v>9687</v>
      </c>
      <c r="G9146" s="1">
        <v>38786</v>
      </c>
      <c r="H9146" s="1">
        <v>1</v>
      </c>
      <c r="I9146" t="s">
        <v>12</v>
      </c>
      <c r="J9146" t="s">
        <v>19916</v>
      </c>
    </row>
    <row r="9147" spans="1:10" x14ac:dyDescent="0.25">
      <c r="A9147">
        <v>4947751</v>
      </c>
      <c r="B9147" t="s">
        <v>9692</v>
      </c>
      <c r="C9147" t="str">
        <f>"9780814473436"</f>
        <v>9780814473436</v>
      </c>
      <c r="D9147" t="str">
        <f>"9780814429570"</f>
        <v>9780814429570</v>
      </c>
      <c r="E9147" t="s">
        <v>9687</v>
      </c>
      <c r="F9147" t="s">
        <v>9687</v>
      </c>
      <c r="G9147" s="1">
        <v>39052</v>
      </c>
      <c r="H9147" s="1">
        <v>1</v>
      </c>
      <c r="I9147" t="s">
        <v>12</v>
      </c>
      <c r="J9147" t="s">
        <v>19917</v>
      </c>
    </row>
    <row r="9148" spans="1:10" x14ac:dyDescent="0.25">
      <c r="A9148">
        <v>4947753</v>
      </c>
      <c r="B9148" t="s">
        <v>9693</v>
      </c>
      <c r="C9148" t="str">
        <f>"9780814400432"</f>
        <v>9780814400432</v>
      </c>
      <c r="D9148" t="str">
        <f>"9780814409664"</f>
        <v>9780814409664</v>
      </c>
      <c r="E9148" t="s">
        <v>9687</v>
      </c>
      <c r="F9148" t="s">
        <v>9687</v>
      </c>
      <c r="G9148" s="1">
        <v>39783</v>
      </c>
      <c r="H9148" s="1">
        <v>1</v>
      </c>
      <c r="I9148" t="s">
        <v>12</v>
      </c>
      <c r="J9148" t="s">
        <v>19918</v>
      </c>
    </row>
    <row r="9149" spans="1:10" x14ac:dyDescent="0.25">
      <c r="A9149">
        <v>4947754</v>
      </c>
      <c r="B9149" t="s">
        <v>9694</v>
      </c>
      <c r="C9149" t="str">
        <f>"9780814401606"</f>
        <v>9780814401606</v>
      </c>
      <c r="D9149" t="str">
        <f>"9780814429488"</f>
        <v>9780814429488</v>
      </c>
      <c r="E9149" t="s">
        <v>9687</v>
      </c>
      <c r="F9149" t="s">
        <v>9687</v>
      </c>
      <c r="G9149" s="1">
        <v>41773</v>
      </c>
      <c r="H9149" s="1">
        <v>1</v>
      </c>
      <c r="I9149" t="s">
        <v>12</v>
      </c>
      <c r="J9149" t="s">
        <v>19919</v>
      </c>
    </row>
    <row r="9150" spans="1:10" x14ac:dyDescent="0.25">
      <c r="A9150">
        <v>4947755</v>
      </c>
      <c r="B9150" t="s">
        <v>9695</v>
      </c>
      <c r="C9150" t="str">
        <f>"9780814408469"</f>
        <v>9780814408469</v>
      </c>
      <c r="D9150" t="str">
        <f>"9780814428726"</f>
        <v>9780814428726</v>
      </c>
      <c r="E9150" t="s">
        <v>9687</v>
      </c>
      <c r="F9150" t="s">
        <v>9687</v>
      </c>
      <c r="G9150" s="1">
        <v>38498</v>
      </c>
      <c r="H9150" s="1">
        <v>1</v>
      </c>
      <c r="I9150" t="s">
        <v>12</v>
      </c>
      <c r="J9150" t="s">
        <v>19920</v>
      </c>
    </row>
    <row r="9151" spans="1:10" x14ac:dyDescent="0.25">
      <c r="A9151">
        <v>4947756</v>
      </c>
      <c r="B9151" t="s">
        <v>9696</v>
      </c>
      <c r="C9151" t="str">
        <f>"9780814408742"</f>
        <v>9780814408742</v>
      </c>
      <c r="D9151" t="str">
        <f>"9780814429495"</f>
        <v>9780814429495</v>
      </c>
      <c r="E9151" t="s">
        <v>9687</v>
      </c>
      <c r="F9151" t="s">
        <v>9687</v>
      </c>
      <c r="G9151" s="1">
        <v>39052</v>
      </c>
      <c r="H9151" s="1">
        <v>1</v>
      </c>
      <c r="I9151" t="s">
        <v>12</v>
      </c>
      <c r="J9151" t="s">
        <v>19921</v>
      </c>
    </row>
    <row r="9152" spans="1:10" x14ac:dyDescent="0.25">
      <c r="A9152">
        <v>4947757</v>
      </c>
      <c r="B9152" t="s">
        <v>9697</v>
      </c>
      <c r="C9152" t="str">
        <f>"9780814408759"</f>
        <v>9780814408759</v>
      </c>
      <c r="D9152" t="str">
        <f>"9780814429228"</f>
        <v>9780814429228</v>
      </c>
      <c r="E9152" t="s">
        <v>9687</v>
      </c>
      <c r="F9152" t="s">
        <v>9687</v>
      </c>
      <c r="G9152" s="1">
        <v>38718</v>
      </c>
      <c r="H9152" s="1">
        <v>1</v>
      </c>
      <c r="I9152" t="s">
        <v>12</v>
      </c>
      <c r="J9152" t="s">
        <v>19922</v>
      </c>
    </row>
    <row r="9153" spans="1:10" x14ac:dyDescent="0.25">
      <c r="A9153">
        <v>4947759</v>
      </c>
      <c r="B9153" t="s">
        <v>9698</v>
      </c>
      <c r="C9153" t="str">
        <f>"9780814408964"</f>
        <v>9780814408964</v>
      </c>
      <c r="D9153" t="str">
        <f>"9780814430057"</f>
        <v>9780814430057</v>
      </c>
      <c r="E9153" t="s">
        <v>9687</v>
      </c>
      <c r="F9153" t="s">
        <v>9687</v>
      </c>
      <c r="G9153" s="1">
        <v>39052</v>
      </c>
      <c r="H9153" s="1">
        <v>1</v>
      </c>
      <c r="I9153" t="s">
        <v>12</v>
      </c>
      <c r="J9153" t="s">
        <v>19923</v>
      </c>
    </row>
    <row r="9154" spans="1:10" x14ac:dyDescent="0.25">
      <c r="A9154">
        <v>4947761</v>
      </c>
      <c r="B9154" t="s">
        <v>9699</v>
      </c>
      <c r="C9154" t="str">
        <f>"9780814472811"</f>
        <v>9780814472811</v>
      </c>
      <c r="D9154" t="str">
        <f>"9780814429211"</f>
        <v>9780814429211</v>
      </c>
      <c r="E9154" t="s">
        <v>9687</v>
      </c>
      <c r="F9154" t="s">
        <v>9687</v>
      </c>
      <c r="G9154" s="1">
        <v>39052</v>
      </c>
      <c r="H9154" s="1">
        <v>1</v>
      </c>
      <c r="I9154" t="s">
        <v>12</v>
      </c>
      <c r="J9154" t="s">
        <v>19924</v>
      </c>
    </row>
    <row r="9155" spans="1:10" x14ac:dyDescent="0.25">
      <c r="A9155">
        <v>4947764</v>
      </c>
      <c r="B9155" t="s">
        <v>9700</v>
      </c>
      <c r="C9155" t="str">
        <f>"9780814472927"</f>
        <v>9780814472927</v>
      </c>
      <c r="D9155" t="str">
        <f>"9780814428863"</f>
        <v>9780814428863</v>
      </c>
      <c r="E9155" t="s">
        <v>9687</v>
      </c>
      <c r="F9155" t="s">
        <v>9687</v>
      </c>
      <c r="G9155" s="1">
        <v>38687</v>
      </c>
      <c r="H9155" s="1">
        <v>1</v>
      </c>
      <c r="I9155" t="s">
        <v>12</v>
      </c>
      <c r="J9155" t="s">
        <v>19925</v>
      </c>
    </row>
    <row r="9156" spans="1:10" x14ac:dyDescent="0.25">
      <c r="A9156">
        <v>4947765</v>
      </c>
      <c r="B9156" t="s">
        <v>9701</v>
      </c>
      <c r="C9156" t="str">
        <f>"9780814472934"</f>
        <v>9780814472934</v>
      </c>
      <c r="D9156" t="str">
        <f>"9780814428856"</f>
        <v>9780814428856</v>
      </c>
      <c r="E9156" t="s">
        <v>9687</v>
      </c>
      <c r="F9156" t="s">
        <v>9687</v>
      </c>
      <c r="G9156" s="1">
        <v>38572</v>
      </c>
      <c r="H9156" s="1">
        <v>1</v>
      </c>
      <c r="I9156" t="s">
        <v>12</v>
      </c>
      <c r="J9156" t="s">
        <v>19926</v>
      </c>
    </row>
    <row r="9157" spans="1:10" x14ac:dyDescent="0.25">
      <c r="A9157">
        <v>4947766</v>
      </c>
      <c r="B9157" t="s">
        <v>9702</v>
      </c>
      <c r="C9157" t="str">
        <f>"9780814472965"</f>
        <v>9780814472965</v>
      </c>
      <c r="D9157" t="str">
        <f>"9780814429181"</f>
        <v>9780814429181</v>
      </c>
      <c r="E9157" t="s">
        <v>9687</v>
      </c>
      <c r="F9157" t="s">
        <v>9687</v>
      </c>
      <c r="G9157" s="1">
        <v>39052</v>
      </c>
      <c r="H9157" s="1">
        <v>1</v>
      </c>
      <c r="I9157" t="s">
        <v>12</v>
      </c>
      <c r="J9157" t="s">
        <v>19927</v>
      </c>
    </row>
    <row r="9158" spans="1:10" x14ac:dyDescent="0.25">
      <c r="A9158">
        <v>4947769</v>
      </c>
      <c r="B9158" t="s">
        <v>9703</v>
      </c>
      <c r="C9158" t="str">
        <f>"9780814473146"</f>
        <v>9780814473146</v>
      </c>
      <c r="D9158" t="str">
        <f>"9780814429365"</f>
        <v>9780814429365</v>
      </c>
      <c r="E9158" t="s">
        <v>9687</v>
      </c>
      <c r="F9158" t="s">
        <v>9687</v>
      </c>
      <c r="G9158" s="1">
        <v>38929</v>
      </c>
      <c r="H9158" s="1">
        <v>1</v>
      </c>
      <c r="I9158" t="s">
        <v>12</v>
      </c>
      <c r="J9158" t="s">
        <v>19928</v>
      </c>
    </row>
    <row r="9159" spans="1:10" x14ac:dyDescent="0.25">
      <c r="A9159">
        <v>4947771</v>
      </c>
      <c r="B9159" t="s">
        <v>9704</v>
      </c>
      <c r="C9159" t="str">
        <f>"9780814474563"</f>
        <v>9780814474563</v>
      </c>
      <c r="D9159" t="str">
        <f>"9780814400555"</f>
        <v>9780814400555</v>
      </c>
      <c r="E9159" t="s">
        <v>9687</v>
      </c>
      <c r="F9159" t="s">
        <v>9687</v>
      </c>
      <c r="G9159" s="1">
        <v>39417</v>
      </c>
      <c r="H9159" s="1">
        <v>1</v>
      </c>
      <c r="I9159" t="s">
        <v>12</v>
      </c>
      <c r="J9159" t="s">
        <v>19929</v>
      </c>
    </row>
    <row r="9160" spans="1:10" x14ac:dyDescent="0.25">
      <c r="A9160">
        <v>4947772</v>
      </c>
      <c r="B9160" t="s">
        <v>9705</v>
      </c>
      <c r="C9160" t="str">
        <f>""</f>
        <v/>
      </c>
      <c r="D9160" t="str">
        <f>"9781281128065"</f>
        <v>9781281128065</v>
      </c>
      <c r="E9160" t="s">
        <v>9687</v>
      </c>
      <c r="F9160" t="s">
        <v>9687</v>
      </c>
      <c r="G9160" s="1">
        <v>39281</v>
      </c>
      <c r="H9160" s="1">
        <v>1</v>
      </c>
      <c r="I9160" t="s">
        <v>12</v>
      </c>
      <c r="J9160" t="s">
        <v>19930</v>
      </c>
    </row>
    <row r="9161" spans="1:10" x14ac:dyDescent="0.25">
      <c r="A9161">
        <v>4947773</v>
      </c>
      <c r="B9161" t="s">
        <v>9706</v>
      </c>
      <c r="C9161" t="str">
        <f>"9780814474686"</f>
        <v>9780814474686</v>
      </c>
      <c r="D9161" t="str">
        <f>"9780814400692"</f>
        <v>9780814400692</v>
      </c>
      <c r="E9161" t="s">
        <v>9687</v>
      </c>
      <c r="F9161" t="s">
        <v>9687</v>
      </c>
      <c r="G9161" s="1">
        <v>39417</v>
      </c>
      <c r="H9161" s="1">
        <v>1</v>
      </c>
      <c r="I9161" t="s">
        <v>12</v>
      </c>
      <c r="J9161" t="s">
        <v>19931</v>
      </c>
    </row>
    <row r="9162" spans="1:10" x14ac:dyDescent="0.25">
      <c r="A9162">
        <v>4947774</v>
      </c>
      <c r="B9162" t="s">
        <v>9707</v>
      </c>
      <c r="C9162" t="str">
        <f>"9780814480588"</f>
        <v>9780814480588</v>
      </c>
      <c r="D9162" t="str">
        <f>"9780814409503"</f>
        <v>9780814409503</v>
      </c>
      <c r="E9162" t="s">
        <v>9687</v>
      </c>
      <c r="F9162" t="s">
        <v>9687</v>
      </c>
      <c r="G9162" s="1">
        <v>2008</v>
      </c>
      <c r="H9162" s="1">
        <v>1</v>
      </c>
      <c r="I9162" t="s">
        <v>12</v>
      </c>
      <c r="J9162" t="s">
        <v>19932</v>
      </c>
    </row>
    <row r="9163" spans="1:10" x14ac:dyDescent="0.25">
      <c r="A9163">
        <v>4947775</v>
      </c>
      <c r="B9163" t="s">
        <v>9708</v>
      </c>
      <c r="C9163" t="str">
        <f>"9780814480601"</f>
        <v>9780814480601</v>
      </c>
      <c r="D9163" t="str">
        <f>"9780814409558"</f>
        <v>9780814409558</v>
      </c>
      <c r="E9163" t="s">
        <v>9687</v>
      </c>
      <c r="F9163" t="s">
        <v>9687</v>
      </c>
      <c r="G9163" s="1">
        <v>2008</v>
      </c>
      <c r="H9163" s="1">
        <v>1</v>
      </c>
      <c r="I9163" t="s">
        <v>12</v>
      </c>
      <c r="J9163" t="s">
        <v>19933</v>
      </c>
    </row>
    <row r="9164" spans="1:10" x14ac:dyDescent="0.25">
      <c r="A9164">
        <v>4947776</v>
      </c>
      <c r="B9164" t="s">
        <v>9709</v>
      </c>
      <c r="C9164" t="str">
        <f>"9780814480526"</f>
        <v>9780814480526</v>
      </c>
      <c r="D9164" t="str">
        <f>"9780814409688"</f>
        <v>9780814409688</v>
      </c>
      <c r="E9164" t="s">
        <v>9687</v>
      </c>
      <c r="F9164" t="s">
        <v>9687</v>
      </c>
      <c r="G9164" s="1">
        <v>2008</v>
      </c>
      <c r="H9164" s="1">
        <v>1</v>
      </c>
      <c r="I9164" t="s">
        <v>12</v>
      </c>
      <c r="J9164" t="s">
        <v>19934</v>
      </c>
    </row>
    <row r="9165" spans="1:10" x14ac:dyDescent="0.25">
      <c r="A9165">
        <v>4947777</v>
      </c>
      <c r="B9165" t="s">
        <v>9710</v>
      </c>
      <c r="C9165" t="str">
        <f>"9780814480502"</f>
        <v>9780814480502</v>
      </c>
      <c r="D9165" t="str">
        <f>"9780814409787"</f>
        <v>9780814409787</v>
      </c>
      <c r="E9165" t="s">
        <v>9687</v>
      </c>
      <c r="F9165" t="s">
        <v>9687</v>
      </c>
      <c r="G9165" s="1">
        <v>2008</v>
      </c>
      <c r="H9165" s="1">
        <v>1</v>
      </c>
      <c r="I9165" t="s">
        <v>12</v>
      </c>
      <c r="J9165" t="s">
        <v>19935</v>
      </c>
    </row>
    <row r="9166" spans="1:10" x14ac:dyDescent="0.25">
      <c r="A9166">
        <v>4947778</v>
      </c>
      <c r="B9166" t="s">
        <v>9711</v>
      </c>
      <c r="C9166" t="str">
        <f>"9780814409107"</f>
        <v>9780814409107</v>
      </c>
      <c r="D9166" t="str">
        <f>"9780814400647"</f>
        <v>9780814400647</v>
      </c>
      <c r="E9166" t="s">
        <v>9687</v>
      </c>
      <c r="F9166" t="s">
        <v>9687</v>
      </c>
      <c r="G9166" s="1">
        <v>39448</v>
      </c>
      <c r="H9166" s="1">
        <v>1</v>
      </c>
      <c r="I9166" t="s">
        <v>12</v>
      </c>
      <c r="J9166" t="s">
        <v>19936</v>
      </c>
    </row>
    <row r="9167" spans="1:10" x14ac:dyDescent="0.25">
      <c r="A9167">
        <v>4947779</v>
      </c>
      <c r="B9167" t="s">
        <v>9712</v>
      </c>
      <c r="C9167" t="str">
        <f>"9780814409176"</f>
        <v>9780814409176</v>
      </c>
      <c r="D9167" t="str">
        <f>"9780814409633"</f>
        <v>9780814409633</v>
      </c>
      <c r="E9167" t="s">
        <v>9687</v>
      </c>
      <c r="F9167" t="s">
        <v>9687</v>
      </c>
      <c r="G9167" s="1">
        <v>2008</v>
      </c>
      <c r="H9167" s="1">
        <v>1</v>
      </c>
      <c r="I9167" t="s">
        <v>12</v>
      </c>
      <c r="J9167" t="s">
        <v>19937</v>
      </c>
    </row>
    <row r="9168" spans="1:10" x14ac:dyDescent="0.25">
      <c r="A9168">
        <v>4947781</v>
      </c>
      <c r="B9168" t="s">
        <v>9713</v>
      </c>
      <c r="C9168" t="str">
        <f>"9780814409220"</f>
        <v>9780814409220</v>
      </c>
      <c r="D9168" t="str">
        <f>"9780814409671"</f>
        <v>9780814409671</v>
      </c>
      <c r="E9168" t="s">
        <v>9687</v>
      </c>
      <c r="F9168" t="s">
        <v>9687</v>
      </c>
      <c r="G9168" s="1">
        <v>2008</v>
      </c>
      <c r="H9168" s="1">
        <v>1</v>
      </c>
      <c r="I9168" t="s">
        <v>12</v>
      </c>
      <c r="J9168" t="s">
        <v>19938</v>
      </c>
    </row>
    <row r="9169" spans="1:10" x14ac:dyDescent="0.25">
      <c r="A9169">
        <v>4947782</v>
      </c>
      <c r="B9169" t="s">
        <v>9714</v>
      </c>
      <c r="C9169" t="str">
        <f>"9780814409251"</f>
        <v>9780814409251</v>
      </c>
      <c r="D9169" t="str">
        <f>"9780814409572"</f>
        <v>9780814409572</v>
      </c>
      <c r="E9169" t="s">
        <v>9687</v>
      </c>
      <c r="F9169" t="s">
        <v>9687</v>
      </c>
      <c r="G9169" s="1">
        <v>2008</v>
      </c>
      <c r="H9169" s="1">
        <v>1</v>
      </c>
      <c r="I9169" t="s">
        <v>12</v>
      </c>
      <c r="J9169" t="s">
        <v>19939</v>
      </c>
    </row>
    <row r="9170" spans="1:10" x14ac:dyDescent="0.25">
      <c r="A9170">
        <v>4947783</v>
      </c>
      <c r="B9170" t="s">
        <v>9715</v>
      </c>
      <c r="C9170" t="str">
        <f>"9780814409275"</f>
        <v>9780814409275</v>
      </c>
      <c r="D9170" t="str">
        <f>"9780814409596"</f>
        <v>9780814409596</v>
      </c>
      <c r="E9170" t="s">
        <v>9687</v>
      </c>
      <c r="F9170" t="s">
        <v>9687</v>
      </c>
      <c r="G9170" s="1">
        <v>39783</v>
      </c>
      <c r="H9170" s="1">
        <v>1</v>
      </c>
      <c r="I9170" t="s">
        <v>12</v>
      </c>
      <c r="J9170" t="s">
        <v>19940</v>
      </c>
    </row>
    <row r="9171" spans="1:10" x14ac:dyDescent="0.25">
      <c r="A9171">
        <v>4947785</v>
      </c>
      <c r="B9171" t="s">
        <v>9716</v>
      </c>
      <c r="C9171" t="str">
        <f>"9780814473214"</f>
        <v>9780814473214</v>
      </c>
      <c r="D9171" t="str">
        <f>"9780814429198"</f>
        <v>9780814429198</v>
      </c>
      <c r="E9171" t="s">
        <v>9687</v>
      </c>
      <c r="F9171" t="s">
        <v>9687</v>
      </c>
      <c r="G9171" s="1">
        <v>39052</v>
      </c>
      <c r="H9171" s="1">
        <v>1</v>
      </c>
      <c r="I9171" t="s">
        <v>12</v>
      </c>
      <c r="J9171" t="s">
        <v>19941</v>
      </c>
    </row>
    <row r="9172" spans="1:10" x14ac:dyDescent="0.25">
      <c r="A9172">
        <v>4947786</v>
      </c>
      <c r="B9172" t="s">
        <v>9717</v>
      </c>
      <c r="C9172" t="str">
        <f>"9780814473344"</f>
        <v>9780814473344</v>
      </c>
      <c r="D9172" t="str">
        <f>"9780814429358"</f>
        <v>9780814429358</v>
      </c>
      <c r="E9172" t="s">
        <v>9687</v>
      </c>
      <c r="F9172" t="s">
        <v>9687</v>
      </c>
      <c r="G9172" s="1">
        <v>38737</v>
      </c>
      <c r="H9172" s="1">
        <v>1</v>
      </c>
      <c r="I9172" t="s">
        <v>12</v>
      </c>
      <c r="J9172" t="s">
        <v>19942</v>
      </c>
    </row>
    <row r="9173" spans="1:10" x14ac:dyDescent="0.25">
      <c r="A9173">
        <v>4947788</v>
      </c>
      <c r="B9173" t="s">
        <v>9718</v>
      </c>
      <c r="C9173" t="str">
        <f>"9780814473580"</f>
        <v>9780814473580</v>
      </c>
      <c r="D9173" t="str">
        <f>"9780814429440"</f>
        <v>9780814429440</v>
      </c>
      <c r="E9173" t="s">
        <v>9687</v>
      </c>
      <c r="F9173" t="s">
        <v>9687</v>
      </c>
      <c r="G9173" s="1">
        <v>38903</v>
      </c>
      <c r="H9173" s="1">
        <v>1</v>
      </c>
      <c r="I9173" t="s">
        <v>12</v>
      </c>
      <c r="J9173" t="s">
        <v>19943</v>
      </c>
    </row>
    <row r="9174" spans="1:10" x14ac:dyDescent="0.25">
      <c r="A9174">
        <v>4947789</v>
      </c>
      <c r="B9174" t="s">
        <v>9719</v>
      </c>
      <c r="C9174" t="str">
        <f>"9780814473399"</f>
        <v>9780814473399</v>
      </c>
      <c r="D9174" t="str">
        <f>"9780814429471"</f>
        <v>9780814429471</v>
      </c>
      <c r="E9174" t="s">
        <v>9687</v>
      </c>
      <c r="F9174" t="s">
        <v>9687</v>
      </c>
      <c r="G9174" s="1">
        <v>38817</v>
      </c>
      <c r="H9174" s="1">
        <v>1</v>
      </c>
      <c r="I9174" t="s">
        <v>12</v>
      </c>
      <c r="J9174" t="s">
        <v>19944</v>
      </c>
    </row>
    <row r="9175" spans="1:10" x14ac:dyDescent="0.25">
      <c r="A9175">
        <v>4947790</v>
      </c>
      <c r="B9175" t="s">
        <v>9720</v>
      </c>
      <c r="C9175" t="str">
        <f>"9780814473498"</f>
        <v>9780814473498</v>
      </c>
      <c r="D9175" t="str">
        <f>"9780814429556"</f>
        <v>9780814429556</v>
      </c>
      <c r="E9175" t="s">
        <v>9687</v>
      </c>
      <c r="F9175" t="s">
        <v>9687</v>
      </c>
      <c r="G9175" s="1">
        <v>41773</v>
      </c>
      <c r="H9175" s="1">
        <v>1</v>
      </c>
      <c r="I9175" t="s">
        <v>12</v>
      </c>
      <c r="J9175" t="s">
        <v>19945</v>
      </c>
    </row>
    <row r="9176" spans="1:10" x14ac:dyDescent="0.25">
      <c r="A9176">
        <v>4947792</v>
      </c>
      <c r="B9176" t="s">
        <v>9721</v>
      </c>
      <c r="C9176" t="str">
        <f>"9780814473160"</f>
        <v>9780814473160</v>
      </c>
      <c r="D9176" t="str">
        <f>"9780814429600"</f>
        <v>9780814429600</v>
      </c>
      <c r="E9176" t="s">
        <v>9687</v>
      </c>
      <c r="F9176" t="s">
        <v>9687</v>
      </c>
      <c r="G9176" s="1">
        <v>38817</v>
      </c>
      <c r="H9176" s="1">
        <v>1</v>
      </c>
      <c r="I9176" t="s">
        <v>12</v>
      </c>
      <c r="J9176" t="s">
        <v>19946</v>
      </c>
    </row>
    <row r="9177" spans="1:10" x14ac:dyDescent="0.25">
      <c r="A9177">
        <v>4947794</v>
      </c>
      <c r="B9177" t="s">
        <v>9722</v>
      </c>
      <c r="C9177" t="str">
        <f>"9780814473252"</f>
        <v>9780814473252</v>
      </c>
      <c r="D9177" t="str">
        <f>"9780814429655"</f>
        <v>9780814429655</v>
      </c>
      <c r="E9177" t="s">
        <v>9687</v>
      </c>
      <c r="F9177" t="s">
        <v>9687</v>
      </c>
      <c r="G9177" s="1">
        <v>39052</v>
      </c>
      <c r="H9177" s="1">
        <v>1</v>
      </c>
      <c r="I9177" t="s">
        <v>12</v>
      </c>
      <c r="J9177" t="s">
        <v>19947</v>
      </c>
    </row>
    <row r="9178" spans="1:10" x14ac:dyDescent="0.25">
      <c r="A9178">
        <v>4947796</v>
      </c>
      <c r="B9178" t="s">
        <v>9723</v>
      </c>
      <c r="C9178" t="str">
        <f>"9780814473948"</f>
        <v>9780814473948</v>
      </c>
      <c r="D9178" t="str">
        <f>"9780814430088"</f>
        <v>9780814430088</v>
      </c>
      <c r="E9178" t="s">
        <v>9687</v>
      </c>
      <c r="F9178" t="s">
        <v>9687</v>
      </c>
      <c r="G9178" s="1">
        <v>39083</v>
      </c>
      <c r="H9178" s="1">
        <v>1</v>
      </c>
      <c r="I9178" t="s">
        <v>12</v>
      </c>
      <c r="J9178" t="s">
        <v>19948</v>
      </c>
    </row>
    <row r="9179" spans="1:10" x14ac:dyDescent="0.25">
      <c r="A9179">
        <v>4947797</v>
      </c>
      <c r="B9179" t="s">
        <v>9724</v>
      </c>
      <c r="C9179" t="str">
        <f>"9780814473856"</f>
        <v>9780814473856</v>
      </c>
      <c r="D9179" t="str">
        <f>"9780814430101"</f>
        <v>9780814430101</v>
      </c>
      <c r="E9179" t="s">
        <v>9687</v>
      </c>
      <c r="F9179" t="s">
        <v>9687</v>
      </c>
      <c r="G9179" s="1">
        <v>39417</v>
      </c>
      <c r="H9179" s="1">
        <v>1</v>
      </c>
      <c r="I9179" t="s">
        <v>12</v>
      </c>
      <c r="J9179" t="s">
        <v>19949</v>
      </c>
    </row>
    <row r="9180" spans="1:10" x14ac:dyDescent="0.25">
      <c r="A9180">
        <v>4947799</v>
      </c>
      <c r="B9180" t="s">
        <v>9725</v>
      </c>
      <c r="C9180" t="str">
        <f>"9780814474242"</f>
        <v>9780814474242</v>
      </c>
      <c r="D9180" t="str">
        <f>"9780814409565"</f>
        <v>9780814409565</v>
      </c>
      <c r="E9180" t="s">
        <v>9687</v>
      </c>
      <c r="F9180" t="s">
        <v>9687</v>
      </c>
      <c r="G9180" s="1">
        <v>2008</v>
      </c>
      <c r="H9180" s="1">
        <v>1</v>
      </c>
      <c r="I9180" t="s">
        <v>12</v>
      </c>
      <c r="J9180" t="s">
        <v>19950</v>
      </c>
    </row>
    <row r="9181" spans="1:10" x14ac:dyDescent="0.25">
      <c r="A9181">
        <v>4947800</v>
      </c>
      <c r="B9181" t="s">
        <v>9726</v>
      </c>
      <c r="C9181" t="str">
        <f>"9780814474402"</f>
        <v>9780814474402</v>
      </c>
      <c r="D9181" t="str">
        <f>"9780814409497"</f>
        <v>9780814409497</v>
      </c>
      <c r="E9181" t="s">
        <v>9687</v>
      </c>
      <c r="F9181" t="s">
        <v>9687</v>
      </c>
      <c r="G9181" s="1">
        <v>39629</v>
      </c>
      <c r="H9181" s="1">
        <v>43473</v>
      </c>
      <c r="I9181" t="s">
        <v>12</v>
      </c>
      <c r="J9181" t="s">
        <v>19951</v>
      </c>
    </row>
    <row r="9182" spans="1:10" x14ac:dyDescent="0.25">
      <c r="A9182">
        <v>4947801</v>
      </c>
      <c r="B9182" t="s">
        <v>9727</v>
      </c>
      <c r="C9182" t="str">
        <f>"9780814474396"</f>
        <v>9780814474396</v>
      </c>
      <c r="D9182" t="str">
        <f>"9780814409657"</f>
        <v>9780814409657</v>
      </c>
      <c r="E9182" t="s">
        <v>9687</v>
      </c>
      <c r="F9182" t="s">
        <v>9687</v>
      </c>
      <c r="G9182" s="1">
        <v>39417</v>
      </c>
      <c r="H9182" s="1">
        <v>1</v>
      </c>
      <c r="I9182" t="s">
        <v>12</v>
      </c>
      <c r="J9182" t="s">
        <v>19952</v>
      </c>
    </row>
    <row r="9183" spans="1:10" x14ac:dyDescent="0.25">
      <c r="A9183">
        <v>4947802</v>
      </c>
      <c r="B9183" t="s">
        <v>9728</v>
      </c>
      <c r="C9183" t="str">
        <f>"9780814474358"</f>
        <v>9780814474358</v>
      </c>
      <c r="D9183" t="str">
        <f>"9780814409701"</f>
        <v>9780814409701</v>
      </c>
      <c r="E9183" t="s">
        <v>9687</v>
      </c>
      <c r="F9183" t="s">
        <v>9687</v>
      </c>
      <c r="G9183" s="1">
        <v>2008</v>
      </c>
      <c r="H9183" s="1">
        <v>1</v>
      </c>
      <c r="I9183" t="s">
        <v>12</v>
      </c>
      <c r="J9183" t="s">
        <v>19953</v>
      </c>
    </row>
    <row r="9184" spans="1:10" x14ac:dyDescent="0.25">
      <c r="A9184">
        <v>4947804</v>
      </c>
      <c r="B9184" t="s">
        <v>9729</v>
      </c>
      <c r="C9184" t="str">
        <f>"9780814474747"</f>
        <v>9780814474747</v>
      </c>
      <c r="D9184" t="str">
        <f>"9780814428986"</f>
        <v>9780814428986</v>
      </c>
      <c r="E9184" t="s">
        <v>9687</v>
      </c>
      <c r="F9184" t="s">
        <v>9687</v>
      </c>
      <c r="G9184" s="1">
        <v>38737</v>
      </c>
      <c r="H9184" s="1">
        <v>1</v>
      </c>
      <c r="I9184" t="s">
        <v>12</v>
      </c>
      <c r="J9184" t="s">
        <v>19954</v>
      </c>
    </row>
    <row r="9185" spans="1:10" x14ac:dyDescent="0.25">
      <c r="A9185">
        <v>4947806</v>
      </c>
      <c r="B9185" t="s">
        <v>9730</v>
      </c>
      <c r="C9185" t="str">
        <f>""</f>
        <v/>
      </c>
      <c r="D9185" t="str">
        <f>"9781281770240"</f>
        <v>9781281770240</v>
      </c>
      <c r="E9185" t="s">
        <v>9687</v>
      </c>
      <c r="F9185" t="s">
        <v>9687</v>
      </c>
      <c r="G9185" s="1">
        <v>37622</v>
      </c>
      <c r="H9185" s="1">
        <v>1</v>
      </c>
      <c r="I9185" t="s">
        <v>12</v>
      </c>
      <c r="J9185" t="s">
        <v>19955</v>
      </c>
    </row>
    <row r="9186" spans="1:10" x14ac:dyDescent="0.25">
      <c r="A9186">
        <v>4947807</v>
      </c>
      <c r="B9186" t="s">
        <v>9731</v>
      </c>
      <c r="C9186" t="str">
        <f>"9780814407363"</f>
        <v>9780814407363</v>
      </c>
      <c r="D9186" t="str">
        <f>"9780814426807"</f>
        <v>9780814426807</v>
      </c>
      <c r="E9186" t="s">
        <v>9687</v>
      </c>
      <c r="F9186" t="s">
        <v>9687</v>
      </c>
      <c r="G9186" s="1">
        <v>39448</v>
      </c>
      <c r="H9186" s="1">
        <v>1</v>
      </c>
      <c r="I9186" t="s">
        <v>12</v>
      </c>
      <c r="J9186" t="s">
        <v>19956</v>
      </c>
    </row>
    <row r="9187" spans="1:10" x14ac:dyDescent="0.25">
      <c r="A9187">
        <v>4947808</v>
      </c>
      <c r="B9187" t="s">
        <v>9732</v>
      </c>
      <c r="C9187" t="str">
        <f>"9780814407097"</f>
        <v>9780814407097</v>
      </c>
      <c r="D9187" t="str">
        <f>"9780814427262"</f>
        <v>9780814427262</v>
      </c>
      <c r="E9187" t="s">
        <v>9687</v>
      </c>
      <c r="F9187" t="s">
        <v>9687</v>
      </c>
      <c r="G9187" s="1">
        <v>39448</v>
      </c>
      <c r="H9187" s="1">
        <v>1</v>
      </c>
      <c r="I9187" t="s">
        <v>12</v>
      </c>
      <c r="J9187" t="s">
        <v>19957</v>
      </c>
    </row>
    <row r="9188" spans="1:10" x14ac:dyDescent="0.25">
      <c r="A9188">
        <v>4947809</v>
      </c>
      <c r="B9188" t="s">
        <v>9733</v>
      </c>
      <c r="C9188" t="str">
        <f>"9780814471562"</f>
        <v>9780814471562</v>
      </c>
      <c r="D9188" t="str">
        <f>"9780814426548"</f>
        <v>9780814426548</v>
      </c>
      <c r="E9188" t="s">
        <v>9687</v>
      </c>
      <c r="F9188" t="s">
        <v>9687</v>
      </c>
      <c r="G9188" s="1">
        <v>37591</v>
      </c>
      <c r="H9188" s="1">
        <v>1</v>
      </c>
      <c r="I9188" t="s">
        <v>12</v>
      </c>
      <c r="J9188" t="s">
        <v>19958</v>
      </c>
    </row>
    <row r="9189" spans="1:10" x14ac:dyDescent="0.25">
      <c r="A9189">
        <v>4947810</v>
      </c>
      <c r="B9189" t="s">
        <v>9734</v>
      </c>
      <c r="C9189" t="str">
        <f>"9780814406946"</f>
        <v>9780814406946</v>
      </c>
      <c r="D9189" t="str">
        <f>"9780814426609"</f>
        <v>9780814426609</v>
      </c>
      <c r="E9189" t="s">
        <v>9687</v>
      </c>
      <c r="F9189" t="s">
        <v>9687</v>
      </c>
      <c r="G9189" s="1">
        <v>37591</v>
      </c>
      <c r="H9189" s="1">
        <v>1</v>
      </c>
      <c r="I9189" t="s">
        <v>12</v>
      </c>
      <c r="J9189" t="s">
        <v>19959</v>
      </c>
    </row>
    <row r="9190" spans="1:10" x14ac:dyDescent="0.25">
      <c r="A9190">
        <v>4947815</v>
      </c>
      <c r="B9190" t="s">
        <v>9735</v>
      </c>
      <c r="C9190" t="str">
        <f>""</f>
        <v/>
      </c>
      <c r="D9190" t="str">
        <f>"9781281271457"</f>
        <v>9781281271457</v>
      </c>
      <c r="E9190" t="s">
        <v>9687</v>
      </c>
      <c r="F9190" t="s">
        <v>9687</v>
      </c>
      <c r="G9190" s="1">
        <v>39519</v>
      </c>
      <c r="H9190" s="1">
        <v>1</v>
      </c>
      <c r="I9190" t="s">
        <v>12</v>
      </c>
      <c r="J9190" t="s">
        <v>19960</v>
      </c>
    </row>
    <row r="9191" spans="1:10" x14ac:dyDescent="0.25">
      <c r="A9191">
        <v>4947818</v>
      </c>
      <c r="B9191" t="s">
        <v>9736</v>
      </c>
      <c r="C9191" t="str">
        <f>"9780814473924"</f>
        <v>9780814473924</v>
      </c>
      <c r="D9191" t="str">
        <f>"9780814400821"</f>
        <v>9780814400821</v>
      </c>
      <c r="E9191" t="s">
        <v>9687</v>
      </c>
      <c r="F9191" t="s">
        <v>1080</v>
      </c>
      <c r="G9191" s="1">
        <v>39626</v>
      </c>
      <c r="H9191" s="1">
        <v>1</v>
      </c>
      <c r="I9191" t="s">
        <v>12</v>
      </c>
      <c r="J9191" t="s">
        <v>19961</v>
      </c>
    </row>
    <row r="9192" spans="1:10" x14ac:dyDescent="0.25">
      <c r="A9192">
        <v>4948000</v>
      </c>
      <c r="B9192" t="s">
        <v>9737</v>
      </c>
      <c r="C9192" t="str">
        <f>"9781416600732"</f>
        <v>9781416600732</v>
      </c>
      <c r="D9192" t="str">
        <f>"9781280930782"</f>
        <v>9781280930782</v>
      </c>
      <c r="E9192" t="s">
        <v>2492</v>
      </c>
      <c r="F9192" t="s">
        <v>9738</v>
      </c>
      <c r="G9192" s="1">
        <v>36892</v>
      </c>
      <c r="H9192" s="1">
        <v>1</v>
      </c>
      <c r="I9192" t="s">
        <v>12</v>
      </c>
      <c r="J9192" t="s">
        <v>19962</v>
      </c>
    </row>
    <row r="9193" spans="1:10" x14ac:dyDescent="0.25">
      <c r="A9193">
        <v>4948027</v>
      </c>
      <c r="B9193" t="s">
        <v>9739</v>
      </c>
      <c r="C9193" t="str">
        <f>"9781416601234"</f>
        <v>9781416601234</v>
      </c>
      <c r="D9193" t="str">
        <f>"9781280931277"</f>
        <v>9781280931277</v>
      </c>
      <c r="E9193" t="s">
        <v>2492</v>
      </c>
      <c r="F9193" t="s">
        <v>9738</v>
      </c>
      <c r="G9193" s="1">
        <v>37622</v>
      </c>
      <c r="H9193" s="1">
        <v>1</v>
      </c>
      <c r="I9193" t="s">
        <v>12</v>
      </c>
      <c r="J9193" t="s">
        <v>19963</v>
      </c>
    </row>
    <row r="9194" spans="1:10" x14ac:dyDescent="0.25">
      <c r="A9194">
        <v>4948029</v>
      </c>
      <c r="B9194" t="s">
        <v>9740</v>
      </c>
      <c r="C9194" t="str">
        <f>"9781416601357"</f>
        <v>9781416601357</v>
      </c>
      <c r="D9194" t="str">
        <f>"9780871205971"</f>
        <v>9780871205971</v>
      </c>
      <c r="E9194" t="s">
        <v>2492</v>
      </c>
      <c r="F9194" t="s">
        <v>9738</v>
      </c>
      <c r="G9194" s="1">
        <v>37240</v>
      </c>
      <c r="H9194" s="1">
        <v>1</v>
      </c>
      <c r="I9194" t="s">
        <v>12</v>
      </c>
      <c r="J9194" t="s">
        <v>19964</v>
      </c>
    </row>
    <row r="9195" spans="1:10" x14ac:dyDescent="0.25">
      <c r="A9195">
        <v>4948041</v>
      </c>
      <c r="B9195" t="s">
        <v>9741</v>
      </c>
      <c r="C9195" t="str">
        <f>"9781416602880"</f>
        <v>9781416602880</v>
      </c>
      <c r="D9195" t="str">
        <f>"9781416601524"</f>
        <v>9781416601524</v>
      </c>
      <c r="E9195" t="s">
        <v>2492</v>
      </c>
      <c r="F9195" t="s">
        <v>9738</v>
      </c>
      <c r="G9195" s="1">
        <v>38504</v>
      </c>
      <c r="H9195" s="1">
        <v>1</v>
      </c>
      <c r="I9195" t="s">
        <v>12</v>
      </c>
      <c r="J9195" t="s">
        <v>19965</v>
      </c>
    </row>
    <row r="9196" spans="1:10" x14ac:dyDescent="0.25">
      <c r="A9196">
        <v>4948042</v>
      </c>
      <c r="B9196" t="s">
        <v>9742</v>
      </c>
      <c r="C9196" t="str">
        <f>"9781416602941"</f>
        <v>9781416602941</v>
      </c>
      <c r="D9196" t="str">
        <f>"9781416601715"</f>
        <v>9781416601715</v>
      </c>
      <c r="E9196" t="s">
        <v>2492</v>
      </c>
      <c r="F9196" t="s">
        <v>9738</v>
      </c>
      <c r="G9196" s="1">
        <v>38477</v>
      </c>
      <c r="H9196" s="1">
        <v>1</v>
      </c>
      <c r="I9196" t="s">
        <v>12</v>
      </c>
      <c r="J9196" t="s">
        <v>19966</v>
      </c>
    </row>
    <row r="9197" spans="1:10" x14ac:dyDescent="0.25">
      <c r="A9197">
        <v>4948046</v>
      </c>
      <c r="B9197" t="s">
        <v>9743</v>
      </c>
      <c r="C9197" t="str">
        <f>"9781416603351"</f>
        <v>9781416603351</v>
      </c>
      <c r="D9197" t="str">
        <f>"9781416602262"</f>
        <v>9781416602262</v>
      </c>
      <c r="E9197" t="s">
        <v>2492</v>
      </c>
      <c r="F9197" t="s">
        <v>9738</v>
      </c>
      <c r="G9197" s="1">
        <v>38626</v>
      </c>
      <c r="H9197" s="1">
        <v>1</v>
      </c>
      <c r="I9197" t="s">
        <v>12</v>
      </c>
      <c r="J9197" t="s">
        <v>19967</v>
      </c>
    </row>
    <row r="9198" spans="1:10" x14ac:dyDescent="0.25">
      <c r="A9198">
        <v>4948047</v>
      </c>
      <c r="B9198" t="s">
        <v>9744</v>
      </c>
      <c r="C9198" t="str">
        <f>"9781416603863"</f>
        <v>9781416603863</v>
      </c>
      <c r="D9198" t="str">
        <f>"9781416603214"</f>
        <v>9781416603214</v>
      </c>
      <c r="E9198" t="s">
        <v>2492</v>
      </c>
      <c r="F9198" t="s">
        <v>9745</v>
      </c>
      <c r="G9198" s="1">
        <v>39142</v>
      </c>
      <c r="H9198" s="1">
        <v>1</v>
      </c>
      <c r="I9198" t="s">
        <v>12</v>
      </c>
      <c r="J9198" t="s">
        <v>19968</v>
      </c>
    </row>
    <row r="9199" spans="1:10" x14ac:dyDescent="0.25">
      <c r="A9199">
        <v>4948048</v>
      </c>
      <c r="B9199" t="s">
        <v>9746</v>
      </c>
      <c r="C9199" t="str">
        <f>"9781416603962"</f>
        <v>9781416603962</v>
      </c>
      <c r="D9199" t="str">
        <f>"9780871203595"</f>
        <v>9780871203595</v>
      </c>
      <c r="E9199" t="s">
        <v>2492</v>
      </c>
      <c r="F9199" t="s">
        <v>9738</v>
      </c>
      <c r="G9199" s="1">
        <v>36509</v>
      </c>
      <c r="H9199" s="1">
        <v>1</v>
      </c>
      <c r="I9199" t="s">
        <v>12</v>
      </c>
      <c r="J9199" t="s">
        <v>19969</v>
      </c>
    </row>
    <row r="9200" spans="1:10" x14ac:dyDescent="0.25">
      <c r="A9200">
        <v>4948050</v>
      </c>
      <c r="B9200" t="s">
        <v>9747</v>
      </c>
      <c r="C9200" t="str">
        <f>""</f>
        <v/>
      </c>
      <c r="D9200" t="str">
        <f>"9781281239037"</f>
        <v>9781281239037</v>
      </c>
      <c r="E9200" t="s">
        <v>2492</v>
      </c>
      <c r="F9200" t="s">
        <v>9745</v>
      </c>
      <c r="G9200" s="1">
        <v>39278</v>
      </c>
      <c r="H9200" s="1">
        <v>1</v>
      </c>
      <c r="I9200" t="s">
        <v>12</v>
      </c>
      <c r="J9200" t="s">
        <v>19970</v>
      </c>
    </row>
    <row r="9201" spans="1:10" x14ac:dyDescent="0.25">
      <c r="A9201">
        <v>4949270</v>
      </c>
      <c r="B9201" t="s">
        <v>9748</v>
      </c>
      <c r="C9201" t="str">
        <f>""</f>
        <v/>
      </c>
      <c r="D9201" t="str">
        <f>"9780865165731"</f>
        <v>9780865165731</v>
      </c>
      <c r="E9201" t="s">
        <v>9749</v>
      </c>
      <c r="F9201" t="s">
        <v>9749</v>
      </c>
      <c r="G9201" s="1">
        <v>39083</v>
      </c>
      <c r="H9201" s="1">
        <v>1</v>
      </c>
      <c r="I9201" t="s">
        <v>12</v>
      </c>
      <c r="J9201" t="s">
        <v>19971</v>
      </c>
    </row>
    <row r="9202" spans="1:10" x14ac:dyDescent="0.25">
      <c r="A9202">
        <v>4949272</v>
      </c>
      <c r="B9202" t="s">
        <v>9750</v>
      </c>
      <c r="C9202" t="str">
        <f>""</f>
        <v/>
      </c>
      <c r="D9202" t="str">
        <f>"9780865165960"</f>
        <v>9780865165960</v>
      </c>
      <c r="E9202" t="s">
        <v>9749</v>
      </c>
      <c r="F9202" t="s">
        <v>9749</v>
      </c>
      <c r="G9202" s="1">
        <v>38443</v>
      </c>
      <c r="H9202" s="1">
        <v>1</v>
      </c>
      <c r="I9202" t="s">
        <v>12</v>
      </c>
      <c r="J9202" t="s">
        <v>19972</v>
      </c>
    </row>
    <row r="9203" spans="1:10" x14ac:dyDescent="0.25">
      <c r="A9203">
        <v>4949275</v>
      </c>
      <c r="B9203" t="s">
        <v>9751</v>
      </c>
      <c r="C9203" t="str">
        <f>""</f>
        <v/>
      </c>
      <c r="D9203" t="str">
        <f>"9780865166189"</f>
        <v>9780865166189</v>
      </c>
      <c r="E9203" t="s">
        <v>9749</v>
      </c>
      <c r="F9203" t="s">
        <v>9749</v>
      </c>
      <c r="G9203" s="1">
        <v>38818</v>
      </c>
      <c r="H9203" s="1">
        <v>1</v>
      </c>
      <c r="I9203" t="s">
        <v>12</v>
      </c>
      <c r="J9203" t="s">
        <v>19973</v>
      </c>
    </row>
    <row r="9204" spans="1:10" x14ac:dyDescent="0.25">
      <c r="A9204">
        <v>4949278</v>
      </c>
      <c r="B9204" t="s">
        <v>9752</v>
      </c>
      <c r="C9204" t="str">
        <f>""</f>
        <v/>
      </c>
      <c r="D9204" t="str">
        <f>"9780865166332"</f>
        <v>9780865166332</v>
      </c>
      <c r="E9204" t="s">
        <v>9749</v>
      </c>
      <c r="F9204" t="s">
        <v>9749</v>
      </c>
      <c r="G9204" s="1">
        <v>39289</v>
      </c>
      <c r="H9204" s="1">
        <v>1</v>
      </c>
      <c r="I9204" t="s">
        <v>12</v>
      </c>
      <c r="J9204" t="s">
        <v>19974</v>
      </c>
    </row>
    <row r="9205" spans="1:10" x14ac:dyDescent="0.25">
      <c r="A9205">
        <v>4949305</v>
      </c>
      <c r="B9205" t="s">
        <v>9753</v>
      </c>
      <c r="C9205" t="str">
        <f>""</f>
        <v/>
      </c>
      <c r="D9205" t="str">
        <f>"9780865166257"</f>
        <v>9780865166257</v>
      </c>
      <c r="E9205" t="s">
        <v>9749</v>
      </c>
      <c r="F9205" t="s">
        <v>9749</v>
      </c>
      <c r="G9205" s="1">
        <v>38899</v>
      </c>
      <c r="H9205" s="1">
        <v>1</v>
      </c>
      <c r="I9205" t="s">
        <v>12</v>
      </c>
      <c r="J9205" t="s">
        <v>19975</v>
      </c>
    </row>
    <row r="9206" spans="1:10" x14ac:dyDescent="0.25">
      <c r="A9206">
        <v>4949308</v>
      </c>
      <c r="B9206" t="s">
        <v>9754</v>
      </c>
      <c r="C9206" t="str">
        <f>""</f>
        <v/>
      </c>
      <c r="D9206" t="str">
        <f>"9780865166042"</f>
        <v>9780865166042</v>
      </c>
      <c r="E9206" t="s">
        <v>9749</v>
      </c>
      <c r="F9206" t="s">
        <v>9749</v>
      </c>
      <c r="G9206" s="1">
        <v>39539</v>
      </c>
      <c r="H9206" s="1">
        <v>1</v>
      </c>
      <c r="I9206" t="s">
        <v>12</v>
      </c>
      <c r="J9206" t="s">
        <v>19976</v>
      </c>
    </row>
    <row r="9207" spans="1:10" x14ac:dyDescent="0.25">
      <c r="A9207">
        <v>4949457</v>
      </c>
      <c r="B9207" t="s">
        <v>9755</v>
      </c>
      <c r="C9207" t="str">
        <f>""</f>
        <v/>
      </c>
      <c r="D9207" t="str">
        <f>"9781905246502"</f>
        <v>9781905246502</v>
      </c>
      <c r="E9207" t="s">
        <v>9756</v>
      </c>
      <c r="F9207" t="s">
        <v>1447</v>
      </c>
      <c r="G9207" s="1">
        <v>39448</v>
      </c>
      <c r="H9207" s="1">
        <v>1</v>
      </c>
      <c r="I9207" t="s">
        <v>12</v>
      </c>
      <c r="J9207" t="s">
        <v>19977</v>
      </c>
    </row>
    <row r="9208" spans="1:10" x14ac:dyDescent="0.25">
      <c r="A9208">
        <v>4949460</v>
      </c>
      <c r="B9208" t="s">
        <v>9757</v>
      </c>
      <c r="C9208" t="str">
        <f>"9789004153615"</f>
        <v>9789004153615</v>
      </c>
      <c r="D9208" t="str">
        <f>"9789047410867"</f>
        <v>9789047410867</v>
      </c>
      <c r="E9208" t="s">
        <v>9756</v>
      </c>
      <c r="F9208" t="s">
        <v>1447</v>
      </c>
      <c r="G9208" s="1">
        <v>41773</v>
      </c>
      <c r="H9208" s="1">
        <v>1</v>
      </c>
      <c r="I9208" t="s">
        <v>12</v>
      </c>
      <c r="J9208" t="s">
        <v>19978</v>
      </c>
    </row>
    <row r="9209" spans="1:10" x14ac:dyDescent="0.25">
      <c r="A9209">
        <v>4949497</v>
      </c>
      <c r="B9209" t="s">
        <v>9758</v>
      </c>
      <c r="C9209" t="str">
        <f>""</f>
        <v/>
      </c>
      <c r="D9209" t="str">
        <f>"9781845932473"</f>
        <v>9781845932473</v>
      </c>
      <c r="E9209" t="s">
        <v>2878</v>
      </c>
      <c r="F9209" t="s">
        <v>2878</v>
      </c>
      <c r="G9209" s="1">
        <v>39212</v>
      </c>
      <c r="H9209" s="1">
        <v>1</v>
      </c>
      <c r="I9209" t="s">
        <v>12</v>
      </c>
      <c r="J9209" t="s">
        <v>19979</v>
      </c>
    </row>
    <row r="9210" spans="1:10" x14ac:dyDescent="0.25">
      <c r="A9210">
        <v>4949498</v>
      </c>
      <c r="B9210" t="s">
        <v>9759</v>
      </c>
      <c r="C9210" t="str">
        <f>""</f>
        <v/>
      </c>
      <c r="D9210" t="str">
        <f>"9780851997476"</f>
        <v>9780851997476</v>
      </c>
      <c r="E9210" t="s">
        <v>2878</v>
      </c>
      <c r="F9210" t="s">
        <v>2878</v>
      </c>
      <c r="G9210" s="1">
        <v>37990</v>
      </c>
      <c r="H9210" s="1">
        <v>1</v>
      </c>
      <c r="I9210" t="s">
        <v>12</v>
      </c>
      <c r="J9210" t="s">
        <v>19980</v>
      </c>
    </row>
    <row r="9211" spans="1:10" x14ac:dyDescent="0.25">
      <c r="A9211">
        <v>4949500</v>
      </c>
      <c r="B9211" t="s">
        <v>9760</v>
      </c>
      <c r="C9211" t="str">
        <f>""</f>
        <v/>
      </c>
      <c r="D9211" t="str">
        <f>"9780851999814"</f>
        <v>9780851999814</v>
      </c>
      <c r="E9211" t="s">
        <v>2878</v>
      </c>
      <c r="F9211" t="s">
        <v>2878</v>
      </c>
      <c r="G9211" s="1">
        <v>38308</v>
      </c>
      <c r="H9211" s="1">
        <v>1</v>
      </c>
      <c r="I9211" t="s">
        <v>12</v>
      </c>
      <c r="J9211" t="s">
        <v>19981</v>
      </c>
    </row>
    <row r="9212" spans="1:10" x14ac:dyDescent="0.25">
      <c r="A9212">
        <v>4949506</v>
      </c>
      <c r="B9212" t="s">
        <v>9761</v>
      </c>
      <c r="C9212" t="str">
        <f>""</f>
        <v/>
      </c>
      <c r="D9212" t="str">
        <f>"9781280151811"</f>
        <v>9781280151811</v>
      </c>
      <c r="E9212" t="s">
        <v>18</v>
      </c>
      <c r="F9212" t="s">
        <v>18</v>
      </c>
      <c r="G9212" s="1">
        <v>37371</v>
      </c>
      <c r="H9212" s="1">
        <v>1</v>
      </c>
      <c r="I9212" t="s">
        <v>12</v>
      </c>
      <c r="J9212" t="s">
        <v>19982</v>
      </c>
    </row>
    <row r="9213" spans="1:10" x14ac:dyDescent="0.25">
      <c r="A9213">
        <v>4949507</v>
      </c>
      <c r="B9213" t="s">
        <v>9762</v>
      </c>
      <c r="C9213" t="str">
        <f>""</f>
        <v/>
      </c>
      <c r="D9213" t="str">
        <f>"9781280153082"</f>
        <v>9781280153082</v>
      </c>
      <c r="E9213" t="s">
        <v>18</v>
      </c>
      <c r="F9213" t="s">
        <v>18</v>
      </c>
      <c r="G9213" s="1">
        <v>38498</v>
      </c>
      <c r="H9213" s="1">
        <v>1</v>
      </c>
      <c r="I9213" t="s">
        <v>12</v>
      </c>
      <c r="J9213" t="s">
        <v>19983</v>
      </c>
    </row>
    <row r="9214" spans="1:10" x14ac:dyDescent="0.25">
      <c r="A9214">
        <v>4949523</v>
      </c>
      <c r="B9214" t="s">
        <v>9763</v>
      </c>
      <c r="C9214" t="str">
        <f>""</f>
        <v/>
      </c>
      <c r="D9214" t="str">
        <f>"9781280202964"</f>
        <v>9781280202964</v>
      </c>
      <c r="E9214" t="s">
        <v>18</v>
      </c>
      <c r="F9214" t="s">
        <v>18</v>
      </c>
      <c r="G9214" s="1">
        <v>38600</v>
      </c>
      <c r="H9214" s="1">
        <v>1</v>
      </c>
      <c r="I9214" t="s">
        <v>12</v>
      </c>
      <c r="J9214" t="s">
        <v>19984</v>
      </c>
    </row>
    <row r="9215" spans="1:10" x14ac:dyDescent="0.25">
      <c r="A9215">
        <v>4949525</v>
      </c>
      <c r="B9215" t="s">
        <v>9764</v>
      </c>
      <c r="C9215" t="str">
        <f>""</f>
        <v/>
      </c>
      <c r="D9215" t="str">
        <f>"9781280217951"</f>
        <v>9781280217951</v>
      </c>
      <c r="E9215" t="s">
        <v>18</v>
      </c>
      <c r="F9215" t="s">
        <v>18</v>
      </c>
      <c r="G9215" s="1">
        <v>38664</v>
      </c>
      <c r="H9215" s="1">
        <v>1</v>
      </c>
      <c r="I9215" t="s">
        <v>12</v>
      </c>
      <c r="J9215" t="s">
        <v>19985</v>
      </c>
    </row>
    <row r="9216" spans="1:10" x14ac:dyDescent="0.25">
      <c r="A9216">
        <v>4949555</v>
      </c>
      <c r="B9216" t="s">
        <v>9765</v>
      </c>
      <c r="C9216" t="str">
        <f>""</f>
        <v/>
      </c>
      <c r="D9216" t="str">
        <f>"9781280414985"</f>
        <v>9781280414985</v>
      </c>
      <c r="E9216" t="s">
        <v>18</v>
      </c>
      <c r="F9216" t="s">
        <v>18</v>
      </c>
      <c r="G9216" s="1">
        <v>38743</v>
      </c>
      <c r="H9216" s="1">
        <v>1</v>
      </c>
      <c r="I9216" t="s">
        <v>12</v>
      </c>
      <c r="J9216" t="s">
        <v>19986</v>
      </c>
    </row>
    <row r="9217" spans="1:10" x14ac:dyDescent="0.25">
      <c r="A9217">
        <v>4949558</v>
      </c>
      <c r="B9217" t="s">
        <v>9766</v>
      </c>
      <c r="C9217" t="str">
        <f>""</f>
        <v/>
      </c>
      <c r="D9217" t="str">
        <f>"9781280415043"</f>
        <v>9781280415043</v>
      </c>
      <c r="E9217" t="s">
        <v>18</v>
      </c>
      <c r="F9217" t="s">
        <v>18</v>
      </c>
      <c r="G9217" s="1">
        <v>38353</v>
      </c>
      <c r="H9217" s="1">
        <v>1</v>
      </c>
      <c r="I9217" t="s">
        <v>12</v>
      </c>
      <c r="J9217" t="s">
        <v>19987</v>
      </c>
    </row>
    <row r="9218" spans="1:10" x14ac:dyDescent="0.25">
      <c r="A9218">
        <v>4949614</v>
      </c>
      <c r="B9218" t="s">
        <v>9767</v>
      </c>
      <c r="C9218" t="str">
        <f>""</f>
        <v/>
      </c>
      <c r="D9218" t="str">
        <f>"9781280434730"</f>
        <v>9781280434730</v>
      </c>
      <c r="E9218" t="s">
        <v>18</v>
      </c>
      <c r="F9218" t="s">
        <v>18</v>
      </c>
      <c r="G9218" s="1">
        <v>38460</v>
      </c>
      <c r="H9218" s="1">
        <v>1</v>
      </c>
      <c r="I9218" t="s">
        <v>12</v>
      </c>
      <c r="J9218" t="s">
        <v>19988</v>
      </c>
    </row>
    <row r="9219" spans="1:10" x14ac:dyDescent="0.25">
      <c r="A9219">
        <v>4949616</v>
      </c>
      <c r="B9219" t="s">
        <v>9768</v>
      </c>
      <c r="C9219" t="str">
        <f>""</f>
        <v/>
      </c>
      <c r="D9219" t="str">
        <f>"9781280449352"</f>
        <v>9781280449352</v>
      </c>
      <c r="E9219" t="s">
        <v>18</v>
      </c>
      <c r="F9219" t="s">
        <v>18</v>
      </c>
      <c r="G9219" s="1">
        <v>38837</v>
      </c>
      <c r="H9219" s="1">
        <v>1</v>
      </c>
      <c r="I9219" t="s">
        <v>12</v>
      </c>
      <c r="J9219" t="s">
        <v>19989</v>
      </c>
    </row>
    <row r="9220" spans="1:10" x14ac:dyDescent="0.25">
      <c r="A9220">
        <v>4949618</v>
      </c>
      <c r="B9220" t="s">
        <v>9769</v>
      </c>
      <c r="C9220" t="str">
        <f>""</f>
        <v/>
      </c>
      <c r="D9220" t="str">
        <f>"9781280457739"</f>
        <v>9781280457739</v>
      </c>
      <c r="E9220" t="s">
        <v>18</v>
      </c>
      <c r="F9220" t="s">
        <v>18</v>
      </c>
      <c r="G9220" s="1">
        <v>38080</v>
      </c>
      <c r="H9220" s="1">
        <v>1</v>
      </c>
      <c r="I9220" t="s">
        <v>12</v>
      </c>
      <c r="J9220" t="s">
        <v>19990</v>
      </c>
    </row>
    <row r="9221" spans="1:10" x14ac:dyDescent="0.25">
      <c r="A9221">
        <v>4949626</v>
      </c>
      <c r="B9221" t="s">
        <v>9770</v>
      </c>
      <c r="C9221" t="str">
        <f>""</f>
        <v/>
      </c>
      <c r="D9221" t="str">
        <f>"9781280480157"</f>
        <v>9781280480157</v>
      </c>
      <c r="E9221" t="s">
        <v>18</v>
      </c>
      <c r="F9221" t="s">
        <v>18</v>
      </c>
      <c r="G9221" s="1">
        <v>38929</v>
      </c>
      <c r="H9221" s="1">
        <v>1</v>
      </c>
      <c r="I9221" t="s">
        <v>12</v>
      </c>
      <c r="J9221" t="s">
        <v>19991</v>
      </c>
    </row>
    <row r="9222" spans="1:10" x14ac:dyDescent="0.25">
      <c r="A9222">
        <v>4949629</v>
      </c>
      <c r="B9222" t="s">
        <v>9771</v>
      </c>
      <c r="C9222" t="str">
        <f>""</f>
        <v/>
      </c>
      <c r="D9222" t="str">
        <f>"9781280541360"</f>
        <v>9781280541360</v>
      </c>
      <c r="E9222" t="s">
        <v>18</v>
      </c>
      <c r="F9222" t="s">
        <v>18</v>
      </c>
      <c r="G9222" s="1">
        <v>38840</v>
      </c>
      <c r="H9222" s="1">
        <v>1</v>
      </c>
      <c r="I9222" t="s">
        <v>12</v>
      </c>
      <c r="J9222" t="s">
        <v>19992</v>
      </c>
    </row>
    <row r="9223" spans="1:10" x14ac:dyDescent="0.25">
      <c r="A9223">
        <v>4949657</v>
      </c>
      <c r="B9223" t="s">
        <v>9772</v>
      </c>
      <c r="C9223" t="str">
        <f>""</f>
        <v/>
      </c>
      <c r="D9223" t="str">
        <f>"9781280709708"</f>
        <v>9781280709708</v>
      </c>
      <c r="E9223" t="s">
        <v>18</v>
      </c>
      <c r="F9223" t="s">
        <v>18</v>
      </c>
      <c r="G9223" s="1">
        <v>38718</v>
      </c>
      <c r="H9223" s="1">
        <v>1</v>
      </c>
      <c r="I9223" t="s">
        <v>12</v>
      </c>
      <c r="J9223" t="s">
        <v>19993</v>
      </c>
    </row>
    <row r="9224" spans="1:10" x14ac:dyDescent="0.25">
      <c r="A9224">
        <v>4949658</v>
      </c>
      <c r="B9224" t="s">
        <v>9773</v>
      </c>
      <c r="C9224" t="str">
        <f>""</f>
        <v/>
      </c>
      <c r="D9224" t="str">
        <f>"9781280749230"</f>
        <v>9781280749230</v>
      </c>
      <c r="E9224" t="s">
        <v>18</v>
      </c>
      <c r="F9224" t="s">
        <v>18</v>
      </c>
      <c r="G9224" s="1">
        <v>39083</v>
      </c>
      <c r="H9224" s="1">
        <v>1</v>
      </c>
      <c r="I9224" t="s">
        <v>12</v>
      </c>
      <c r="J9224" t="s">
        <v>19994</v>
      </c>
    </row>
    <row r="9225" spans="1:10" x14ac:dyDescent="0.25">
      <c r="A9225">
        <v>4949661</v>
      </c>
      <c r="B9225" t="s">
        <v>9774</v>
      </c>
      <c r="C9225" t="str">
        <f>""</f>
        <v/>
      </c>
      <c r="D9225" t="str">
        <f>"9781280749643"</f>
        <v>9781280749643</v>
      </c>
      <c r="E9225" t="s">
        <v>18</v>
      </c>
      <c r="F9225" t="s">
        <v>18</v>
      </c>
      <c r="G9225" s="1">
        <v>38353</v>
      </c>
      <c r="H9225" s="1">
        <v>1</v>
      </c>
      <c r="I9225" t="s">
        <v>12</v>
      </c>
      <c r="J9225" t="s">
        <v>19995</v>
      </c>
    </row>
    <row r="9226" spans="1:10" x14ac:dyDescent="0.25">
      <c r="A9226">
        <v>4949664</v>
      </c>
      <c r="B9226" t="s">
        <v>9775</v>
      </c>
      <c r="C9226" t="str">
        <f>""</f>
        <v/>
      </c>
      <c r="D9226" t="str">
        <f>"9781280850363"</f>
        <v>9781280850363</v>
      </c>
      <c r="E9226" t="s">
        <v>18</v>
      </c>
      <c r="F9226" t="s">
        <v>18</v>
      </c>
      <c r="G9226" s="1">
        <v>39117</v>
      </c>
      <c r="H9226" s="1">
        <v>1</v>
      </c>
      <c r="I9226" t="s">
        <v>12</v>
      </c>
      <c r="J9226" t="s">
        <v>19996</v>
      </c>
    </row>
    <row r="9227" spans="1:10" x14ac:dyDescent="0.25">
      <c r="A9227">
        <v>4949665</v>
      </c>
      <c r="B9227" t="s">
        <v>9776</v>
      </c>
      <c r="C9227" t="str">
        <f>""</f>
        <v/>
      </c>
      <c r="D9227" t="str">
        <f>"9781280850691"</f>
        <v>9781280850691</v>
      </c>
      <c r="E9227" t="s">
        <v>18</v>
      </c>
      <c r="F9227" t="s">
        <v>18</v>
      </c>
      <c r="G9227" s="1">
        <v>39191</v>
      </c>
      <c r="H9227" s="1">
        <v>1</v>
      </c>
      <c r="I9227" t="s">
        <v>12</v>
      </c>
      <c r="J9227" t="s">
        <v>19997</v>
      </c>
    </row>
    <row r="9228" spans="1:10" x14ac:dyDescent="0.25">
      <c r="A9228">
        <v>4949666</v>
      </c>
      <c r="B9228" t="s">
        <v>9777</v>
      </c>
      <c r="C9228" t="str">
        <f>""</f>
        <v/>
      </c>
      <c r="D9228" t="str">
        <f>"9781280909948"</f>
        <v>9781280909948</v>
      </c>
      <c r="E9228" t="s">
        <v>18</v>
      </c>
      <c r="F9228" t="s">
        <v>18</v>
      </c>
      <c r="G9228" s="1">
        <v>39083</v>
      </c>
      <c r="H9228" s="1">
        <v>1</v>
      </c>
      <c r="I9228" t="s">
        <v>12</v>
      </c>
      <c r="J9228" t="s">
        <v>19998</v>
      </c>
    </row>
    <row r="9229" spans="1:10" x14ac:dyDescent="0.25">
      <c r="A9229">
        <v>4949674</v>
      </c>
      <c r="B9229" t="s">
        <v>9778</v>
      </c>
      <c r="C9229" t="str">
        <f>""</f>
        <v/>
      </c>
      <c r="D9229" t="str">
        <f>"9781280959325"</f>
        <v>9781280959325</v>
      </c>
      <c r="E9229" t="s">
        <v>18</v>
      </c>
      <c r="F9229" t="s">
        <v>18</v>
      </c>
      <c r="G9229" s="1">
        <v>39100</v>
      </c>
      <c r="H9229" s="1">
        <v>1</v>
      </c>
      <c r="I9229" t="s">
        <v>12</v>
      </c>
      <c r="J9229" t="s">
        <v>19999</v>
      </c>
    </row>
    <row r="9230" spans="1:10" x14ac:dyDescent="0.25">
      <c r="A9230">
        <v>4950702</v>
      </c>
      <c r="B9230" t="s">
        <v>9779</v>
      </c>
      <c r="C9230" t="str">
        <f>"9780876093689"</f>
        <v>9780876093689</v>
      </c>
      <c r="D9230" t="str">
        <f>"9781281041319"</f>
        <v>9781281041319</v>
      </c>
      <c r="E9230" t="s">
        <v>9780</v>
      </c>
      <c r="F9230" t="s">
        <v>9780</v>
      </c>
      <c r="G9230" s="1">
        <v>39105</v>
      </c>
      <c r="H9230" s="1">
        <v>1</v>
      </c>
      <c r="I9230" t="s">
        <v>12</v>
      </c>
      <c r="J9230" t="s">
        <v>20000</v>
      </c>
    </row>
    <row r="9231" spans="1:10" x14ac:dyDescent="0.25">
      <c r="A9231">
        <v>4950714</v>
      </c>
      <c r="B9231" t="s">
        <v>9781</v>
      </c>
      <c r="C9231" t="str">
        <f>"9780876094044"</f>
        <v>9780876094044</v>
      </c>
      <c r="D9231" t="str">
        <f>"9781281041593"</f>
        <v>9781281041593</v>
      </c>
      <c r="E9231" t="s">
        <v>9780</v>
      </c>
      <c r="F9231" t="s">
        <v>9780</v>
      </c>
      <c r="G9231" s="1">
        <v>39258</v>
      </c>
      <c r="H9231" s="1">
        <v>1</v>
      </c>
      <c r="I9231" t="s">
        <v>12</v>
      </c>
      <c r="J9231" t="s">
        <v>20001</v>
      </c>
    </row>
    <row r="9232" spans="1:10" x14ac:dyDescent="0.25">
      <c r="A9232">
        <v>4950720</v>
      </c>
      <c r="B9232" t="s">
        <v>9782</v>
      </c>
      <c r="C9232" t="str">
        <f>"9780876093498"</f>
        <v>9780876093498</v>
      </c>
      <c r="D9232" t="str">
        <f>"9781281041722"</f>
        <v>9781281041722</v>
      </c>
      <c r="E9232" t="s">
        <v>9780</v>
      </c>
      <c r="F9232" t="s">
        <v>9780</v>
      </c>
      <c r="G9232" s="1">
        <v>38625</v>
      </c>
      <c r="H9232" s="1">
        <v>1</v>
      </c>
      <c r="I9232" t="s">
        <v>12</v>
      </c>
      <c r="J9232" t="s">
        <v>20002</v>
      </c>
    </row>
    <row r="9233" spans="1:10" x14ac:dyDescent="0.25">
      <c r="A9233">
        <v>4950721</v>
      </c>
      <c r="B9233" t="s">
        <v>9783</v>
      </c>
      <c r="C9233" t="str">
        <f>"9780876094037"</f>
        <v>9780876094037</v>
      </c>
      <c r="D9233" t="str">
        <f>"9781281041739"</f>
        <v>9781281041739</v>
      </c>
      <c r="E9233" t="s">
        <v>9780</v>
      </c>
      <c r="F9233" t="s">
        <v>9780</v>
      </c>
      <c r="G9233" s="1">
        <v>39091</v>
      </c>
      <c r="H9233" s="1">
        <v>1</v>
      </c>
      <c r="I9233" t="s">
        <v>12</v>
      </c>
      <c r="J9233" t="s">
        <v>20003</v>
      </c>
    </row>
    <row r="9234" spans="1:10" x14ac:dyDescent="0.25">
      <c r="A9234">
        <v>4950723</v>
      </c>
      <c r="B9234" t="s">
        <v>9784</v>
      </c>
      <c r="C9234" t="str">
        <f>"9780876094136"</f>
        <v>9780876094136</v>
      </c>
      <c r="D9234" t="str">
        <f>"9781281127914"</f>
        <v>9781281127914</v>
      </c>
      <c r="E9234" t="s">
        <v>9780</v>
      </c>
      <c r="F9234" t="s">
        <v>9780</v>
      </c>
      <c r="G9234" s="1">
        <v>39387</v>
      </c>
      <c r="H9234" s="1">
        <v>1</v>
      </c>
      <c r="I9234" t="s">
        <v>12</v>
      </c>
      <c r="J9234" t="s">
        <v>20004</v>
      </c>
    </row>
    <row r="9235" spans="1:10" x14ac:dyDescent="0.25">
      <c r="A9235">
        <v>4950856</v>
      </c>
      <c r="B9235" t="s">
        <v>9785</v>
      </c>
      <c r="C9235" t="str">
        <f>"9789287149466"</f>
        <v>9789287149466</v>
      </c>
      <c r="D9235" t="str">
        <f>"9781280923296"</f>
        <v>9781280923296</v>
      </c>
      <c r="E9235" t="s">
        <v>9670</v>
      </c>
      <c r="F9235" t="s">
        <v>9670</v>
      </c>
      <c r="G9235" s="1">
        <v>37516</v>
      </c>
      <c r="H9235" s="1">
        <v>1</v>
      </c>
      <c r="I9235" t="s">
        <v>12</v>
      </c>
      <c r="J9235" t="s">
        <v>20005</v>
      </c>
    </row>
    <row r="9236" spans="1:10" x14ac:dyDescent="0.25">
      <c r="A9236">
        <v>4950876</v>
      </c>
      <c r="B9236" t="s">
        <v>9786</v>
      </c>
      <c r="C9236" t="str">
        <f>"9789287151933"</f>
        <v>9789287151933</v>
      </c>
      <c r="D9236" t="str">
        <f>"9781280923494"</f>
        <v>9781280923494</v>
      </c>
      <c r="E9236" t="s">
        <v>9670</v>
      </c>
      <c r="F9236" t="s">
        <v>9670</v>
      </c>
      <c r="G9236" s="1">
        <v>37890</v>
      </c>
      <c r="H9236" s="1">
        <v>1</v>
      </c>
      <c r="I9236" t="s">
        <v>12</v>
      </c>
      <c r="J9236" t="s">
        <v>20006</v>
      </c>
    </row>
    <row r="9237" spans="1:10" x14ac:dyDescent="0.25">
      <c r="A9237">
        <v>4950884</v>
      </c>
      <c r="B9237" t="s">
        <v>9787</v>
      </c>
      <c r="C9237" t="str">
        <f>"9789287152701"</f>
        <v>9789287152701</v>
      </c>
      <c r="D9237" t="str">
        <f>"9781280923579"</f>
        <v>9781280923579</v>
      </c>
      <c r="E9237" t="s">
        <v>9670</v>
      </c>
      <c r="F9237" t="s">
        <v>9670</v>
      </c>
      <c r="G9237" s="1">
        <v>38091</v>
      </c>
      <c r="H9237" s="1">
        <v>1</v>
      </c>
      <c r="I9237" t="s">
        <v>12</v>
      </c>
      <c r="J9237" t="s">
        <v>20007</v>
      </c>
    </row>
    <row r="9238" spans="1:10" x14ac:dyDescent="0.25">
      <c r="A9238">
        <v>4950889</v>
      </c>
      <c r="B9238" t="s">
        <v>9788</v>
      </c>
      <c r="C9238" t="str">
        <f>"9789287153142"</f>
        <v>9789287153142</v>
      </c>
      <c r="D9238" t="str">
        <f>"9781280923630"</f>
        <v>9781280923630</v>
      </c>
      <c r="E9238" t="s">
        <v>9670</v>
      </c>
      <c r="F9238" t="s">
        <v>9670</v>
      </c>
      <c r="G9238" s="1">
        <v>37974</v>
      </c>
      <c r="H9238" s="1">
        <v>1</v>
      </c>
      <c r="I9238" t="s">
        <v>12</v>
      </c>
      <c r="J9238" t="s">
        <v>20008</v>
      </c>
    </row>
    <row r="9239" spans="1:10" x14ac:dyDescent="0.25">
      <c r="A9239">
        <v>4950916</v>
      </c>
      <c r="B9239" t="s">
        <v>9789</v>
      </c>
      <c r="C9239" t="str">
        <f>"9789287155283"</f>
        <v>9789287155283</v>
      </c>
      <c r="D9239" t="str">
        <f>"9781280923906"</f>
        <v>9781280923906</v>
      </c>
      <c r="E9239" t="s">
        <v>9670</v>
      </c>
      <c r="F9239" t="s">
        <v>9670</v>
      </c>
      <c r="G9239" s="1">
        <v>38427</v>
      </c>
      <c r="H9239" s="1">
        <v>1</v>
      </c>
      <c r="I9239" t="s">
        <v>12</v>
      </c>
      <c r="J9239" t="s">
        <v>20009</v>
      </c>
    </row>
    <row r="9240" spans="1:10" x14ac:dyDescent="0.25">
      <c r="A9240">
        <v>4950919</v>
      </c>
      <c r="B9240" t="s">
        <v>9790</v>
      </c>
      <c r="C9240" t="str">
        <f>"9789287155511"</f>
        <v>9789287155511</v>
      </c>
      <c r="D9240" t="str">
        <f>"9781280923937"</f>
        <v>9781280923937</v>
      </c>
      <c r="E9240" t="s">
        <v>9670</v>
      </c>
      <c r="F9240" t="s">
        <v>9670</v>
      </c>
      <c r="G9240" s="1">
        <v>38387</v>
      </c>
      <c r="H9240" s="1">
        <v>1</v>
      </c>
      <c r="I9240" t="s">
        <v>12</v>
      </c>
      <c r="J9240" t="s">
        <v>20010</v>
      </c>
    </row>
    <row r="9241" spans="1:10" x14ac:dyDescent="0.25">
      <c r="A9241">
        <v>4950944</v>
      </c>
      <c r="B9241" t="s">
        <v>9791</v>
      </c>
      <c r="C9241" t="str">
        <f>"9789287157652"</f>
        <v>9789287157652</v>
      </c>
      <c r="D9241" t="str">
        <f>"9781280924187"</f>
        <v>9781280924187</v>
      </c>
      <c r="E9241" t="s">
        <v>9670</v>
      </c>
      <c r="F9241" t="s">
        <v>9670</v>
      </c>
      <c r="G9241" s="1">
        <v>38679</v>
      </c>
      <c r="H9241" s="1">
        <v>1</v>
      </c>
      <c r="I9241" t="s">
        <v>12</v>
      </c>
      <c r="J9241" t="s">
        <v>20011</v>
      </c>
    </row>
    <row r="9242" spans="1:10" x14ac:dyDescent="0.25">
      <c r="A9242">
        <v>4950960</v>
      </c>
      <c r="B9242" t="s">
        <v>9792</v>
      </c>
      <c r="C9242" t="str">
        <f>"9789287158826"</f>
        <v>9789287158826</v>
      </c>
      <c r="D9242" t="str">
        <f>"9781280931390"</f>
        <v>9781280931390</v>
      </c>
      <c r="E9242" t="s">
        <v>9670</v>
      </c>
      <c r="F9242" t="s">
        <v>9670</v>
      </c>
      <c r="G9242" s="1">
        <v>38353</v>
      </c>
      <c r="H9242" s="1">
        <v>1</v>
      </c>
      <c r="I9242" t="s">
        <v>12</v>
      </c>
      <c r="J9242" t="s">
        <v>20012</v>
      </c>
    </row>
    <row r="9243" spans="1:10" x14ac:dyDescent="0.25">
      <c r="A9243">
        <v>4950977</v>
      </c>
      <c r="B9243" t="s">
        <v>9793</v>
      </c>
      <c r="C9243" t="str">
        <f>"9789287159687"</f>
        <v>9789287159687</v>
      </c>
      <c r="D9243" t="str">
        <f>"9781280931567"</f>
        <v>9781280931567</v>
      </c>
      <c r="E9243" t="s">
        <v>9670</v>
      </c>
      <c r="F9243" t="s">
        <v>9670</v>
      </c>
      <c r="G9243" s="1">
        <v>38883</v>
      </c>
      <c r="H9243" s="1">
        <v>1</v>
      </c>
      <c r="I9243" t="s">
        <v>12</v>
      </c>
      <c r="J9243" t="s">
        <v>20013</v>
      </c>
    </row>
    <row r="9244" spans="1:10" x14ac:dyDescent="0.25">
      <c r="A9244">
        <v>4950996</v>
      </c>
      <c r="B9244" t="s">
        <v>9794</v>
      </c>
      <c r="C9244" t="str">
        <f>"9789287160393"</f>
        <v>9789287160393</v>
      </c>
      <c r="D9244" t="str">
        <f>"9781280931758"</f>
        <v>9781280931758</v>
      </c>
      <c r="E9244" t="s">
        <v>9670</v>
      </c>
      <c r="F9244" t="s">
        <v>9670</v>
      </c>
      <c r="G9244" s="1">
        <v>39163</v>
      </c>
      <c r="H9244" s="1">
        <v>1</v>
      </c>
      <c r="I9244" t="s">
        <v>12</v>
      </c>
      <c r="J9244" t="s">
        <v>20014</v>
      </c>
    </row>
    <row r="9245" spans="1:10" x14ac:dyDescent="0.25">
      <c r="A9245">
        <v>4951000</v>
      </c>
      <c r="B9245" t="s">
        <v>9795</v>
      </c>
      <c r="C9245" t="str">
        <f>"9789287160850"</f>
        <v>9789287160850</v>
      </c>
      <c r="D9245" t="str">
        <f>"9781280931796"</f>
        <v>9781280931796</v>
      </c>
      <c r="E9245" t="s">
        <v>9670</v>
      </c>
      <c r="F9245" t="s">
        <v>9670</v>
      </c>
      <c r="G9245" s="1">
        <v>39083</v>
      </c>
      <c r="H9245" s="1">
        <v>1</v>
      </c>
      <c r="I9245" t="s">
        <v>12</v>
      </c>
      <c r="J9245" t="s">
        <v>20015</v>
      </c>
    </row>
    <row r="9246" spans="1:10" x14ac:dyDescent="0.25">
      <c r="A9246">
        <v>4951001</v>
      </c>
      <c r="B9246" t="s">
        <v>9796</v>
      </c>
      <c r="C9246" t="str">
        <f>"9789287160881"</f>
        <v>9789287160881</v>
      </c>
      <c r="D9246" t="str">
        <f>"9781280931802"</f>
        <v>9781280931802</v>
      </c>
      <c r="E9246" t="s">
        <v>9670</v>
      </c>
      <c r="F9246" t="s">
        <v>9670</v>
      </c>
      <c r="G9246" s="1">
        <v>39083</v>
      </c>
      <c r="H9246" s="1">
        <v>1</v>
      </c>
      <c r="I9246" t="s">
        <v>12</v>
      </c>
      <c r="J9246" t="s">
        <v>20016</v>
      </c>
    </row>
    <row r="9247" spans="1:10" x14ac:dyDescent="0.25">
      <c r="A9247">
        <v>4951004</v>
      </c>
      <c r="B9247" t="s">
        <v>9797</v>
      </c>
      <c r="C9247" t="str">
        <f>"9789287161352"</f>
        <v>9789287161352</v>
      </c>
      <c r="D9247" t="str">
        <f>"9781280931833"</f>
        <v>9781280931833</v>
      </c>
      <c r="E9247" t="s">
        <v>9670</v>
      </c>
      <c r="F9247" t="s">
        <v>9670</v>
      </c>
      <c r="G9247" s="1">
        <v>39498</v>
      </c>
      <c r="H9247" s="1">
        <v>1</v>
      </c>
      <c r="I9247" t="s">
        <v>12</v>
      </c>
      <c r="J9247" t="s">
        <v>20017</v>
      </c>
    </row>
    <row r="9248" spans="1:10" x14ac:dyDescent="0.25">
      <c r="A9248">
        <v>4951009</v>
      </c>
      <c r="B9248" t="s">
        <v>9798</v>
      </c>
      <c r="C9248" t="str">
        <f>"9789287162618"</f>
        <v>9789287162618</v>
      </c>
      <c r="D9248" t="str">
        <f>"9781280931901"</f>
        <v>9781280931901</v>
      </c>
      <c r="E9248" t="s">
        <v>9670</v>
      </c>
      <c r="F9248" t="s">
        <v>9670</v>
      </c>
      <c r="G9248" s="1">
        <v>39359</v>
      </c>
      <c r="H9248" s="1">
        <v>1</v>
      </c>
      <c r="I9248" t="s">
        <v>12</v>
      </c>
      <c r="J9248" t="s">
        <v>20018</v>
      </c>
    </row>
    <row r="9249" spans="1:10" x14ac:dyDescent="0.25">
      <c r="A9249">
        <v>4951013</v>
      </c>
      <c r="B9249" t="s">
        <v>9799</v>
      </c>
      <c r="C9249" t="str">
        <f>"9789287162076"</f>
        <v>9789287162076</v>
      </c>
      <c r="D9249" t="str">
        <f>"9781281386021"</f>
        <v>9781281386021</v>
      </c>
      <c r="E9249" t="s">
        <v>9670</v>
      </c>
      <c r="F9249" t="s">
        <v>9670</v>
      </c>
      <c r="G9249" s="1">
        <v>39577</v>
      </c>
      <c r="H9249" s="1">
        <v>1</v>
      </c>
      <c r="I9249" t="s">
        <v>12</v>
      </c>
      <c r="J9249" t="s">
        <v>20019</v>
      </c>
    </row>
    <row r="9250" spans="1:10" x14ac:dyDescent="0.25">
      <c r="A9250">
        <v>4951017</v>
      </c>
      <c r="B9250" t="s">
        <v>9800</v>
      </c>
      <c r="C9250" t="str">
        <f>"9789287162977"</f>
        <v>9789287162977</v>
      </c>
      <c r="D9250" t="str">
        <f>"9781281386069"</f>
        <v>9781281386069</v>
      </c>
      <c r="E9250" t="s">
        <v>9670</v>
      </c>
      <c r="F9250" t="s">
        <v>9670</v>
      </c>
      <c r="G9250" s="1">
        <v>39566</v>
      </c>
      <c r="H9250" s="1">
        <v>1</v>
      </c>
      <c r="I9250" t="s">
        <v>12</v>
      </c>
      <c r="J9250" t="s">
        <v>20020</v>
      </c>
    </row>
    <row r="9251" spans="1:10" x14ac:dyDescent="0.25">
      <c r="A9251">
        <v>4951019</v>
      </c>
      <c r="B9251" t="s">
        <v>9801</v>
      </c>
      <c r="C9251" t="str">
        <f>"9789287163738"</f>
        <v>9789287163738</v>
      </c>
      <c r="D9251" t="str">
        <f>"9781281386090"</f>
        <v>9781281386090</v>
      </c>
      <c r="E9251" t="s">
        <v>9670</v>
      </c>
      <c r="F9251" t="s">
        <v>9670</v>
      </c>
      <c r="G9251" s="1">
        <v>39577</v>
      </c>
      <c r="H9251" s="1">
        <v>1</v>
      </c>
      <c r="I9251" t="s">
        <v>12</v>
      </c>
      <c r="J9251" t="s">
        <v>20021</v>
      </c>
    </row>
    <row r="9252" spans="1:10" x14ac:dyDescent="0.25">
      <c r="A9252">
        <v>4951116</v>
      </c>
      <c r="B9252" t="s">
        <v>9802</v>
      </c>
      <c r="C9252" t="str">
        <f>"9789287162267"</f>
        <v>9789287162267</v>
      </c>
      <c r="D9252" t="str">
        <f>"9781281238948"</f>
        <v>9781281238948</v>
      </c>
      <c r="E9252" t="s">
        <v>9670</v>
      </c>
      <c r="F9252" t="s">
        <v>9670</v>
      </c>
      <c r="G9252" s="1">
        <v>39554</v>
      </c>
      <c r="H9252" s="1">
        <v>1</v>
      </c>
      <c r="I9252" t="s">
        <v>12</v>
      </c>
      <c r="J9252" t="s">
        <v>20022</v>
      </c>
    </row>
    <row r="9253" spans="1:10" x14ac:dyDescent="0.25">
      <c r="A9253">
        <v>4951122</v>
      </c>
      <c r="B9253" t="s">
        <v>9803</v>
      </c>
      <c r="C9253" t="str">
        <f>"9789287162557"</f>
        <v>9789287162557</v>
      </c>
      <c r="D9253" t="str">
        <f>"9781280931970"</f>
        <v>9781280931970</v>
      </c>
      <c r="E9253" t="s">
        <v>9670</v>
      </c>
      <c r="F9253" t="s">
        <v>9670</v>
      </c>
      <c r="G9253" s="1">
        <v>39297</v>
      </c>
      <c r="H9253" s="1">
        <v>1</v>
      </c>
      <c r="I9253" t="s">
        <v>12</v>
      </c>
      <c r="J9253" t="s">
        <v>20023</v>
      </c>
    </row>
    <row r="9254" spans="1:10" x14ac:dyDescent="0.25">
      <c r="A9254">
        <v>4951131</v>
      </c>
      <c r="B9254" t="s">
        <v>9804</v>
      </c>
      <c r="C9254" t="str">
        <f>"9789287162281"</f>
        <v>9789287162281</v>
      </c>
      <c r="D9254" t="str">
        <f>"9789287162298"</f>
        <v>9789287162298</v>
      </c>
      <c r="E9254" t="s">
        <v>9670</v>
      </c>
      <c r="F9254" t="s">
        <v>9670</v>
      </c>
      <c r="G9254" s="1">
        <v>39323</v>
      </c>
      <c r="H9254" s="1">
        <v>1</v>
      </c>
      <c r="I9254" t="s">
        <v>12</v>
      </c>
      <c r="J9254" t="s">
        <v>20024</v>
      </c>
    </row>
    <row r="9255" spans="1:10" x14ac:dyDescent="0.25">
      <c r="A9255">
        <v>4951147</v>
      </c>
      <c r="B9255" t="s">
        <v>9805</v>
      </c>
      <c r="C9255" t="str">
        <f>"9789287162458"</f>
        <v>9789287162458</v>
      </c>
      <c r="D9255" t="str">
        <f>"9781281238962"</f>
        <v>9781281238962</v>
      </c>
      <c r="E9255" t="s">
        <v>9670</v>
      </c>
      <c r="F9255" t="s">
        <v>9670</v>
      </c>
      <c r="G9255" s="1">
        <v>39336</v>
      </c>
      <c r="H9255" s="1">
        <v>1</v>
      </c>
      <c r="I9255" t="s">
        <v>12</v>
      </c>
      <c r="J9255" t="s">
        <v>20025</v>
      </c>
    </row>
    <row r="9256" spans="1:10" x14ac:dyDescent="0.25">
      <c r="A9256">
        <v>4951150</v>
      </c>
      <c r="B9256" t="s">
        <v>9806</v>
      </c>
      <c r="C9256" t="str">
        <f>"9780415975001"</f>
        <v>9780415975001</v>
      </c>
      <c r="D9256" t="str">
        <f>"9780415975018"</f>
        <v>9780415975018</v>
      </c>
      <c r="E9256" t="s">
        <v>144</v>
      </c>
      <c r="F9256" t="s">
        <v>139</v>
      </c>
      <c r="G9256" s="1">
        <v>39083</v>
      </c>
      <c r="H9256" s="1">
        <v>1</v>
      </c>
      <c r="I9256" t="s">
        <v>12</v>
      </c>
      <c r="J9256" t="s">
        <v>20026</v>
      </c>
    </row>
    <row r="9257" spans="1:10" x14ac:dyDescent="0.25">
      <c r="A9257">
        <v>4951167</v>
      </c>
      <c r="B9257" t="s">
        <v>9807</v>
      </c>
      <c r="C9257" t="str">
        <f>"9780415952002"</f>
        <v>9780415952002</v>
      </c>
      <c r="D9257" t="str">
        <f>"9781281243911"</f>
        <v>9781281243911</v>
      </c>
      <c r="E9257" t="s">
        <v>144</v>
      </c>
      <c r="F9257" t="s">
        <v>153</v>
      </c>
      <c r="G9257" s="1">
        <v>39176</v>
      </c>
      <c r="H9257" s="1">
        <v>1</v>
      </c>
      <c r="I9257" t="s">
        <v>12</v>
      </c>
      <c r="J9257" t="s">
        <v>20027</v>
      </c>
    </row>
    <row r="9258" spans="1:10" x14ac:dyDescent="0.25">
      <c r="A9258">
        <v>4951169</v>
      </c>
      <c r="B9258" t="s">
        <v>9808</v>
      </c>
      <c r="C9258" t="str">
        <f>"9780415948524"</f>
        <v>9780415948524</v>
      </c>
      <c r="D9258" t="str">
        <f>"9780415948531"</f>
        <v>9780415948531</v>
      </c>
      <c r="E9258" t="s">
        <v>144</v>
      </c>
      <c r="F9258" t="s">
        <v>139</v>
      </c>
      <c r="G9258" s="1">
        <v>39083</v>
      </c>
      <c r="H9258" s="1">
        <v>1</v>
      </c>
      <c r="I9258" t="s">
        <v>12</v>
      </c>
      <c r="J9258" t="s">
        <v>20028</v>
      </c>
    </row>
    <row r="9259" spans="1:10" x14ac:dyDescent="0.25">
      <c r="A9259">
        <v>4951212</v>
      </c>
      <c r="B9259" t="s">
        <v>9809</v>
      </c>
      <c r="C9259" t="str">
        <f>""</f>
        <v/>
      </c>
      <c r="D9259" t="str">
        <f>"9781280513435"</f>
        <v>9781280513435</v>
      </c>
      <c r="E9259" t="s">
        <v>144</v>
      </c>
      <c r="F9259" t="s">
        <v>139</v>
      </c>
      <c r="G9259" s="1">
        <v>38718</v>
      </c>
      <c r="H9259" s="1">
        <v>1</v>
      </c>
      <c r="I9259" t="s">
        <v>12</v>
      </c>
      <c r="J9259" t="s">
        <v>20029</v>
      </c>
    </row>
    <row r="9260" spans="1:10" x14ac:dyDescent="0.25">
      <c r="A9260">
        <v>4951213</v>
      </c>
      <c r="B9260" t="s">
        <v>9810</v>
      </c>
      <c r="C9260" t="str">
        <f>""</f>
        <v/>
      </c>
      <c r="D9260" t="str">
        <f>"9781280643323"</f>
        <v>9781280643323</v>
      </c>
      <c r="E9260" t="s">
        <v>144</v>
      </c>
      <c r="F9260" t="s">
        <v>139</v>
      </c>
      <c r="G9260" s="1">
        <v>38718</v>
      </c>
      <c r="H9260" s="1">
        <v>1</v>
      </c>
      <c r="I9260" t="s">
        <v>12</v>
      </c>
      <c r="J9260" t="s">
        <v>20030</v>
      </c>
    </row>
    <row r="9261" spans="1:10" x14ac:dyDescent="0.25">
      <c r="A9261">
        <v>4951254</v>
      </c>
      <c r="B9261" t="s">
        <v>9811</v>
      </c>
      <c r="C9261" t="str">
        <f>""</f>
        <v/>
      </c>
      <c r="D9261" t="str">
        <f>"9781280732409"</f>
        <v>9781280732409</v>
      </c>
      <c r="E9261" t="s">
        <v>144</v>
      </c>
      <c r="F9261" t="s">
        <v>139</v>
      </c>
      <c r="G9261" s="1">
        <v>39083</v>
      </c>
      <c r="H9261" s="1">
        <v>1</v>
      </c>
      <c r="I9261" t="s">
        <v>12</v>
      </c>
      <c r="J9261" t="s">
        <v>20031</v>
      </c>
    </row>
    <row r="9262" spans="1:10" x14ac:dyDescent="0.25">
      <c r="A9262">
        <v>4951259</v>
      </c>
      <c r="B9262" t="s">
        <v>9812</v>
      </c>
      <c r="C9262" t="str">
        <f>""</f>
        <v/>
      </c>
      <c r="D9262" t="str">
        <f>"9781280504501"</f>
        <v>9781280504501</v>
      </c>
      <c r="E9262" t="s">
        <v>144</v>
      </c>
      <c r="F9262" t="s">
        <v>139</v>
      </c>
      <c r="G9262" s="1">
        <v>38718</v>
      </c>
      <c r="H9262" s="1">
        <v>1</v>
      </c>
      <c r="I9262" t="s">
        <v>12</v>
      </c>
      <c r="J9262" t="s">
        <v>20032</v>
      </c>
    </row>
    <row r="9263" spans="1:10" x14ac:dyDescent="0.25">
      <c r="A9263">
        <v>4951260</v>
      </c>
      <c r="B9263" t="s">
        <v>9813</v>
      </c>
      <c r="C9263" t="str">
        <f>""</f>
        <v/>
      </c>
      <c r="D9263" t="str">
        <f>"9781280733611"</f>
        <v>9781280733611</v>
      </c>
      <c r="E9263" t="s">
        <v>144</v>
      </c>
      <c r="F9263" t="s">
        <v>139</v>
      </c>
      <c r="G9263" s="1">
        <v>38718</v>
      </c>
      <c r="H9263" s="1">
        <v>1</v>
      </c>
      <c r="I9263" t="s">
        <v>12</v>
      </c>
      <c r="J9263" t="s">
        <v>20033</v>
      </c>
    </row>
    <row r="9264" spans="1:10" x14ac:dyDescent="0.25">
      <c r="A9264">
        <v>4952291</v>
      </c>
      <c r="B9264" t="s">
        <v>9814</v>
      </c>
      <c r="C9264" t="str">
        <f>"9781933631745"</f>
        <v>9781933631745</v>
      </c>
      <c r="D9264" t="str">
        <f>"9781281187314"</f>
        <v>9781281187314</v>
      </c>
      <c r="E9264" t="s">
        <v>9815</v>
      </c>
      <c r="F9264" t="s">
        <v>9815</v>
      </c>
      <c r="G9264" s="1">
        <v>39083</v>
      </c>
      <c r="H9264" s="1">
        <v>1</v>
      </c>
      <c r="I9264" t="s">
        <v>12</v>
      </c>
      <c r="J9264" t="s">
        <v>20034</v>
      </c>
    </row>
    <row r="9265" spans="1:10" x14ac:dyDescent="0.25">
      <c r="A9265">
        <v>4952371</v>
      </c>
      <c r="B9265" t="s">
        <v>9816</v>
      </c>
      <c r="C9265" t="str">
        <f>""</f>
        <v/>
      </c>
      <c r="D9265" t="str">
        <f>"9781281028037"</f>
        <v>9781281028037</v>
      </c>
      <c r="E9265" t="s">
        <v>1119</v>
      </c>
      <c r="F9265" t="s">
        <v>1119</v>
      </c>
      <c r="G9265" s="1">
        <v>38992</v>
      </c>
      <c r="H9265" s="1">
        <v>1</v>
      </c>
      <c r="I9265" t="s">
        <v>12</v>
      </c>
      <c r="J9265" t="s">
        <v>20035</v>
      </c>
    </row>
    <row r="9266" spans="1:10" x14ac:dyDescent="0.25">
      <c r="A9266">
        <v>4952399</v>
      </c>
      <c r="B9266" t="s">
        <v>9817</v>
      </c>
      <c r="C9266" t="str">
        <f>""</f>
        <v/>
      </c>
      <c r="D9266" t="str">
        <f>"9781281052230"</f>
        <v>9781281052230</v>
      </c>
      <c r="E9266" t="s">
        <v>1119</v>
      </c>
      <c r="F9266" t="s">
        <v>1119</v>
      </c>
      <c r="G9266" s="1">
        <v>39083</v>
      </c>
      <c r="H9266" s="1">
        <v>1</v>
      </c>
      <c r="I9266" t="s">
        <v>12</v>
      </c>
      <c r="J9266" t="s">
        <v>20036</v>
      </c>
    </row>
    <row r="9267" spans="1:10" x14ac:dyDescent="0.25">
      <c r="A9267">
        <v>4952426</v>
      </c>
      <c r="B9267" t="s">
        <v>9818</v>
      </c>
      <c r="C9267" t="str">
        <f>""</f>
        <v/>
      </c>
      <c r="D9267" t="str">
        <f>"9781280636615"</f>
        <v>9781280636615</v>
      </c>
      <c r="E9267" t="s">
        <v>1119</v>
      </c>
      <c r="F9267" t="s">
        <v>1119</v>
      </c>
      <c r="G9267" s="1">
        <v>39083</v>
      </c>
      <c r="H9267" s="1">
        <v>1</v>
      </c>
      <c r="I9267" t="s">
        <v>12</v>
      </c>
      <c r="J9267" t="s">
        <v>20037</v>
      </c>
    </row>
    <row r="9268" spans="1:10" x14ac:dyDescent="0.25">
      <c r="A9268">
        <v>4952446</v>
      </c>
      <c r="B9268" t="s">
        <v>9819</v>
      </c>
      <c r="C9268" t="str">
        <f>""</f>
        <v/>
      </c>
      <c r="D9268" t="str">
        <f>"9781280642395"</f>
        <v>9781280642395</v>
      </c>
      <c r="E9268" t="s">
        <v>1119</v>
      </c>
      <c r="F9268" t="s">
        <v>1119</v>
      </c>
      <c r="G9268" s="1">
        <v>38686</v>
      </c>
      <c r="H9268" s="1">
        <v>1</v>
      </c>
      <c r="I9268" t="s">
        <v>12</v>
      </c>
      <c r="J9268" t="s">
        <v>20038</v>
      </c>
    </row>
    <row r="9269" spans="1:10" x14ac:dyDescent="0.25">
      <c r="A9269">
        <v>4952988</v>
      </c>
      <c r="B9269" t="s">
        <v>9820</v>
      </c>
      <c r="C9269" t="str">
        <f>"9780803618688"</f>
        <v>9780803618688</v>
      </c>
      <c r="D9269" t="str">
        <f>"9781281112743"</f>
        <v>9781281112743</v>
      </c>
      <c r="E9269" t="s">
        <v>1445</v>
      </c>
      <c r="F9269" t="s">
        <v>9821</v>
      </c>
      <c r="G9269" s="1">
        <v>39448</v>
      </c>
      <c r="H9269" s="1">
        <v>1</v>
      </c>
      <c r="I9269" t="s">
        <v>12</v>
      </c>
      <c r="J9269" t="s">
        <v>20039</v>
      </c>
    </row>
    <row r="9270" spans="1:10" x14ac:dyDescent="0.25">
      <c r="A9270">
        <v>4952990</v>
      </c>
      <c r="B9270" t="s">
        <v>9822</v>
      </c>
      <c r="C9270" t="str">
        <f>"9780803605718"</f>
        <v>9780803605718</v>
      </c>
      <c r="D9270" t="str">
        <f>"9781281376237"</f>
        <v>9781281376237</v>
      </c>
      <c r="E9270" t="s">
        <v>1445</v>
      </c>
      <c r="F9270" t="s">
        <v>9821</v>
      </c>
      <c r="G9270" s="1">
        <v>37879</v>
      </c>
      <c r="H9270" s="1">
        <v>1</v>
      </c>
      <c r="I9270" t="s">
        <v>12</v>
      </c>
      <c r="J9270" t="s">
        <v>20040</v>
      </c>
    </row>
    <row r="9271" spans="1:10" x14ac:dyDescent="0.25">
      <c r="A9271">
        <v>4952991</v>
      </c>
      <c r="B9271" t="s">
        <v>9823</v>
      </c>
      <c r="C9271" t="str">
        <f>"9780803606028"</f>
        <v>9780803606028</v>
      </c>
      <c r="D9271" t="str">
        <f>"9781281405197"</f>
        <v>9781281405197</v>
      </c>
      <c r="E9271" t="s">
        <v>1445</v>
      </c>
      <c r="F9271" t="s">
        <v>9821</v>
      </c>
      <c r="G9271" s="1">
        <v>36892</v>
      </c>
      <c r="H9271" s="1">
        <v>1</v>
      </c>
      <c r="I9271" t="s">
        <v>12</v>
      </c>
      <c r="J9271" t="s">
        <v>20041</v>
      </c>
    </row>
    <row r="9272" spans="1:10" x14ac:dyDescent="0.25">
      <c r="A9272">
        <v>4953033</v>
      </c>
      <c r="B9272" t="s">
        <v>9824</v>
      </c>
      <c r="C9272" t="str">
        <f>"9780791094808"</f>
        <v>9780791094808</v>
      </c>
      <c r="D9272" t="str">
        <f>"9781438103440"</f>
        <v>9781438103440</v>
      </c>
      <c r="E9272" t="s">
        <v>3008</v>
      </c>
      <c r="F9272" t="s">
        <v>3008</v>
      </c>
      <c r="G9272" s="1">
        <v>39264</v>
      </c>
      <c r="H9272" s="1">
        <v>1</v>
      </c>
      <c r="I9272" t="s">
        <v>12</v>
      </c>
      <c r="J9272" t="s">
        <v>20042</v>
      </c>
    </row>
    <row r="9273" spans="1:10" x14ac:dyDescent="0.25">
      <c r="A9273">
        <v>4953034</v>
      </c>
      <c r="B9273" t="s">
        <v>9825</v>
      </c>
      <c r="C9273" t="str">
        <f>"9780791096000"</f>
        <v>9780791096000</v>
      </c>
      <c r="D9273" t="str">
        <f>"9781438100401"</f>
        <v>9781438100401</v>
      </c>
      <c r="E9273" t="s">
        <v>3008</v>
      </c>
      <c r="F9273" t="s">
        <v>3008</v>
      </c>
      <c r="G9273" s="1">
        <v>39783</v>
      </c>
      <c r="H9273" s="1">
        <v>1</v>
      </c>
      <c r="I9273" t="s">
        <v>12</v>
      </c>
      <c r="J9273" t="s">
        <v>20043</v>
      </c>
    </row>
    <row r="9274" spans="1:10" x14ac:dyDescent="0.25">
      <c r="A9274">
        <v>4953035</v>
      </c>
      <c r="B9274" t="s">
        <v>9826</v>
      </c>
      <c r="C9274" t="str">
        <f>"9780791051979"</f>
        <v>9780791051979</v>
      </c>
      <c r="D9274" t="str">
        <f>"9781438100807"</f>
        <v>9781438100807</v>
      </c>
      <c r="E9274" t="s">
        <v>3008</v>
      </c>
      <c r="F9274" t="s">
        <v>3008</v>
      </c>
      <c r="G9274" s="1">
        <v>36373</v>
      </c>
      <c r="H9274" s="1">
        <v>1</v>
      </c>
      <c r="I9274" t="s">
        <v>12</v>
      </c>
      <c r="J9274" t="s">
        <v>20044</v>
      </c>
    </row>
    <row r="9275" spans="1:10" x14ac:dyDescent="0.25">
      <c r="A9275">
        <v>4953049</v>
      </c>
      <c r="B9275" t="s">
        <v>9827</v>
      </c>
      <c r="C9275" t="str">
        <f>"9780816049882"</f>
        <v>9780816049882</v>
      </c>
      <c r="D9275" t="str">
        <f>"9781438102511"</f>
        <v>9781438102511</v>
      </c>
      <c r="E9275" t="s">
        <v>3008</v>
      </c>
      <c r="F9275" t="s">
        <v>3008</v>
      </c>
      <c r="G9275" s="1">
        <v>37712</v>
      </c>
      <c r="H9275" s="1">
        <v>1</v>
      </c>
      <c r="I9275" t="s">
        <v>12</v>
      </c>
      <c r="J9275" t="s">
        <v>20045</v>
      </c>
    </row>
    <row r="9276" spans="1:10" x14ac:dyDescent="0.25">
      <c r="A9276">
        <v>4953051</v>
      </c>
      <c r="B9276" t="s">
        <v>9828</v>
      </c>
      <c r="C9276" t="str">
        <f>"9780791082034"</f>
        <v>9780791082034</v>
      </c>
      <c r="D9276" t="str">
        <f>"9781438102306"</f>
        <v>9781438102306</v>
      </c>
      <c r="E9276" t="s">
        <v>3008</v>
      </c>
      <c r="F9276" t="s">
        <v>3008</v>
      </c>
      <c r="G9276" s="1">
        <v>38687</v>
      </c>
      <c r="H9276" s="1">
        <v>1</v>
      </c>
      <c r="I9276" t="s">
        <v>12</v>
      </c>
      <c r="J9276" t="s">
        <v>20046</v>
      </c>
    </row>
    <row r="9277" spans="1:10" x14ac:dyDescent="0.25">
      <c r="A9277">
        <v>4953064</v>
      </c>
      <c r="B9277" t="s">
        <v>9829</v>
      </c>
      <c r="C9277" t="str">
        <f>"9780791020418"</f>
        <v>9780791020418</v>
      </c>
      <c r="D9277" t="str">
        <f>"9781438100722"</f>
        <v>9781438100722</v>
      </c>
      <c r="E9277" t="s">
        <v>3008</v>
      </c>
      <c r="F9277" t="s">
        <v>3008</v>
      </c>
      <c r="G9277" s="1">
        <v>39052</v>
      </c>
      <c r="H9277" s="1">
        <v>1</v>
      </c>
      <c r="I9277" t="s">
        <v>12</v>
      </c>
      <c r="J9277" t="s">
        <v>20047</v>
      </c>
    </row>
    <row r="9278" spans="1:10" x14ac:dyDescent="0.25">
      <c r="A9278">
        <v>4953071</v>
      </c>
      <c r="B9278" t="s">
        <v>9830</v>
      </c>
      <c r="C9278" t="str">
        <f>"9780791046906"</f>
        <v>9780791046906</v>
      </c>
      <c r="D9278" t="str">
        <f>"9781438100777"</f>
        <v>9781438100777</v>
      </c>
      <c r="E9278" t="s">
        <v>3008</v>
      </c>
      <c r="F9278" t="s">
        <v>3008</v>
      </c>
      <c r="G9278" s="1">
        <v>39417</v>
      </c>
      <c r="H9278" s="1">
        <v>1</v>
      </c>
      <c r="I9278" t="s">
        <v>12</v>
      </c>
      <c r="J9278" t="s">
        <v>20048</v>
      </c>
    </row>
    <row r="9279" spans="1:10" x14ac:dyDescent="0.25">
      <c r="A9279">
        <v>4953086</v>
      </c>
      <c r="B9279" t="s">
        <v>9831</v>
      </c>
      <c r="C9279" t="str">
        <f>"9780791086353"</f>
        <v>9780791086353</v>
      </c>
      <c r="D9279" t="str">
        <f>"9781438104140"</f>
        <v>9781438104140</v>
      </c>
      <c r="E9279" t="s">
        <v>3008</v>
      </c>
      <c r="F9279" t="s">
        <v>3008</v>
      </c>
      <c r="G9279" s="1">
        <v>38596</v>
      </c>
      <c r="H9279" s="1">
        <v>1</v>
      </c>
      <c r="I9279" t="s">
        <v>12</v>
      </c>
      <c r="J9279" t="s">
        <v>20049</v>
      </c>
    </row>
    <row r="9280" spans="1:10" x14ac:dyDescent="0.25">
      <c r="A9280">
        <v>4953087</v>
      </c>
      <c r="B9280" t="s">
        <v>9832</v>
      </c>
      <c r="C9280" t="str">
        <f>"9780791097151"</f>
        <v>9780791097151</v>
      </c>
      <c r="D9280" t="str">
        <f>"9781438100760"</f>
        <v>9781438100760</v>
      </c>
      <c r="E9280" t="s">
        <v>3008</v>
      </c>
      <c r="F9280" t="s">
        <v>3008</v>
      </c>
      <c r="G9280" s="1">
        <v>39479</v>
      </c>
      <c r="H9280" s="1">
        <v>1</v>
      </c>
      <c r="I9280" t="s">
        <v>12</v>
      </c>
      <c r="J9280" t="s">
        <v>20050</v>
      </c>
    </row>
    <row r="9281" spans="1:10" x14ac:dyDescent="0.25">
      <c r="A9281">
        <v>4953113</v>
      </c>
      <c r="B9281" t="s">
        <v>9833</v>
      </c>
      <c r="C9281" t="str">
        <f>"9780791092385"</f>
        <v>9780791092385</v>
      </c>
      <c r="D9281" t="str">
        <f>"9781438103327"</f>
        <v>9781438103327</v>
      </c>
      <c r="E9281" t="s">
        <v>3008</v>
      </c>
      <c r="F9281" t="s">
        <v>3008</v>
      </c>
      <c r="G9281" s="1">
        <v>39417</v>
      </c>
      <c r="H9281" s="1">
        <v>1</v>
      </c>
      <c r="I9281" t="s">
        <v>12</v>
      </c>
      <c r="J9281" t="s">
        <v>20051</v>
      </c>
    </row>
    <row r="9282" spans="1:10" x14ac:dyDescent="0.25">
      <c r="A9282">
        <v>4953121</v>
      </c>
      <c r="B9282" t="s">
        <v>9834</v>
      </c>
      <c r="C9282" t="str">
        <f>"9780791096352"</f>
        <v>9780791096352</v>
      </c>
      <c r="D9282" t="str">
        <f>"9781438100449"</f>
        <v>9781438100449</v>
      </c>
      <c r="E9282" t="s">
        <v>3008</v>
      </c>
      <c r="F9282" t="s">
        <v>3008</v>
      </c>
      <c r="G9282" s="1">
        <v>39522</v>
      </c>
      <c r="H9282" s="1">
        <v>1</v>
      </c>
      <c r="I9282" t="s">
        <v>12</v>
      </c>
      <c r="J9282" t="s">
        <v>20052</v>
      </c>
    </row>
    <row r="9283" spans="1:10" x14ac:dyDescent="0.25">
      <c r="A9283">
        <v>4953125</v>
      </c>
      <c r="B9283" t="s">
        <v>9835</v>
      </c>
      <c r="C9283" t="str">
        <f>"9780816053261"</f>
        <v>9780816053261</v>
      </c>
      <c r="D9283" t="str">
        <f>"9781438100609"</f>
        <v>9781438100609</v>
      </c>
      <c r="E9283" t="s">
        <v>3008</v>
      </c>
      <c r="F9283" t="s">
        <v>3008</v>
      </c>
      <c r="G9283" s="1">
        <v>39052</v>
      </c>
      <c r="H9283" s="1">
        <v>1</v>
      </c>
      <c r="I9283" t="s">
        <v>12</v>
      </c>
      <c r="J9283" t="s">
        <v>20053</v>
      </c>
    </row>
    <row r="9284" spans="1:10" x14ac:dyDescent="0.25">
      <c r="A9284">
        <v>4953133</v>
      </c>
      <c r="B9284" t="s">
        <v>9836</v>
      </c>
      <c r="C9284" t="str">
        <f>"9780791093832"</f>
        <v>9780791093832</v>
      </c>
      <c r="D9284" t="str">
        <f>"9781438103365"</f>
        <v>9781438103365</v>
      </c>
      <c r="E9284" t="s">
        <v>3008</v>
      </c>
      <c r="F9284" t="s">
        <v>3008</v>
      </c>
      <c r="G9284" s="1">
        <v>39417</v>
      </c>
      <c r="H9284" s="1">
        <v>1</v>
      </c>
      <c r="I9284" t="s">
        <v>12</v>
      </c>
      <c r="J9284" t="s">
        <v>20054</v>
      </c>
    </row>
    <row r="9285" spans="1:10" x14ac:dyDescent="0.25">
      <c r="A9285">
        <v>4953134</v>
      </c>
      <c r="B9285" t="s">
        <v>9837</v>
      </c>
      <c r="C9285" t="str">
        <f>"9780791095454"</f>
        <v>9780791095454</v>
      </c>
      <c r="D9285" t="str">
        <f>"9781438100586"</f>
        <v>9781438100586</v>
      </c>
      <c r="E9285" t="s">
        <v>3008</v>
      </c>
      <c r="F9285" t="s">
        <v>3008</v>
      </c>
      <c r="G9285" s="1">
        <v>39479</v>
      </c>
      <c r="H9285" s="1">
        <v>1</v>
      </c>
      <c r="I9285" t="s">
        <v>12</v>
      </c>
      <c r="J9285" t="s">
        <v>20055</v>
      </c>
    </row>
    <row r="9286" spans="1:10" x14ac:dyDescent="0.25">
      <c r="A9286">
        <v>4953135</v>
      </c>
      <c r="B9286" t="s">
        <v>9838</v>
      </c>
      <c r="C9286" t="str">
        <f>"9780791079706"</f>
        <v>9780791079706</v>
      </c>
      <c r="D9286" t="str">
        <f>"9781438101262"</f>
        <v>9781438101262</v>
      </c>
      <c r="E9286" t="s">
        <v>3008</v>
      </c>
      <c r="F9286" t="s">
        <v>3008</v>
      </c>
      <c r="G9286" s="1">
        <v>39052</v>
      </c>
      <c r="H9286" s="1">
        <v>1</v>
      </c>
      <c r="I9286" t="s">
        <v>12</v>
      </c>
      <c r="J9286" t="s">
        <v>20056</v>
      </c>
    </row>
    <row r="9287" spans="1:10" x14ac:dyDescent="0.25">
      <c r="A9287">
        <v>4953138</v>
      </c>
      <c r="B9287" t="s">
        <v>9839</v>
      </c>
      <c r="C9287" t="str">
        <f>"9780791096017"</f>
        <v>9780791096017</v>
      </c>
      <c r="D9287" t="str">
        <f>"9781438100562"</f>
        <v>9781438100562</v>
      </c>
      <c r="E9287" t="s">
        <v>3008</v>
      </c>
      <c r="F9287" t="s">
        <v>3008</v>
      </c>
      <c r="G9287" s="1">
        <v>39508</v>
      </c>
      <c r="H9287" s="1">
        <v>1</v>
      </c>
      <c r="I9287" t="s">
        <v>12</v>
      </c>
      <c r="J9287" t="s">
        <v>20057</v>
      </c>
    </row>
    <row r="9288" spans="1:10" x14ac:dyDescent="0.25">
      <c r="A9288">
        <v>4953152</v>
      </c>
      <c r="B9288" t="s">
        <v>9840</v>
      </c>
      <c r="C9288" t="str">
        <f>"9780816056873"</f>
        <v>9780816056873</v>
      </c>
      <c r="D9288" t="str">
        <f>"9781438103556"</f>
        <v>9781438103556</v>
      </c>
      <c r="E9288" t="s">
        <v>3008</v>
      </c>
      <c r="F9288" t="s">
        <v>3008</v>
      </c>
      <c r="G9288" s="1">
        <v>38292</v>
      </c>
      <c r="H9288" s="1">
        <v>1</v>
      </c>
      <c r="I9288" t="s">
        <v>12</v>
      </c>
      <c r="J9288" t="s">
        <v>20058</v>
      </c>
    </row>
    <row r="9289" spans="1:10" x14ac:dyDescent="0.25">
      <c r="A9289">
        <v>4953155</v>
      </c>
      <c r="B9289" t="s">
        <v>9841</v>
      </c>
      <c r="C9289" t="str">
        <f>"9780791097342"</f>
        <v>9780791097342</v>
      </c>
      <c r="D9289" t="str">
        <f>"9781438100579"</f>
        <v>9781438100579</v>
      </c>
      <c r="E9289" t="s">
        <v>3008</v>
      </c>
      <c r="F9289" t="s">
        <v>3008</v>
      </c>
      <c r="G9289" s="1">
        <v>39508</v>
      </c>
      <c r="H9289" s="1">
        <v>1</v>
      </c>
      <c r="I9289" t="s">
        <v>12</v>
      </c>
      <c r="J9289" t="s">
        <v>20059</v>
      </c>
    </row>
    <row r="9290" spans="1:10" x14ac:dyDescent="0.25">
      <c r="A9290">
        <v>4953157</v>
      </c>
      <c r="B9290" t="s">
        <v>9842</v>
      </c>
      <c r="C9290" t="str">
        <f>"9780791093818"</f>
        <v>9780791093818</v>
      </c>
      <c r="D9290" t="str">
        <f>"9781438103433"</f>
        <v>9781438103433</v>
      </c>
      <c r="E9290" t="s">
        <v>3008</v>
      </c>
      <c r="F9290" t="s">
        <v>3008</v>
      </c>
      <c r="G9290" s="1">
        <v>39052</v>
      </c>
      <c r="H9290" s="1">
        <v>1</v>
      </c>
      <c r="I9290" t="s">
        <v>12</v>
      </c>
      <c r="J9290" t="s">
        <v>20060</v>
      </c>
    </row>
    <row r="9291" spans="1:10" x14ac:dyDescent="0.25">
      <c r="A9291">
        <v>4953495</v>
      </c>
      <c r="B9291" t="s">
        <v>9843</v>
      </c>
      <c r="C9291" t="str">
        <f>""</f>
        <v/>
      </c>
      <c r="D9291" t="str">
        <f>"9788189940928"</f>
        <v>9788189940928</v>
      </c>
      <c r="E9291" t="s">
        <v>8130</v>
      </c>
      <c r="F9291" t="s">
        <v>8130</v>
      </c>
      <c r="G9291" s="1">
        <v>41773</v>
      </c>
      <c r="H9291" s="1">
        <v>1</v>
      </c>
      <c r="I9291" t="s">
        <v>12</v>
      </c>
      <c r="J9291" t="s">
        <v>20061</v>
      </c>
    </row>
    <row r="9292" spans="1:10" x14ac:dyDescent="0.25">
      <c r="A9292">
        <v>4953533</v>
      </c>
      <c r="B9292" t="s">
        <v>9844</v>
      </c>
      <c r="C9292" t="str">
        <f>""</f>
        <v/>
      </c>
      <c r="D9292" t="str">
        <f>"9788189940706"</f>
        <v>9788189940706</v>
      </c>
      <c r="E9292" t="s">
        <v>8130</v>
      </c>
      <c r="F9292" t="s">
        <v>8130</v>
      </c>
      <c r="G9292" s="1">
        <v>41773</v>
      </c>
      <c r="H9292" s="1">
        <v>1</v>
      </c>
      <c r="I9292" t="s">
        <v>12</v>
      </c>
      <c r="J9292" t="s">
        <v>20062</v>
      </c>
    </row>
    <row r="9293" spans="1:10" x14ac:dyDescent="0.25">
      <c r="A9293">
        <v>4953679</v>
      </c>
      <c r="B9293" t="s">
        <v>4036</v>
      </c>
      <c r="C9293" t="str">
        <f>""</f>
        <v/>
      </c>
      <c r="D9293" t="str">
        <f>"9781281123770"</f>
        <v>9781281123770</v>
      </c>
      <c r="E9293" t="s">
        <v>3740</v>
      </c>
      <c r="F9293" t="s">
        <v>3754</v>
      </c>
      <c r="G9293" s="1">
        <v>39196</v>
      </c>
      <c r="H9293" s="1">
        <v>1</v>
      </c>
      <c r="I9293" t="s">
        <v>12</v>
      </c>
      <c r="J9293" t="s">
        <v>20063</v>
      </c>
    </row>
    <row r="9294" spans="1:10" x14ac:dyDescent="0.25">
      <c r="A9294">
        <v>4953680</v>
      </c>
      <c r="B9294" t="s">
        <v>9845</v>
      </c>
      <c r="C9294" t="str">
        <f>""</f>
        <v/>
      </c>
      <c r="D9294" t="str">
        <f>"9781593859312"</f>
        <v>9781593859312</v>
      </c>
      <c r="E9294" t="s">
        <v>3740</v>
      </c>
      <c r="F9294" t="s">
        <v>3740</v>
      </c>
      <c r="G9294" s="1">
        <v>37987</v>
      </c>
      <c r="H9294" s="1">
        <v>1</v>
      </c>
      <c r="I9294" t="s">
        <v>12</v>
      </c>
      <c r="J9294" t="s">
        <v>20064</v>
      </c>
    </row>
    <row r="9295" spans="1:10" x14ac:dyDescent="0.25">
      <c r="A9295">
        <v>4953682</v>
      </c>
      <c r="B9295" t="s">
        <v>9846</v>
      </c>
      <c r="C9295" t="str">
        <f>""</f>
        <v/>
      </c>
      <c r="D9295" t="str">
        <f>"9781281228635"</f>
        <v>9781281228635</v>
      </c>
      <c r="E9295" t="s">
        <v>3740</v>
      </c>
      <c r="F9295" t="s">
        <v>3740</v>
      </c>
      <c r="G9295" s="1">
        <v>36161</v>
      </c>
      <c r="H9295" s="1">
        <v>1</v>
      </c>
      <c r="I9295" t="s">
        <v>12</v>
      </c>
      <c r="J9295" t="s">
        <v>20065</v>
      </c>
    </row>
    <row r="9296" spans="1:10" x14ac:dyDescent="0.25">
      <c r="A9296">
        <v>4953687</v>
      </c>
      <c r="B9296" t="s">
        <v>9847</v>
      </c>
      <c r="C9296" t="str">
        <f>"9781905641512"</f>
        <v>9781905641512</v>
      </c>
      <c r="D9296" t="str">
        <f>"9781281172006"</f>
        <v>9781281172006</v>
      </c>
      <c r="E9296" t="s">
        <v>8499</v>
      </c>
      <c r="F9296" t="s">
        <v>8499</v>
      </c>
      <c r="G9296" s="1">
        <v>39419</v>
      </c>
      <c r="H9296" s="1">
        <v>1</v>
      </c>
      <c r="I9296" t="s">
        <v>12</v>
      </c>
      <c r="J9296" t="s">
        <v>20066</v>
      </c>
    </row>
    <row r="9297" spans="1:10" x14ac:dyDescent="0.25">
      <c r="A9297">
        <v>4953688</v>
      </c>
      <c r="B9297" t="s">
        <v>9848</v>
      </c>
      <c r="C9297" t="str">
        <f>"9781905641192"</f>
        <v>9781905641192</v>
      </c>
      <c r="D9297" t="str">
        <f>"9781281172037"</f>
        <v>9781281172037</v>
      </c>
      <c r="E9297" t="s">
        <v>8499</v>
      </c>
      <c r="F9297" t="s">
        <v>8499</v>
      </c>
      <c r="G9297" s="1">
        <v>39283</v>
      </c>
      <c r="H9297" s="1">
        <v>1</v>
      </c>
      <c r="I9297" t="s">
        <v>12</v>
      </c>
      <c r="J9297" t="s">
        <v>20067</v>
      </c>
    </row>
    <row r="9298" spans="1:10" x14ac:dyDescent="0.25">
      <c r="A9298">
        <v>4953701</v>
      </c>
      <c r="B9298" t="s">
        <v>9849</v>
      </c>
      <c r="C9298" t="str">
        <f>"9781905641451"</f>
        <v>9781905641451</v>
      </c>
      <c r="D9298" t="str">
        <f>"9781281172068"</f>
        <v>9781281172068</v>
      </c>
      <c r="E9298" t="s">
        <v>8499</v>
      </c>
      <c r="F9298" t="s">
        <v>8499</v>
      </c>
      <c r="G9298" s="1">
        <v>39381</v>
      </c>
      <c r="H9298" s="1">
        <v>1</v>
      </c>
      <c r="I9298" t="s">
        <v>12</v>
      </c>
      <c r="J9298" t="s">
        <v>20068</v>
      </c>
    </row>
    <row r="9299" spans="1:10" x14ac:dyDescent="0.25">
      <c r="A9299">
        <v>4953709</v>
      </c>
      <c r="B9299" t="s">
        <v>9850</v>
      </c>
      <c r="C9299" t="str">
        <f>"9781905641130"</f>
        <v>9781905641130</v>
      </c>
      <c r="D9299" t="str">
        <f>"9781281172051"</f>
        <v>9781281172051</v>
      </c>
      <c r="E9299" t="s">
        <v>8499</v>
      </c>
      <c r="F9299" t="s">
        <v>8499</v>
      </c>
      <c r="G9299" s="1">
        <v>39234</v>
      </c>
      <c r="H9299" s="1">
        <v>1</v>
      </c>
      <c r="I9299" t="s">
        <v>12</v>
      </c>
      <c r="J9299" t="s">
        <v>20069</v>
      </c>
    </row>
    <row r="9300" spans="1:10" x14ac:dyDescent="0.25">
      <c r="A9300">
        <v>4953716</v>
      </c>
      <c r="B9300" t="s">
        <v>9851</v>
      </c>
      <c r="C9300" t="str">
        <f>"9781897597934"</f>
        <v>9781897597934</v>
      </c>
      <c r="D9300" t="str">
        <f>"9781281172020"</f>
        <v>9781281172020</v>
      </c>
      <c r="E9300" t="s">
        <v>8499</v>
      </c>
      <c r="F9300" t="s">
        <v>8499</v>
      </c>
      <c r="G9300" s="1">
        <v>39234</v>
      </c>
      <c r="H9300" s="1">
        <v>1</v>
      </c>
      <c r="I9300" t="s">
        <v>12</v>
      </c>
      <c r="J9300" t="s">
        <v>20070</v>
      </c>
    </row>
    <row r="9301" spans="1:10" x14ac:dyDescent="0.25">
      <c r="A9301">
        <v>4953864</v>
      </c>
      <c r="B9301" t="s">
        <v>9852</v>
      </c>
      <c r="C9301" t="str">
        <f>"9780874259391"</f>
        <v>9780874259391</v>
      </c>
      <c r="D9301" t="str">
        <f>"9781599964133"</f>
        <v>9781599964133</v>
      </c>
      <c r="E9301" t="s">
        <v>4259</v>
      </c>
      <c r="F9301" t="s">
        <v>4259</v>
      </c>
      <c r="G9301" s="1">
        <v>39097</v>
      </c>
      <c r="H9301" s="1">
        <v>1</v>
      </c>
      <c r="I9301" t="s">
        <v>12</v>
      </c>
      <c r="J9301" t="s">
        <v>20071</v>
      </c>
    </row>
    <row r="9302" spans="1:10" x14ac:dyDescent="0.25">
      <c r="A9302">
        <v>4953898</v>
      </c>
      <c r="B9302" t="s">
        <v>9853</v>
      </c>
      <c r="C9302" t="str">
        <f>"9781588435897"</f>
        <v>9781588435897</v>
      </c>
      <c r="D9302" t="str">
        <f>"9781588436259"</f>
        <v>9781588436259</v>
      </c>
      <c r="E9302" t="s">
        <v>11</v>
      </c>
      <c r="F9302" t="s">
        <v>11</v>
      </c>
      <c r="G9302" s="1">
        <v>39522</v>
      </c>
      <c r="H9302" s="1">
        <v>1</v>
      </c>
      <c r="I9302" t="s">
        <v>12</v>
      </c>
      <c r="J9302" t="s">
        <v>20072</v>
      </c>
    </row>
    <row r="9303" spans="1:10" x14ac:dyDescent="0.25">
      <c r="A9303">
        <v>4953937</v>
      </c>
      <c r="B9303" t="s">
        <v>9854</v>
      </c>
      <c r="C9303" t="str">
        <f>"9780597836428"</f>
        <v>9780597836428</v>
      </c>
      <c r="D9303" t="str">
        <f>"9781281183910"</f>
        <v>9781281183910</v>
      </c>
      <c r="E9303" t="s">
        <v>9855</v>
      </c>
      <c r="F9303" t="s">
        <v>9855</v>
      </c>
      <c r="G9303" s="1">
        <v>37925</v>
      </c>
      <c r="H9303" s="1">
        <v>1</v>
      </c>
      <c r="I9303" t="s">
        <v>12</v>
      </c>
      <c r="J9303" t="s">
        <v>20073</v>
      </c>
    </row>
    <row r="9304" spans="1:10" x14ac:dyDescent="0.25">
      <c r="A9304">
        <v>4953961</v>
      </c>
      <c r="B9304" t="s">
        <v>9856</v>
      </c>
      <c r="C9304" t="str">
        <f>"9780597842733"</f>
        <v>9780597842733</v>
      </c>
      <c r="D9304" t="str">
        <f>"9781281200310"</f>
        <v>9781281200310</v>
      </c>
      <c r="E9304" t="s">
        <v>9855</v>
      </c>
      <c r="F9304" t="s">
        <v>9855</v>
      </c>
      <c r="G9304" s="1">
        <v>38058</v>
      </c>
      <c r="H9304" s="1">
        <v>1</v>
      </c>
      <c r="I9304" t="s">
        <v>12</v>
      </c>
      <c r="J9304" t="s">
        <v>20074</v>
      </c>
    </row>
    <row r="9305" spans="1:10" x14ac:dyDescent="0.25">
      <c r="A9305">
        <v>4953967</v>
      </c>
      <c r="B9305" t="s">
        <v>9857</v>
      </c>
      <c r="C9305" t="str">
        <f>"9780497252656"</f>
        <v>9780497252656</v>
      </c>
      <c r="D9305" t="str">
        <f>"9781281677808"</f>
        <v>9781281677808</v>
      </c>
      <c r="E9305" t="s">
        <v>9855</v>
      </c>
      <c r="F9305" t="s">
        <v>9855</v>
      </c>
      <c r="G9305" s="1">
        <v>38735</v>
      </c>
      <c r="H9305" s="1">
        <v>1</v>
      </c>
      <c r="I9305" t="s">
        <v>12</v>
      </c>
      <c r="J9305" t="s">
        <v>20075</v>
      </c>
    </row>
    <row r="9306" spans="1:10" x14ac:dyDescent="0.25">
      <c r="A9306">
        <v>4953968</v>
      </c>
      <c r="B9306" t="s">
        <v>9858</v>
      </c>
      <c r="C9306" t="str">
        <f>"9780497256173"</f>
        <v>9780497256173</v>
      </c>
      <c r="D9306" t="str">
        <f>"9781281679352"</f>
        <v>9781281679352</v>
      </c>
      <c r="E9306" t="s">
        <v>9855</v>
      </c>
      <c r="F9306" t="s">
        <v>9855</v>
      </c>
      <c r="G9306" s="1">
        <v>38753</v>
      </c>
      <c r="H9306" s="1">
        <v>1</v>
      </c>
      <c r="I9306" t="s">
        <v>12</v>
      </c>
      <c r="J9306" t="s">
        <v>20076</v>
      </c>
    </row>
    <row r="9307" spans="1:10" x14ac:dyDescent="0.25">
      <c r="A9307">
        <v>4953969</v>
      </c>
      <c r="B9307" t="s">
        <v>9859</v>
      </c>
      <c r="C9307" t="str">
        <f>"9780497913823"</f>
        <v>9780497913823</v>
      </c>
      <c r="D9307" t="str">
        <f>"9781281683717"</f>
        <v>9781281683717</v>
      </c>
      <c r="E9307" t="s">
        <v>9855</v>
      </c>
      <c r="F9307" t="s">
        <v>9855</v>
      </c>
      <c r="G9307" s="1">
        <v>38753</v>
      </c>
      <c r="H9307" s="1">
        <v>1</v>
      </c>
      <c r="I9307" t="s">
        <v>12</v>
      </c>
      <c r="J9307" t="s">
        <v>20077</v>
      </c>
    </row>
    <row r="9308" spans="1:10" x14ac:dyDescent="0.25">
      <c r="A9308">
        <v>4953978</v>
      </c>
      <c r="B9308" t="s">
        <v>9860</v>
      </c>
      <c r="C9308" t="str">
        <f>"9780497257446"</f>
        <v>9780497257446</v>
      </c>
      <c r="D9308" t="str">
        <f>"9781281680570"</f>
        <v>9781281680570</v>
      </c>
      <c r="E9308" t="s">
        <v>9855</v>
      </c>
      <c r="F9308" t="s">
        <v>9855</v>
      </c>
      <c r="G9308" s="1">
        <v>38781</v>
      </c>
      <c r="H9308" s="1">
        <v>1</v>
      </c>
      <c r="I9308" t="s">
        <v>12</v>
      </c>
      <c r="J9308" t="s">
        <v>20078</v>
      </c>
    </row>
    <row r="9309" spans="1:10" x14ac:dyDescent="0.25">
      <c r="A9309">
        <v>4953979</v>
      </c>
      <c r="B9309" t="s">
        <v>9861</v>
      </c>
      <c r="C9309" t="str">
        <f>"9780497253301"</f>
        <v>9780497253301</v>
      </c>
      <c r="D9309" t="str">
        <f>"9781281678423"</f>
        <v>9781281678423</v>
      </c>
      <c r="E9309" t="s">
        <v>9855</v>
      </c>
      <c r="F9309" t="s">
        <v>9855</v>
      </c>
      <c r="G9309" s="1">
        <v>38735</v>
      </c>
      <c r="H9309" s="1">
        <v>1</v>
      </c>
      <c r="I9309" t="s">
        <v>12</v>
      </c>
      <c r="J9309" t="s">
        <v>20079</v>
      </c>
    </row>
    <row r="9310" spans="1:10" x14ac:dyDescent="0.25">
      <c r="A9310">
        <v>4953980</v>
      </c>
      <c r="B9310" t="s">
        <v>9862</v>
      </c>
      <c r="C9310" t="str">
        <f>"9780497255695"</f>
        <v>9780497255695</v>
      </c>
      <c r="D9310" t="str">
        <f>"9781281679321"</f>
        <v>9781281679321</v>
      </c>
      <c r="E9310" t="s">
        <v>9855</v>
      </c>
      <c r="F9310" t="s">
        <v>9855</v>
      </c>
      <c r="G9310" s="1">
        <v>38753</v>
      </c>
      <c r="H9310" s="1">
        <v>1</v>
      </c>
      <c r="I9310" t="s">
        <v>12</v>
      </c>
      <c r="J9310" t="s">
        <v>20080</v>
      </c>
    </row>
    <row r="9311" spans="1:10" x14ac:dyDescent="0.25">
      <c r="A9311">
        <v>4953981</v>
      </c>
      <c r="B9311" t="s">
        <v>9863</v>
      </c>
      <c r="C9311" t="str">
        <f>""</f>
        <v/>
      </c>
      <c r="D9311" t="str">
        <f>"9780497824297"</f>
        <v>9780497824297</v>
      </c>
      <c r="E9311" t="s">
        <v>9855</v>
      </c>
      <c r="F9311" t="s">
        <v>9855</v>
      </c>
      <c r="G9311" s="1">
        <v>39268</v>
      </c>
      <c r="H9311" s="1">
        <v>1</v>
      </c>
      <c r="I9311" t="s">
        <v>12</v>
      </c>
      <c r="J9311" t="s">
        <v>20081</v>
      </c>
    </row>
    <row r="9312" spans="1:10" x14ac:dyDescent="0.25">
      <c r="A9312">
        <v>4953982</v>
      </c>
      <c r="B9312" t="s">
        <v>9864</v>
      </c>
      <c r="C9312" t="str">
        <f>""</f>
        <v/>
      </c>
      <c r="D9312" t="str">
        <f>"9780497824372"</f>
        <v>9780497824372</v>
      </c>
      <c r="E9312" t="s">
        <v>9855</v>
      </c>
      <c r="F9312" t="s">
        <v>9855</v>
      </c>
      <c r="G9312" s="1">
        <v>39268</v>
      </c>
      <c r="H9312" s="1">
        <v>1</v>
      </c>
      <c r="I9312" t="s">
        <v>12</v>
      </c>
      <c r="J9312" t="s">
        <v>20082</v>
      </c>
    </row>
    <row r="9313" spans="1:10" x14ac:dyDescent="0.25">
      <c r="A9313">
        <v>4953983</v>
      </c>
      <c r="B9313" t="s">
        <v>9865</v>
      </c>
      <c r="C9313" t="str">
        <f>""</f>
        <v/>
      </c>
      <c r="D9313" t="str">
        <f>"9780497824570"</f>
        <v>9780497824570</v>
      </c>
      <c r="E9313" t="s">
        <v>9855</v>
      </c>
      <c r="F9313" t="s">
        <v>9855</v>
      </c>
      <c r="G9313" s="1">
        <v>39268</v>
      </c>
      <c r="H9313" s="1">
        <v>1</v>
      </c>
      <c r="I9313" t="s">
        <v>12</v>
      </c>
      <c r="J9313" t="s">
        <v>20083</v>
      </c>
    </row>
    <row r="9314" spans="1:10" x14ac:dyDescent="0.25">
      <c r="A9314">
        <v>4953986</v>
      </c>
      <c r="B9314" t="s">
        <v>9866</v>
      </c>
      <c r="C9314" t="str">
        <f>""</f>
        <v/>
      </c>
      <c r="D9314" t="str">
        <f>"9780497359775"</f>
        <v>9780497359775</v>
      </c>
      <c r="E9314" t="s">
        <v>9855</v>
      </c>
      <c r="F9314" t="s">
        <v>9855</v>
      </c>
      <c r="G9314" s="1">
        <v>39268</v>
      </c>
      <c r="H9314" s="1">
        <v>1</v>
      </c>
      <c r="I9314" t="s">
        <v>12</v>
      </c>
      <c r="J9314" t="s">
        <v>20084</v>
      </c>
    </row>
    <row r="9315" spans="1:10" x14ac:dyDescent="0.25">
      <c r="A9315">
        <v>4953987</v>
      </c>
      <c r="B9315" t="s">
        <v>9867</v>
      </c>
      <c r="C9315" t="str">
        <f>""</f>
        <v/>
      </c>
      <c r="D9315" t="str">
        <f>"9780497360399"</f>
        <v>9780497360399</v>
      </c>
      <c r="E9315" t="s">
        <v>9855</v>
      </c>
      <c r="F9315" t="s">
        <v>9855</v>
      </c>
      <c r="G9315" s="1">
        <v>39268</v>
      </c>
      <c r="H9315" s="1">
        <v>1</v>
      </c>
      <c r="I9315" t="s">
        <v>12</v>
      </c>
      <c r="J9315" t="s">
        <v>20085</v>
      </c>
    </row>
    <row r="9316" spans="1:10" x14ac:dyDescent="0.25">
      <c r="A9316">
        <v>4953988</v>
      </c>
      <c r="B9316" t="s">
        <v>9868</v>
      </c>
      <c r="C9316" t="str">
        <f>""</f>
        <v/>
      </c>
      <c r="D9316" t="str">
        <f>"9780497359874"</f>
        <v>9780497359874</v>
      </c>
      <c r="E9316" t="s">
        <v>9855</v>
      </c>
      <c r="F9316" t="s">
        <v>9855</v>
      </c>
      <c r="G9316" s="1">
        <v>39268</v>
      </c>
      <c r="H9316" s="1">
        <v>1</v>
      </c>
      <c r="I9316" t="s">
        <v>12</v>
      </c>
      <c r="J9316" t="s">
        <v>20086</v>
      </c>
    </row>
    <row r="9317" spans="1:10" x14ac:dyDescent="0.25">
      <c r="A9317">
        <v>4953989</v>
      </c>
      <c r="B9317" t="s">
        <v>9869</v>
      </c>
      <c r="C9317" t="str">
        <f>""</f>
        <v/>
      </c>
      <c r="D9317" t="str">
        <f>"9780497359935"</f>
        <v>9780497359935</v>
      </c>
      <c r="E9317" t="s">
        <v>9855</v>
      </c>
      <c r="F9317" t="s">
        <v>9855</v>
      </c>
      <c r="G9317" s="1">
        <v>39268</v>
      </c>
      <c r="H9317" s="1">
        <v>1</v>
      </c>
      <c r="I9317" t="s">
        <v>12</v>
      </c>
      <c r="J9317" t="s">
        <v>20087</v>
      </c>
    </row>
    <row r="9318" spans="1:10" x14ac:dyDescent="0.25">
      <c r="A9318">
        <v>4953990</v>
      </c>
      <c r="B9318" t="s">
        <v>9870</v>
      </c>
      <c r="C9318" t="str">
        <f>""</f>
        <v/>
      </c>
      <c r="D9318" t="str">
        <f>"9780497359997"</f>
        <v>9780497359997</v>
      </c>
      <c r="E9318" t="s">
        <v>9855</v>
      </c>
      <c r="F9318" t="s">
        <v>9855</v>
      </c>
      <c r="G9318" s="1">
        <v>39268</v>
      </c>
      <c r="H9318" s="1">
        <v>1</v>
      </c>
      <c r="I9318" t="s">
        <v>12</v>
      </c>
      <c r="J9318" t="s">
        <v>20088</v>
      </c>
    </row>
    <row r="9319" spans="1:10" x14ac:dyDescent="0.25">
      <c r="A9319">
        <v>4953992</v>
      </c>
      <c r="B9319" t="s">
        <v>9871</v>
      </c>
      <c r="C9319" t="str">
        <f>""</f>
        <v/>
      </c>
      <c r="D9319" t="str">
        <f>"9780497358693"</f>
        <v>9780497358693</v>
      </c>
      <c r="E9319" t="s">
        <v>9855</v>
      </c>
      <c r="F9319" t="s">
        <v>9855</v>
      </c>
      <c r="G9319" s="1">
        <v>39268</v>
      </c>
      <c r="H9319" s="1">
        <v>1</v>
      </c>
      <c r="I9319" t="s">
        <v>12</v>
      </c>
      <c r="J9319" t="s">
        <v>20089</v>
      </c>
    </row>
    <row r="9320" spans="1:10" x14ac:dyDescent="0.25">
      <c r="A9320">
        <v>4953995</v>
      </c>
      <c r="B9320" t="s">
        <v>9872</v>
      </c>
      <c r="C9320" t="str">
        <f>"9780497252786"</f>
        <v>9780497252786</v>
      </c>
      <c r="D9320" t="str">
        <f>"9781281677938"</f>
        <v>9781281677938</v>
      </c>
      <c r="E9320" t="s">
        <v>9855</v>
      </c>
      <c r="F9320" t="s">
        <v>9855</v>
      </c>
      <c r="G9320" s="1">
        <v>38735</v>
      </c>
      <c r="H9320" s="1">
        <v>1</v>
      </c>
      <c r="I9320" t="s">
        <v>12</v>
      </c>
      <c r="J9320" t="s">
        <v>20090</v>
      </c>
    </row>
    <row r="9321" spans="1:10" x14ac:dyDescent="0.25">
      <c r="A9321">
        <v>4954013</v>
      </c>
      <c r="B9321" t="s">
        <v>9873</v>
      </c>
      <c r="C9321" t="str">
        <f>""</f>
        <v/>
      </c>
      <c r="D9321" t="str">
        <f>"9781281424303"</f>
        <v>9781281424303</v>
      </c>
      <c r="E9321" t="s">
        <v>9855</v>
      </c>
      <c r="F9321" t="s">
        <v>9855</v>
      </c>
      <c r="G9321" s="1">
        <v>38894</v>
      </c>
      <c r="H9321" s="1">
        <v>1</v>
      </c>
      <c r="I9321" t="s">
        <v>12</v>
      </c>
      <c r="J9321" t="s">
        <v>20091</v>
      </c>
    </row>
    <row r="9322" spans="1:10" x14ac:dyDescent="0.25">
      <c r="A9322">
        <v>4954020</v>
      </c>
      <c r="B9322" t="s">
        <v>9874</v>
      </c>
      <c r="C9322" t="str">
        <f>"9780497906276"</f>
        <v>9780497906276</v>
      </c>
      <c r="D9322" t="str">
        <f>"9781281458636"</f>
        <v>9781281458636</v>
      </c>
      <c r="E9322" t="s">
        <v>9855</v>
      </c>
      <c r="F9322" t="s">
        <v>9855</v>
      </c>
      <c r="G9322" s="1">
        <v>39000</v>
      </c>
      <c r="H9322" s="1">
        <v>1</v>
      </c>
      <c r="I9322" t="s">
        <v>12</v>
      </c>
      <c r="J9322" t="s">
        <v>20092</v>
      </c>
    </row>
    <row r="9323" spans="1:10" x14ac:dyDescent="0.25">
      <c r="A9323">
        <v>4954026</v>
      </c>
      <c r="B9323" t="s">
        <v>9875</v>
      </c>
      <c r="C9323" t="str">
        <f>"9780497906481"</f>
        <v>9780497906481</v>
      </c>
      <c r="D9323" t="str">
        <f>"9781281458841"</f>
        <v>9781281458841</v>
      </c>
      <c r="E9323" t="s">
        <v>9855</v>
      </c>
      <c r="F9323" t="s">
        <v>9855</v>
      </c>
      <c r="G9323" s="1">
        <v>39000</v>
      </c>
      <c r="H9323" s="1">
        <v>1</v>
      </c>
      <c r="I9323" t="s">
        <v>12</v>
      </c>
      <c r="J9323" t="s">
        <v>20093</v>
      </c>
    </row>
    <row r="9324" spans="1:10" x14ac:dyDescent="0.25">
      <c r="A9324">
        <v>4954033</v>
      </c>
      <c r="B9324" t="s">
        <v>9876</v>
      </c>
      <c r="C9324" t="str">
        <f>"9780497907242"</f>
        <v>9780497907242</v>
      </c>
      <c r="D9324" t="str">
        <f>"9781281459442"</f>
        <v>9781281459442</v>
      </c>
      <c r="E9324" t="s">
        <v>9855</v>
      </c>
      <c r="F9324" t="s">
        <v>9855</v>
      </c>
      <c r="G9324" s="1">
        <v>39000</v>
      </c>
      <c r="H9324" s="1">
        <v>1</v>
      </c>
      <c r="I9324" t="s">
        <v>12</v>
      </c>
      <c r="J9324" t="s">
        <v>20094</v>
      </c>
    </row>
    <row r="9325" spans="1:10" x14ac:dyDescent="0.25">
      <c r="A9325">
        <v>4954034</v>
      </c>
      <c r="B9325" t="s">
        <v>9877</v>
      </c>
      <c r="C9325" t="str">
        <f>"9780497907273"</f>
        <v>9780497907273</v>
      </c>
      <c r="D9325" t="str">
        <f>"9781281459473"</f>
        <v>9781281459473</v>
      </c>
      <c r="E9325" t="s">
        <v>9855</v>
      </c>
      <c r="F9325" t="s">
        <v>9855</v>
      </c>
      <c r="G9325" s="1">
        <v>39000</v>
      </c>
      <c r="H9325" s="1">
        <v>1</v>
      </c>
      <c r="I9325" t="s">
        <v>12</v>
      </c>
      <c r="J9325" t="s">
        <v>20095</v>
      </c>
    </row>
    <row r="9326" spans="1:10" x14ac:dyDescent="0.25">
      <c r="A9326">
        <v>4954035</v>
      </c>
      <c r="B9326" t="s">
        <v>9878</v>
      </c>
      <c r="C9326" t="str">
        <f>"9780497907280"</f>
        <v>9780497907280</v>
      </c>
      <c r="D9326" t="str">
        <f>"9781281459480"</f>
        <v>9781281459480</v>
      </c>
      <c r="E9326" t="s">
        <v>9855</v>
      </c>
      <c r="F9326" t="s">
        <v>9855</v>
      </c>
      <c r="G9326" s="1">
        <v>39000</v>
      </c>
      <c r="H9326" s="1">
        <v>1</v>
      </c>
      <c r="I9326" t="s">
        <v>12</v>
      </c>
      <c r="J9326" t="s">
        <v>20096</v>
      </c>
    </row>
    <row r="9327" spans="1:10" x14ac:dyDescent="0.25">
      <c r="A9327">
        <v>4954037</v>
      </c>
      <c r="B9327" t="s">
        <v>9879</v>
      </c>
      <c r="C9327" t="str">
        <f>"9780497907372"</f>
        <v>9780497907372</v>
      </c>
      <c r="D9327" t="str">
        <f>"9781281459572"</f>
        <v>9781281459572</v>
      </c>
      <c r="E9327" t="s">
        <v>9855</v>
      </c>
      <c r="F9327" t="s">
        <v>9855</v>
      </c>
      <c r="G9327" s="1">
        <v>39000</v>
      </c>
      <c r="H9327" s="1">
        <v>1</v>
      </c>
      <c r="I9327" t="s">
        <v>12</v>
      </c>
      <c r="J9327" t="s">
        <v>20097</v>
      </c>
    </row>
    <row r="9328" spans="1:10" x14ac:dyDescent="0.25">
      <c r="A9328">
        <v>4954071</v>
      </c>
      <c r="B9328" t="s">
        <v>9880</v>
      </c>
      <c r="C9328" t="str">
        <f>"9780497259266"</f>
        <v>9780497259266</v>
      </c>
      <c r="D9328" t="str">
        <f>"9781281685506"</f>
        <v>9781281685506</v>
      </c>
      <c r="E9328" t="s">
        <v>9855</v>
      </c>
      <c r="F9328" t="s">
        <v>9855</v>
      </c>
      <c r="G9328" s="1">
        <v>38839</v>
      </c>
      <c r="H9328" s="1">
        <v>1</v>
      </c>
      <c r="I9328" t="s">
        <v>12</v>
      </c>
      <c r="J9328" t="s">
        <v>20098</v>
      </c>
    </row>
    <row r="9329" spans="1:10" x14ac:dyDescent="0.25">
      <c r="A9329">
        <v>4954072</v>
      </c>
      <c r="B9329" t="s">
        <v>9881</v>
      </c>
      <c r="C9329" t="str">
        <f>""</f>
        <v/>
      </c>
      <c r="D9329" t="str">
        <f>"9781281704863"</f>
        <v>9781281704863</v>
      </c>
      <c r="E9329" t="s">
        <v>9855</v>
      </c>
      <c r="F9329" t="s">
        <v>9855</v>
      </c>
      <c r="G9329" s="1">
        <v>39033</v>
      </c>
      <c r="H9329" s="1">
        <v>1</v>
      </c>
      <c r="I9329" t="s">
        <v>12</v>
      </c>
      <c r="J9329" t="s">
        <v>20099</v>
      </c>
    </row>
    <row r="9330" spans="1:10" x14ac:dyDescent="0.25">
      <c r="A9330">
        <v>4954074</v>
      </c>
      <c r="B9330" t="s">
        <v>9882</v>
      </c>
      <c r="C9330" t="str">
        <f>"9780497191757"</f>
        <v>9780497191757</v>
      </c>
      <c r="D9330" t="str">
        <f>"9781281770431"</f>
        <v>9781281770431</v>
      </c>
      <c r="E9330" t="s">
        <v>9855</v>
      </c>
      <c r="F9330" t="s">
        <v>9855</v>
      </c>
      <c r="G9330" s="1">
        <v>38429</v>
      </c>
      <c r="H9330" s="1">
        <v>1</v>
      </c>
      <c r="I9330" t="s">
        <v>12</v>
      </c>
      <c r="J9330" t="s">
        <v>20100</v>
      </c>
    </row>
    <row r="9331" spans="1:10" x14ac:dyDescent="0.25">
      <c r="A9331">
        <v>4954117</v>
      </c>
      <c r="B9331" t="s">
        <v>9883</v>
      </c>
      <c r="C9331" t="str">
        <f>"9780497261160"</f>
        <v>9780497261160</v>
      </c>
      <c r="D9331" t="str">
        <f>"9781281677181"</f>
        <v>9781281677181</v>
      </c>
      <c r="E9331" t="s">
        <v>9855</v>
      </c>
      <c r="F9331" t="s">
        <v>9855</v>
      </c>
      <c r="G9331" s="1">
        <v>38842</v>
      </c>
      <c r="H9331" s="1">
        <v>1</v>
      </c>
      <c r="I9331" t="s">
        <v>12</v>
      </c>
      <c r="J9331" t="s">
        <v>20101</v>
      </c>
    </row>
    <row r="9332" spans="1:10" x14ac:dyDescent="0.25">
      <c r="A9332">
        <v>4954121</v>
      </c>
      <c r="B9332" t="s">
        <v>9884</v>
      </c>
      <c r="C9332" t="str">
        <f>"9780497253639"</f>
        <v>9780497253639</v>
      </c>
      <c r="D9332" t="str">
        <f>"9781281678751"</f>
        <v>9781281678751</v>
      </c>
      <c r="E9332" t="s">
        <v>9855</v>
      </c>
      <c r="F9332" t="s">
        <v>9855</v>
      </c>
      <c r="G9332" s="1">
        <v>38735</v>
      </c>
      <c r="H9332" s="1">
        <v>1</v>
      </c>
      <c r="I9332" t="s">
        <v>12</v>
      </c>
      <c r="J9332" t="s">
        <v>20102</v>
      </c>
    </row>
    <row r="9333" spans="1:10" x14ac:dyDescent="0.25">
      <c r="A9333">
        <v>4954122</v>
      </c>
      <c r="B9333" t="s">
        <v>9885</v>
      </c>
      <c r="C9333" t="str">
        <f>"9780497253646"</f>
        <v>9780497253646</v>
      </c>
      <c r="D9333" t="str">
        <f>"9781281678768"</f>
        <v>9781281678768</v>
      </c>
      <c r="E9333" t="s">
        <v>9855</v>
      </c>
      <c r="F9333" t="s">
        <v>9855</v>
      </c>
      <c r="G9333" s="1">
        <v>38735</v>
      </c>
      <c r="H9333" s="1">
        <v>1</v>
      </c>
      <c r="I9333" t="s">
        <v>12</v>
      </c>
      <c r="J9333" t="s">
        <v>20103</v>
      </c>
    </row>
    <row r="9334" spans="1:10" x14ac:dyDescent="0.25">
      <c r="A9334">
        <v>4954123</v>
      </c>
      <c r="B9334" t="s">
        <v>9886</v>
      </c>
      <c r="C9334" t="str">
        <f>"9780497261825"</f>
        <v>9780497261825</v>
      </c>
      <c r="D9334" t="str">
        <f>"9781281686114"</f>
        <v>9781281686114</v>
      </c>
      <c r="E9334" t="s">
        <v>9855</v>
      </c>
      <c r="F9334" t="s">
        <v>9855</v>
      </c>
      <c r="G9334" s="1">
        <v>38839</v>
      </c>
      <c r="H9334" s="1">
        <v>1</v>
      </c>
      <c r="I9334" t="s">
        <v>12</v>
      </c>
      <c r="J9334" t="s">
        <v>20104</v>
      </c>
    </row>
    <row r="9335" spans="1:10" x14ac:dyDescent="0.25">
      <c r="A9335">
        <v>4954130</v>
      </c>
      <c r="B9335" t="s">
        <v>9887</v>
      </c>
      <c r="C9335" t="str">
        <f>"0000000029832"</f>
        <v>0000000029832</v>
      </c>
      <c r="D9335" t="str">
        <f>"9781281622334"</f>
        <v>9781281622334</v>
      </c>
      <c r="E9335" t="s">
        <v>9855</v>
      </c>
      <c r="F9335" t="s">
        <v>9855</v>
      </c>
      <c r="G9335" s="1">
        <v>39448</v>
      </c>
      <c r="H9335" s="1">
        <v>1</v>
      </c>
      <c r="I9335" t="s">
        <v>12</v>
      </c>
      <c r="J9335" t="s">
        <v>20105</v>
      </c>
    </row>
    <row r="9336" spans="1:10" x14ac:dyDescent="0.25">
      <c r="A9336">
        <v>4954216</v>
      </c>
      <c r="B9336" t="s">
        <v>9888</v>
      </c>
      <c r="C9336" t="str">
        <f>"9789068321500"</f>
        <v>9789068321500</v>
      </c>
      <c r="D9336" t="str">
        <f>"9781552500705"</f>
        <v>9781552500705</v>
      </c>
      <c r="E9336" t="s">
        <v>1968</v>
      </c>
      <c r="F9336" t="s">
        <v>1968</v>
      </c>
      <c r="G9336" s="1">
        <v>37956</v>
      </c>
      <c r="H9336" s="1">
        <v>1</v>
      </c>
      <c r="I9336" t="s">
        <v>12</v>
      </c>
      <c r="J9336" t="s">
        <v>20106</v>
      </c>
    </row>
    <row r="9337" spans="1:10" x14ac:dyDescent="0.25">
      <c r="A9337">
        <v>4955958</v>
      </c>
      <c r="B9337" t="s">
        <v>9889</v>
      </c>
      <c r="C9337" t="str">
        <f>"9781593113322"</f>
        <v>9781593113322</v>
      </c>
      <c r="D9337" t="str">
        <f>"9781281362476"</f>
        <v>9781281362476</v>
      </c>
      <c r="E9337" t="s">
        <v>8778</v>
      </c>
      <c r="F9337" t="s">
        <v>9890</v>
      </c>
      <c r="G9337" s="1">
        <v>38443</v>
      </c>
      <c r="H9337" s="1">
        <v>1</v>
      </c>
      <c r="I9337" t="s">
        <v>12</v>
      </c>
      <c r="J9337" t="s">
        <v>20107</v>
      </c>
    </row>
    <row r="9338" spans="1:10" x14ac:dyDescent="0.25">
      <c r="A9338">
        <v>4955989</v>
      </c>
      <c r="B9338" t="s">
        <v>9891</v>
      </c>
      <c r="C9338" t="str">
        <f>"9781930608467"</f>
        <v>9781930608467</v>
      </c>
      <c r="D9338" t="str">
        <f>"9781281383969"</f>
        <v>9781281383969</v>
      </c>
      <c r="E9338" t="s">
        <v>8778</v>
      </c>
      <c r="F9338" t="s">
        <v>9890</v>
      </c>
      <c r="G9338" s="1">
        <v>37622</v>
      </c>
      <c r="H9338" s="1">
        <v>1</v>
      </c>
      <c r="I9338" t="s">
        <v>12</v>
      </c>
      <c r="J9338" t="s">
        <v>20108</v>
      </c>
    </row>
    <row r="9339" spans="1:10" x14ac:dyDescent="0.25">
      <c r="A9339">
        <v>4956017</v>
      </c>
      <c r="B9339" t="s">
        <v>9892</v>
      </c>
      <c r="C9339" t="str">
        <f>"9781894663885"</f>
        <v>9781894663885</v>
      </c>
      <c r="D9339" t="str">
        <f>"9781897415030"</f>
        <v>9781897415030</v>
      </c>
      <c r="E9339" t="s">
        <v>3001</v>
      </c>
      <c r="F9339" t="s">
        <v>3001</v>
      </c>
      <c r="G9339" s="1">
        <v>41773</v>
      </c>
      <c r="H9339" s="1">
        <v>1</v>
      </c>
      <c r="I9339" t="s">
        <v>12</v>
      </c>
      <c r="J9339" t="s">
        <v>20109</v>
      </c>
    </row>
    <row r="9340" spans="1:10" x14ac:dyDescent="0.25">
      <c r="A9340">
        <v>4956020</v>
      </c>
      <c r="B9340" t="s">
        <v>9893</v>
      </c>
      <c r="C9340" t="str">
        <f>"9781897178157"</f>
        <v>9781897178157</v>
      </c>
      <c r="D9340" t="str">
        <f>"9781897415207"</f>
        <v>9781897415207</v>
      </c>
      <c r="E9340" t="s">
        <v>3001</v>
      </c>
      <c r="F9340" t="s">
        <v>3001</v>
      </c>
      <c r="G9340" s="1">
        <v>41787</v>
      </c>
      <c r="H9340" s="1">
        <v>1</v>
      </c>
      <c r="I9340" t="s">
        <v>12</v>
      </c>
      <c r="J9340" t="s">
        <v>20110</v>
      </c>
    </row>
    <row r="9341" spans="1:10" x14ac:dyDescent="0.25">
      <c r="A9341">
        <v>4956065</v>
      </c>
      <c r="B9341" t="s">
        <v>9894</v>
      </c>
      <c r="C9341" t="str">
        <f>"9781848395619"</f>
        <v>9781848395619</v>
      </c>
      <c r="D9341" t="str">
        <f>"9781281188694"</f>
        <v>9781281188694</v>
      </c>
      <c r="E9341" t="s">
        <v>9895</v>
      </c>
      <c r="F9341" t="s">
        <v>9895</v>
      </c>
      <c r="G9341" s="1">
        <v>38718</v>
      </c>
      <c r="H9341" s="1">
        <v>1</v>
      </c>
      <c r="I9341" t="s">
        <v>12</v>
      </c>
      <c r="J9341" t="s">
        <v>20111</v>
      </c>
    </row>
    <row r="9342" spans="1:10" x14ac:dyDescent="0.25">
      <c r="A9342">
        <v>4956082</v>
      </c>
      <c r="B9342" t="s">
        <v>9896</v>
      </c>
      <c r="C9342" t="str">
        <f>"9781840244786"</f>
        <v>9781840244786</v>
      </c>
      <c r="D9342" t="str">
        <f>"9781840248012"</f>
        <v>9781840248012</v>
      </c>
      <c r="E9342" t="s">
        <v>9895</v>
      </c>
      <c r="F9342" t="s">
        <v>9895</v>
      </c>
      <c r="G9342" s="1">
        <v>38698</v>
      </c>
      <c r="H9342" s="1">
        <v>1</v>
      </c>
      <c r="I9342" t="s">
        <v>12</v>
      </c>
      <c r="J9342" t="s">
        <v>20112</v>
      </c>
    </row>
    <row r="9343" spans="1:10" x14ac:dyDescent="0.25">
      <c r="A9343">
        <v>4956084</v>
      </c>
      <c r="B9343" t="s">
        <v>9897</v>
      </c>
      <c r="C9343" t="str">
        <f>"9781905170258"</f>
        <v>9781905170258</v>
      </c>
      <c r="D9343" t="str">
        <f>"9781281765833"</f>
        <v>9781281765833</v>
      </c>
      <c r="E9343" t="s">
        <v>9895</v>
      </c>
      <c r="F9343" t="s">
        <v>9895</v>
      </c>
      <c r="G9343" s="1">
        <v>38768</v>
      </c>
      <c r="H9343" s="1">
        <v>1</v>
      </c>
      <c r="I9343" t="s">
        <v>12</v>
      </c>
      <c r="J9343" t="s">
        <v>20113</v>
      </c>
    </row>
    <row r="9344" spans="1:10" x14ac:dyDescent="0.25">
      <c r="A9344">
        <v>4956138</v>
      </c>
      <c r="B9344" t="s">
        <v>9898</v>
      </c>
      <c r="C9344" t="str">
        <f>"9789077596180"</f>
        <v>9789077596180</v>
      </c>
      <c r="D9344" t="str">
        <f>"9789077596586"</f>
        <v>9789077596586</v>
      </c>
      <c r="E9344" t="s">
        <v>7784</v>
      </c>
      <c r="F9344" t="s">
        <v>7784</v>
      </c>
      <c r="G9344" s="1">
        <v>39508</v>
      </c>
      <c r="H9344" s="1">
        <v>1</v>
      </c>
      <c r="I9344" t="s">
        <v>12</v>
      </c>
      <c r="J9344" t="s">
        <v>20114</v>
      </c>
    </row>
    <row r="9345" spans="1:10" x14ac:dyDescent="0.25">
      <c r="A9345">
        <v>4956142</v>
      </c>
      <c r="B9345" t="s">
        <v>9899</v>
      </c>
      <c r="C9345" t="str">
        <f>"9781904905493"</f>
        <v>9781904905493</v>
      </c>
      <c r="D9345" t="str">
        <f>"9781904905677"</f>
        <v>9781904905677</v>
      </c>
      <c r="E9345" t="s">
        <v>8243</v>
      </c>
      <c r="F9345" t="s">
        <v>8244</v>
      </c>
      <c r="G9345" s="1">
        <v>39417</v>
      </c>
      <c r="H9345" s="1">
        <v>1</v>
      </c>
      <c r="I9345" t="s">
        <v>12</v>
      </c>
      <c r="J9345" t="s">
        <v>20115</v>
      </c>
    </row>
    <row r="9346" spans="1:10" x14ac:dyDescent="0.25">
      <c r="A9346">
        <v>4956145</v>
      </c>
      <c r="B9346" t="s">
        <v>9900</v>
      </c>
      <c r="C9346" t="str">
        <f>"9781904905066"</f>
        <v>9781904905066</v>
      </c>
      <c r="D9346" t="str">
        <f>"9781904905387"</f>
        <v>9781904905387</v>
      </c>
      <c r="E9346" t="s">
        <v>8243</v>
      </c>
      <c r="F9346" t="s">
        <v>8244</v>
      </c>
      <c r="G9346" s="1">
        <v>38657</v>
      </c>
      <c r="H9346" s="1">
        <v>1</v>
      </c>
      <c r="I9346" t="s">
        <v>12</v>
      </c>
      <c r="J9346" t="s">
        <v>20116</v>
      </c>
    </row>
    <row r="9347" spans="1:10" x14ac:dyDescent="0.25">
      <c r="A9347">
        <v>4956156</v>
      </c>
      <c r="B9347" t="s">
        <v>9901</v>
      </c>
      <c r="C9347" t="str">
        <f>"9781904905042"</f>
        <v>9781904905042</v>
      </c>
      <c r="D9347" t="str">
        <f>"9781280225987"</f>
        <v>9781280225987</v>
      </c>
      <c r="E9347" t="s">
        <v>8243</v>
      </c>
      <c r="F9347" t="s">
        <v>8244</v>
      </c>
      <c r="G9347" s="1">
        <v>38534</v>
      </c>
      <c r="H9347" s="1">
        <v>1</v>
      </c>
      <c r="I9347" t="s">
        <v>12</v>
      </c>
      <c r="J9347" t="s">
        <v>20117</v>
      </c>
    </row>
    <row r="9348" spans="1:10" x14ac:dyDescent="0.25">
      <c r="A9348">
        <v>4956159</v>
      </c>
      <c r="B9348" t="s">
        <v>9902</v>
      </c>
      <c r="C9348" t="str">
        <f>"9789077596548"</f>
        <v>9789077596548</v>
      </c>
      <c r="D9348" t="str">
        <f>"9789077596616"</f>
        <v>9789077596616</v>
      </c>
      <c r="E9348" t="s">
        <v>7784</v>
      </c>
      <c r="F9348" t="s">
        <v>7784</v>
      </c>
      <c r="G9348" s="1">
        <v>39540</v>
      </c>
      <c r="H9348" s="1">
        <v>1</v>
      </c>
      <c r="I9348" t="s">
        <v>12</v>
      </c>
      <c r="J9348" t="s">
        <v>20118</v>
      </c>
    </row>
    <row r="9349" spans="1:10" x14ac:dyDescent="0.25">
      <c r="A9349">
        <v>4956181</v>
      </c>
      <c r="B9349" t="s">
        <v>9903</v>
      </c>
      <c r="C9349" t="str">
        <f>""</f>
        <v/>
      </c>
      <c r="D9349" t="str">
        <f>"9781280566516"</f>
        <v>9781280566516</v>
      </c>
      <c r="E9349" t="s">
        <v>2950</v>
      </c>
      <c r="F9349" t="s">
        <v>2950</v>
      </c>
      <c r="G9349" s="1">
        <v>38693</v>
      </c>
      <c r="H9349" s="1">
        <v>1</v>
      </c>
      <c r="I9349" t="s">
        <v>12</v>
      </c>
      <c r="J9349" t="s">
        <v>20119</v>
      </c>
    </row>
    <row r="9350" spans="1:10" x14ac:dyDescent="0.25">
      <c r="A9350">
        <v>4956199</v>
      </c>
      <c r="B9350" t="s">
        <v>9904</v>
      </c>
      <c r="C9350" t="str">
        <f>"9781405136068"</f>
        <v>9781405136068</v>
      </c>
      <c r="D9350" t="str">
        <f>"9781405143974"</f>
        <v>9781405143974</v>
      </c>
      <c r="E9350" t="s">
        <v>9391</v>
      </c>
      <c r="F9350" t="s">
        <v>9391</v>
      </c>
      <c r="G9350" s="1">
        <v>41786</v>
      </c>
      <c r="H9350" s="1">
        <v>1</v>
      </c>
      <c r="I9350" t="s">
        <v>12</v>
      </c>
      <c r="J9350" t="s">
        <v>20120</v>
      </c>
    </row>
    <row r="9351" spans="1:10" x14ac:dyDescent="0.25">
      <c r="A9351">
        <v>4956200</v>
      </c>
      <c r="B9351" t="s">
        <v>9905</v>
      </c>
      <c r="C9351" t="str">
        <f>"9781405136075"</f>
        <v>9781405136075</v>
      </c>
      <c r="D9351" t="str">
        <f>"9781405143981"</f>
        <v>9781405143981</v>
      </c>
      <c r="E9351" t="s">
        <v>9391</v>
      </c>
      <c r="F9351" t="s">
        <v>9391</v>
      </c>
      <c r="G9351" s="1">
        <v>41786</v>
      </c>
      <c r="H9351" s="1">
        <v>1</v>
      </c>
      <c r="I9351" t="s">
        <v>12</v>
      </c>
      <c r="J9351" t="s">
        <v>20121</v>
      </c>
    </row>
    <row r="9352" spans="1:10" x14ac:dyDescent="0.25">
      <c r="A9352">
        <v>4956201</v>
      </c>
      <c r="B9352" t="s">
        <v>9906</v>
      </c>
      <c r="C9352" t="str">
        <f>"9781405136082"</f>
        <v>9781405136082</v>
      </c>
      <c r="D9352" t="str">
        <f>"9781405143998"</f>
        <v>9781405143998</v>
      </c>
      <c r="E9352" t="s">
        <v>9391</v>
      </c>
      <c r="F9352" t="s">
        <v>9391</v>
      </c>
      <c r="G9352" s="1">
        <v>41787</v>
      </c>
      <c r="H9352" s="1">
        <v>1</v>
      </c>
      <c r="I9352" t="s">
        <v>12</v>
      </c>
      <c r="J9352" t="s">
        <v>20122</v>
      </c>
    </row>
    <row r="9353" spans="1:10" x14ac:dyDescent="0.25">
      <c r="A9353">
        <v>4956339</v>
      </c>
      <c r="B9353" t="s">
        <v>9907</v>
      </c>
      <c r="C9353" t="str">
        <f>"9781405135283"</f>
        <v>9781405135283</v>
      </c>
      <c r="D9353" t="str">
        <f>"9781405181488"</f>
        <v>9781405181488</v>
      </c>
      <c r="E9353" t="s">
        <v>1138</v>
      </c>
      <c r="F9353" t="s">
        <v>1089</v>
      </c>
      <c r="G9353" s="1">
        <v>39553</v>
      </c>
      <c r="H9353" s="1">
        <v>1</v>
      </c>
      <c r="I9353" t="s">
        <v>12</v>
      </c>
      <c r="J9353" t="s">
        <v>20123</v>
      </c>
    </row>
    <row r="9354" spans="1:10" x14ac:dyDescent="0.25">
      <c r="A9354">
        <v>4956364</v>
      </c>
      <c r="B9354" t="s">
        <v>9908</v>
      </c>
      <c r="C9354" t="str">
        <f>"9781444334142"</f>
        <v>9781444334142</v>
      </c>
      <c r="D9354" t="str">
        <f>"9781405171939"</f>
        <v>9781405171939</v>
      </c>
      <c r="E9354" t="s">
        <v>1138</v>
      </c>
      <c r="F9354" t="s">
        <v>1089</v>
      </c>
      <c r="G9354" s="1">
        <v>39553</v>
      </c>
      <c r="H9354" s="1">
        <v>1</v>
      </c>
      <c r="I9354" t="s">
        <v>12</v>
      </c>
      <c r="J9354" t="s">
        <v>20124</v>
      </c>
    </row>
    <row r="9355" spans="1:10" x14ac:dyDescent="0.25">
      <c r="A9355">
        <v>4956669</v>
      </c>
      <c r="B9355" t="s">
        <v>9909</v>
      </c>
      <c r="C9355" t="str">
        <f>"9780631232735"</f>
        <v>9780631232735</v>
      </c>
      <c r="D9355" t="str">
        <f>"9781405171588"</f>
        <v>9781405171588</v>
      </c>
      <c r="E9355" t="s">
        <v>1138</v>
      </c>
      <c r="F9355" t="s">
        <v>1089</v>
      </c>
      <c r="G9355" s="1">
        <v>39848</v>
      </c>
      <c r="H9355" s="1">
        <v>1</v>
      </c>
      <c r="I9355" t="s">
        <v>12</v>
      </c>
      <c r="J9355" t="s">
        <v>20125</v>
      </c>
    </row>
    <row r="9356" spans="1:10" x14ac:dyDescent="0.25">
      <c r="A9356">
        <v>4958014</v>
      </c>
      <c r="B9356" t="s">
        <v>9910</v>
      </c>
      <c r="C9356" t="str">
        <f>""</f>
        <v/>
      </c>
      <c r="D9356" t="str">
        <f>"9781281228871"</f>
        <v>9781281228871</v>
      </c>
      <c r="E9356" t="s">
        <v>1059</v>
      </c>
      <c r="F9356" t="s">
        <v>1059</v>
      </c>
      <c r="G9356" s="1">
        <v>39694</v>
      </c>
      <c r="H9356" s="1">
        <v>1</v>
      </c>
      <c r="I9356" t="s">
        <v>12</v>
      </c>
      <c r="J9356" t="s">
        <v>20126</v>
      </c>
    </row>
    <row r="9357" spans="1:10" x14ac:dyDescent="0.25">
      <c r="A9357">
        <v>4958015</v>
      </c>
      <c r="B9357" t="s">
        <v>9911</v>
      </c>
      <c r="C9357" t="str">
        <f>"9780749445607"</f>
        <v>9780749445607</v>
      </c>
      <c r="D9357" t="str">
        <f>"9780749451882"</f>
        <v>9780749451882</v>
      </c>
      <c r="E9357" t="s">
        <v>1059</v>
      </c>
      <c r="F9357" t="s">
        <v>1059</v>
      </c>
      <c r="G9357" s="1">
        <v>38718</v>
      </c>
      <c r="H9357" s="1">
        <v>1</v>
      </c>
      <c r="I9357" t="s">
        <v>12</v>
      </c>
      <c r="J9357" t="s">
        <v>20127</v>
      </c>
    </row>
    <row r="9358" spans="1:10" x14ac:dyDescent="0.25">
      <c r="A9358">
        <v>4958021</v>
      </c>
      <c r="B9358" t="s">
        <v>9912</v>
      </c>
      <c r="C9358" t="str">
        <f>"9780749443740"</f>
        <v>9780749443740</v>
      </c>
      <c r="D9358" t="str">
        <f>"9780749447458"</f>
        <v>9780749447458</v>
      </c>
      <c r="E9358" t="s">
        <v>1059</v>
      </c>
      <c r="F9358" t="s">
        <v>1059</v>
      </c>
      <c r="G9358" s="1">
        <v>38353</v>
      </c>
      <c r="H9358" s="1">
        <v>1</v>
      </c>
      <c r="I9358" t="s">
        <v>12</v>
      </c>
      <c r="J9358" t="s">
        <v>20128</v>
      </c>
    </row>
    <row r="9359" spans="1:10" x14ac:dyDescent="0.25">
      <c r="A9359">
        <v>4958025</v>
      </c>
      <c r="B9359" t="s">
        <v>9913</v>
      </c>
      <c r="C9359" t="str">
        <f>"9780749448363"</f>
        <v>9780749448363</v>
      </c>
      <c r="D9359" t="str">
        <f>"9780749450441"</f>
        <v>9780749450441</v>
      </c>
      <c r="E9359" t="s">
        <v>1059</v>
      </c>
      <c r="F9359" t="s">
        <v>1059</v>
      </c>
      <c r="G9359" s="1">
        <v>38991</v>
      </c>
      <c r="H9359" s="1">
        <v>1</v>
      </c>
      <c r="I9359" t="s">
        <v>12</v>
      </c>
      <c r="J9359" t="s">
        <v>20129</v>
      </c>
    </row>
    <row r="9360" spans="1:10" x14ac:dyDescent="0.25">
      <c r="A9360">
        <v>4958035</v>
      </c>
      <c r="B9360" t="s">
        <v>9914</v>
      </c>
      <c r="C9360" t="str">
        <f>""</f>
        <v/>
      </c>
      <c r="D9360" t="str">
        <f>"9780749452032"</f>
        <v>9780749452032</v>
      </c>
      <c r="E9360" t="s">
        <v>1059</v>
      </c>
      <c r="F9360" t="s">
        <v>1059</v>
      </c>
      <c r="G9360" s="1">
        <v>39083</v>
      </c>
      <c r="H9360" s="1">
        <v>1</v>
      </c>
      <c r="I9360" t="s">
        <v>12</v>
      </c>
      <c r="J9360" t="s">
        <v>20130</v>
      </c>
    </row>
    <row r="9361" spans="1:10" x14ac:dyDescent="0.25">
      <c r="A9361">
        <v>4958040</v>
      </c>
      <c r="B9361" t="s">
        <v>9915</v>
      </c>
      <c r="C9361" t="str">
        <f>"9780749450533"</f>
        <v>9780749450533</v>
      </c>
      <c r="D9361" t="str">
        <f>"9780749452957"</f>
        <v>9780749452957</v>
      </c>
      <c r="E9361" t="s">
        <v>1059</v>
      </c>
      <c r="F9361" t="s">
        <v>1059</v>
      </c>
      <c r="G9361" s="1">
        <v>39389</v>
      </c>
      <c r="H9361" s="1">
        <v>1</v>
      </c>
      <c r="I9361" t="s">
        <v>12</v>
      </c>
      <c r="J9361" t="s">
        <v>20131</v>
      </c>
    </row>
    <row r="9362" spans="1:10" x14ac:dyDescent="0.25">
      <c r="A9362">
        <v>4958043</v>
      </c>
      <c r="B9362" t="s">
        <v>9916</v>
      </c>
      <c r="C9362" t="str">
        <f>""</f>
        <v/>
      </c>
      <c r="D9362" t="str">
        <f>"9781280851629"</f>
        <v>9781280851629</v>
      </c>
      <c r="E9362" t="s">
        <v>1059</v>
      </c>
      <c r="F9362" t="s">
        <v>1059</v>
      </c>
      <c r="G9362" s="1">
        <v>38963</v>
      </c>
      <c r="H9362" s="1">
        <v>1</v>
      </c>
      <c r="I9362" t="s">
        <v>12</v>
      </c>
      <c r="J9362" t="s">
        <v>20132</v>
      </c>
    </row>
    <row r="9363" spans="1:10" x14ac:dyDescent="0.25">
      <c r="A9363">
        <v>4958047</v>
      </c>
      <c r="B9363" t="s">
        <v>9917</v>
      </c>
      <c r="C9363" t="str">
        <f>"9780749448035"</f>
        <v>9780749448035</v>
      </c>
      <c r="D9363" t="str">
        <f>"9780749451202"</f>
        <v>9780749451202</v>
      </c>
      <c r="E9363" t="s">
        <v>1059</v>
      </c>
      <c r="F9363" t="s">
        <v>1059</v>
      </c>
      <c r="G9363" s="1">
        <v>39083</v>
      </c>
      <c r="H9363" s="1">
        <v>1</v>
      </c>
      <c r="I9363" t="s">
        <v>12</v>
      </c>
      <c r="J9363" t="s">
        <v>20133</v>
      </c>
    </row>
    <row r="9364" spans="1:10" x14ac:dyDescent="0.25">
      <c r="A9364">
        <v>4958049</v>
      </c>
      <c r="B9364" t="s">
        <v>9918</v>
      </c>
      <c r="C9364" t="str">
        <f>"9780749450557"</f>
        <v>9780749450557</v>
      </c>
      <c r="D9364" t="str">
        <f>"9780749452858"</f>
        <v>9780749452858</v>
      </c>
      <c r="E9364" t="s">
        <v>1059</v>
      </c>
      <c r="F9364" t="s">
        <v>1059</v>
      </c>
      <c r="G9364" s="1">
        <v>39448</v>
      </c>
      <c r="H9364" s="1">
        <v>1</v>
      </c>
      <c r="I9364" t="s">
        <v>12</v>
      </c>
      <c r="J9364" t="s">
        <v>20134</v>
      </c>
    </row>
    <row r="9365" spans="1:10" x14ac:dyDescent="0.25">
      <c r="A9365">
        <v>4958050</v>
      </c>
      <c r="B9365" t="s">
        <v>9919</v>
      </c>
      <c r="C9365" t="str">
        <f>"9780749449889"</f>
        <v>9780749449889</v>
      </c>
      <c r="D9365" t="str">
        <f>"9780749452131"</f>
        <v>9780749452131</v>
      </c>
      <c r="E9365" t="s">
        <v>1059</v>
      </c>
      <c r="F9365" t="s">
        <v>1059</v>
      </c>
      <c r="G9365" s="1">
        <v>39297</v>
      </c>
      <c r="H9365" s="1">
        <v>1</v>
      </c>
      <c r="I9365" t="s">
        <v>12</v>
      </c>
      <c r="J9365" t="s">
        <v>20135</v>
      </c>
    </row>
    <row r="9366" spans="1:10" x14ac:dyDescent="0.25">
      <c r="A9366">
        <v>4958054</v>
      </c>
      <c r="B9366" t="s">
        <v>9920</v>
      </c>
      <c r="C9366" t="str">
        <f>"9780749448127"</f>
        <v>9780749448127</v>
      </c>
      <c r="D9366" t="str">
        <f>"9780749451219"</f>
        <v>9780749451219</v>
      </c>
      <c r="E9366" t="s">
        <v>1059</v>
      </c>
      <c r="F9366" t="s">
        <v>1059</v>
      </c>
      <c r="G9366" s="1">
        <v>39083</v>
      </c>
      <c r="H9366" s="1">
        <v>1</v>
      </c>
      <c r="I9366" t="s">
        <v>12</v>
      </c>
      <c r="J9366" t="s">
        <v>20136</v>
      </c>
    </row>
    <row r="9367" spans="1:10" x14ac:dyDescent="0.25">
      <c r="A9367">
        <v>4958057</v>
      </c>
      <c r="B9367" t="s">
        <v>9921</v>
      </c>
      <c r="C9367" t="str">
        <f>"9780749443986"</f>
        <v>9780749443986</v>
      </c>
      <c r="D9367" t="str">
        <f>"9780749447878"</f>
        <v>9780749447878</v>
      </c>
      <c r="E9367" t="s">
        <v>1059</v>
      </c>
      <c r="F9367" t="s">
        <v>1059</v>
      </c>
      <c r="G9367" s="1">
        <v>38475</v>
      </c>
      <c r="H9367" s="1">
        <v>1</v>
      </c>
      <c r="I9367" t="s">
        <v>12</v>
      </c>
      <c r="J9367" t="s">
        <v>20137</v>
      </c>
    </row>
    <row r="9368" spans="1:10" x14ac:dyDescent="0.25">
      <c r="A9368">
        <v>4958059</v>
      </c>
      <c r="B9368" t="s">
        <v>9922</v>
      </c>
      <c r="C9368" t="str">
        <f>"9780749450724"</f>
        <v>9780749450724</v>
      </c>
      <c r="D9368" t="str">
        <f>"9780749452919"</f>
        <v>9780749452919</v>
      </c>
      <c r="E9368" t="s">
        <v>1059</v>
      </c>
      <c r="F9368" t="s">
        <v>1059</v>
      </c>
      <c r="G9368" s="1">
        <v>39448</v>
      </c>
      <c r="H9368" s="1">
        <v>1</v>
      </c>
      <c r="I9368" t="s">
        <v>12</v>
      </c>
      <c r="J9368" t="s">
        <v>20138</v>
      </c>
    </row>
    <row r="9369" spans="1:10" x14ac:dyDescent="0.25">
      <c r="A9369">
        <v>4958078</v>
      </c>
      <c r="B9369" t="s">
        <v>9923</v>
      </c>
      <c r="C9369" t="str">
        <f>""</f>
        <v/>
      </c>
      <c r="D9369" t="str">
        <f>"9781280302954"</f>
        <v>9781280302954</v>
      </c>
      <c r="E9369" t="s">
        <v>1059</v>
      </c>
      <c r="F9369" t="s">
        <v>1059</v>
      </c>
      <c r="G9369" s="1">
        <v>38598</v>
      </c>
      <c r="H9369" s="1">
        <v>1</v>
      </c>
      <c r="I9369" t="s">
        <v>12</v>
      </c>
      <c r="J9369" t="s">
        <v>20139</v>
      </c>
    </row>
    <row r="9370" spans="1:10" x14ac:dyDescent="0.25">
      <c r="A9370">
        <v>4958079</v>
      </c>
      <c r="B9370" t="s">
        <v>9924</v>
      </c>
      <c r="C9370" t="str">
        <f>"9780749446895"</f>
        <v>9780749446895</v>
      </c>
      <c r="D9370" t="str">
        <f>"9781280550669"</f>
        <v>9781280550669</v>
      </c>
      <c r="E9370" t="s">
        <v>1059</v>
      </c>
      <c r="F9370" t="s">
        <v>1059</v>
      </c>
      <c r="G9370" s="1">
        <v>38840</v>
      </c>
      <c r="H9370" s="1">
        <v>43220</v>
      </c>
      <c r="I9370" t="s">
        <v>12</v>
      </c>
      <c r="J9370" t="s">
        <v>20140</v>
      </c>
    </row>
    <row r="9371" spans="1:10" x14ac:dyDescent="0.25">
      <c r="A9371">
        <v>4958910</v>
      </c>
      <c r="B9371" t="s">
        <v>9925</v>
      </c>
      <c r="C9371" t="str">
        <f>"9780071363099"</f>
        <v>9780071363099</v>
      </c>
      <c r="D9371" t="str">
        <f>"9780071380133"</f>
        <v>9780071380133</v>
      </c>
      <c r="E9371" t="s">
        <v>9926</v>
      </c>
      <c r="F9371" t="s">
        <v>9926</v>
      </c>
      <c r="G9371" s="1">
        <v>36894</v>
      </c>
      <c r="H9371" s="1">
        <v>1</v>
      </c>
      <c r="I9371" t="s">
        <v>12</v>
      </c>
      <c r="J9371" t="s">
        <v>20141</v>
      </c>
    </row>
    <row r="9372" spans="1:10" x14ac:dyDescent="0.25">
      <c r="A9372">
        <v>4959688</v>
      </c>
      <c r="B9372" t="s">
        <v>9927</v>
      </c>
      <c r="C9372" t="str">
        <f>"9780071424097"</f>
        <v>9780071424097</v>
      </c>
      <c r="D9372" t="str">
        <f>"9780071460613"</f>
        <v>9780071460613</v>
      </c>
      <c r="E9372" t="s">
        <v>9926</v>
      </c>
      <c r="F9372" t="s">
        <v>9926</v>
      </c>
      <c r="G9372" s="1">
        <v>38312</v>
      </c>
      <c r="H9372" s="1">
        <v>1</v>
      </c>
      <c r="I9372" t="s">
        <v>12</v>
      </c>
      <c r="J9372" t="s">
        <v>20142</v>
      </c>
    </row>
    <row r="9373" spans="1:10" x14ac:dyDescent="0.25">
      <c r="A9373">
        <v>4960257</v>
      </c>
      <c r="B9373" t="s">
        <v>9928</v>
      </c>
      <c r="C9373" t="str">
        <f>"9780071464819"</f>
        <v>9780071464819</v>
      </c>
      <c r="D9373" t="str">
        <f>"9780071502207"</f>
        <v>9780071502207</v>
      </c>
      <c r="E9373" t="s">
        <v>9926</v>
      </c>
      <c r="F9373" t="s">
        <v>9926</v>
      </c>
      <c r="G9373" s="1">
        <v>38723</v>
      </c>
      <c r="H9373" s="1">
        <v>1</v>
      </c>
      <c r="I9373" t="s">
        <v>12</v>
      </c>
      <c r="J9373" t="s">
        <v>20143</v>
      </c>
    </row>
    <row r="9374" spans="1:10" x14ac:dyDescent="0.25">
      <c r="A9374">
        <v>4960666</v>
      </c>
      <c r="B9374" t="s">
        <v>9929</v>
      </c>
      <c r="C9374" t="str">
        <f>"9780335222384"</f>
        <v>9780335222384</v>
      </c>
      <c r="D9374" t="str">
        <f>"9780335229932"</f>
        <v>9780335229932</v>
      </c>
      <c r="E9374" t="s">
        <v>2795</v>
      </c>
      <c r="F9374" t="s">
        <v>2796</v>
      </c>
      <c r="G9374" s="1">
        <v>39142</v>
      </c>
      <c r="H9374" s="1">
        <v>1</v>
      </c>
      <c r="I9374" t="s">
        <v>12</v>
      </c>
      <c r="J9374" t="s">
        <v>20144</v>
      </c>
    </row>
    <row r="9375" spans="1:10" x14ac:dyDescent="0.25">
      <c r="A9375">
        <v>4960667</v>
      </c>
      <c r="B9375" t="s">
        <v>9930</v>
      </c>
      <c r="C9375" t="str">
        <f>"9780335201617"</f>
        <v>9780335201617</v>
      </c>
      <c r="D9375" t="str">
        <f>"9780335230969"</f>
        <v>9780335230969</v>
      </c>
      <c r="E9375" t="s">
        <v>2795</v>
      </c>
      <c r="F9375" t="s">
        <v>2796</v>
      </c>
      <c r="G9375" s="1">
        <v>36404</v>
      </c>
      <c r="H9375" s="1">
        <v>1</v>
      </c>
      <c r="I9375" t="s">
        <v>12</v>
      </c>
      <c r="J9375" t="s">
        <v>20145</v>
      </c>
    </row>
    <row r="9376" spans="1:10" x14ac:dyDescent="0.25">
      <c r="A9376">
        <v>4960670</v>
      </c>
      <c r="B9376" t="s">
        <v>9931</v>
      </c>
      <c r="C9376" t="str">
        <f>"9780335095247"</f>
        <v>9780335095247</v>
      </c>
      <c r="D9376" t="str">
        <f>"9780335232871"</f>
        <v>9780335232871</v>
      </c>
      <c r="E9376" t="s">
        <v>2795</v>
      </c>
      <c r="F9376" t="s">
        <v>2796</v>
      </c>
      <c r="G9376" s="1">
        <v>32295</v>
      </c>
      <c r="H9376" s="1">
        <v>1</v>
      </c>
      <c r="I9376" t="s">
        <v>12</v>
      </c>
      <c r="J9376" t="s">
        <v>20146</v>
      </c>
    </row>
    <row r="9377" spans="1:10" x14ac:dyDescent="0.25">
      <c r="A9377">
        <v>4960683</v>
      </c>
      <c r="B9377" t="s">
        <v>9932</v>
      </c>
      <c r="C9377" t="str">
        <f>"9780335229475"</f>
        <v>9780335229475</v>
      </c>
      <c r="D9377" t="str">
        <f>"9780335219780"</f>
        <v>9780335219780</v>
      </c>
      <c r="E9377" t="s">
        <v>2795</v>
      </c>
      <c r="F9377" t="s">
        <v>2796</v>
      </c>
      <c r="G9377" s="1">
        <v>39082</v>
      </c>
      <c r="H9377" s="1">
        <v>1</v>
      </c>
      <c r="I9377" t="s">
        <v>12</v>
      </c>
      <c r="J9377" t="s">
        <v>20147</v>
      </c>
    </row>
    <row r="9378" spans="1:10" x14ac:dyDescent="0.25">
      <c r="A9378">
        <v>4960687</v>
      </c>
      <c r="B9378" t="s">
        <v>9933</v>
      </c>
      <c r="C9378" t="str">
        <f>"9780335207220"</f>
        <v>9780335207220</v>
      </c>
      <c r="D9378" t="str">
        <f>"9780335230563"</f>
        <v>9780335230563</v>
      </c>
      <c r="E9378" t="s">
        <v>2795</v>
      </c>
      <c r="F9378" t="s">
        <v>2796</v>
      </c>
      <c r="G9378" s="1">
        <v>37469</v>
      </c>
      <c r="H9378" s="1">
        <v>1</v>
      </c>
      <c r="I9378" t="s">
        <v>12</v>
      </c>
      <c r="J9378" t="s">
        <v>20148</v>
      </c>
    </row>
    <row r="9379" spans="1:10" x14ac:dyDescent="0.25">
      <c r="A9379">
        <v>4960695</v>
      </c>
      <c r="B9379" t="s">
        <v>9934</v>
      </c>
      <c r="C9379" t="str">
        <f>"9780335199846"</f>
        <v>9780335199846</v>
      </c>
      <c r="D9379" t="str">
        <f>"9780335230624"</f>
        <v>9780335230624</v>
      </c>
      <c r="E9379" t="s">
        <v>2795</v>
      </c>
      <c r="F9379" t="s">
        <v>2796</v>
      </c>
      <c r="G9379" s="1">
        <v>36281</v>
      </c>
      <c r="H9379" s="1">
        <v>1</v>
      </c>
      <c r="I9379" t="s">
        <v>12</v>
      </c>
      <c r="J9379" t="s">
        <v>20149</v>
      </c>
    </row>
    <row r="9380" spans="1:10" x14ac:dyDescent="0.25">
      <c r="A9380">
        <v>4960698</v>
      </c>
      <c r="B9380" t="s">
        <v>9935</v>
      </c>
      <c r="C9380" t="str">
        <f>"9780335197835"</f>
        <v>9780335197835</v>
      </c>
      <c r="D9380" t="str">
        <f>"9780335230662"</f>
        <v>9780335230662</v>
      </c>
      <c r="E9380" t="s">
        <v>2795</v>
      </c>
      <c r="F9380" t="s">
        <v>2796</v>
      </c>
      <c r="G9380" s="1">
        <v>35916</v>
      </c>
      <c r="H9380" s="1">
        <v>1</v>
      </c>
      <c r="I9380" t="s">
        <v>12</v>
      </c>
      <c r="J9380" t="s">
        <v>20150</v>
      </c>
    </row>
    <row r="9381" spans="1:10" x14ac:dyDescent="0.25">
      <c r="A9381">
        <v>4960701</v>
      </c>
      <c r="B9381" t="s">
        <v>9936</v>
      </c>
      <c r="C9381" t="str">
        <f>"9780335202508"</f>
        <v>9780335202508</v>
      </c>
      <c r="D9381" t="str">
        <f>"9780335230716"</f>
        <v>9780335230716</v>
      </c>
      <c r="E9381" t="s">
        <v>2795</v>
      </c>
      <c r="F9381" t="s">
        <v>2796</v>
      </c>
      <c r="G9381" s="1">
        <v>37226</v>
      </c>
      <c r="H9381" s="1">
        <v>1</v>
      </c>
      <c r="I9381" t="s">
        <v>12</v>
      </c>
      <c r="J9381" t="s">
        <v>20151</v>
      </c>
    </row>
    <row r="9382" spans="1:10" x14ac:dyDescent="0.25">
      <c r="A9382">
        <v>4960708</v>
      </c>
      <c r="B9382" t="s">
        <v>9937</v>
      </c>
      <c r="C9382" t="str">
        <f>""</f>
        <v/>
      </c>
      <c r="D9382" t="str">
        <f>"9781281129048"</f>
        <v>9781281129048</v>
      </c>
      <c r="E9382" t="s">
        <v>2795</v>
      </c>
      <c r="F9382" t="s">
        <v>2796</v>
      </c>
      <c r="G9382" s="1">
        <v>39264</v>
      </c>
      <c r="H9382" s="1">
        <v>1</v>
      </c>
      <c r="I9382" t="s">
        <v>12</v>
      </c>
      <c r="J9382" t="s">
        <v>20152</v>
      </c>
    </row>
    <row r="9383" spans="1:10" x14ac:dyDescent="0.25">
      <c r="A9383">
        <v>4960725</v>
      </c>
      <c r="B9383" t="s">
        <v>9938</v>
      </c>
      <c r="C9383" t="str">
        <f>"9780335191758"</f>
        <v>9780335191758</v>
      </c>
      <c r="D9383" t="str">
        <f>"9780335231027"</f>
        <v>9780335231027</v>
      </c>
      <c r="E9383" t="s">
        <v>2795</v>
      </c>
      <c r="F9383" t="s">
        <v>2796</v>
      </c>
      <c r="G9383" s="1">
        <v>34669</v>
      </c>
      <c r="H9383" s="1">
        <v>1</v>
      </c>
      <c r="I9383" t="s">
        <v>12</v>
      </c>
      <c r="J9383" t="s">
        <v>20153</v>
      </c>
    </row>
    <row r="9384" spans="1:10" x14ac:dyDescent="0.25">
      <c r="A9384">
        <v>4960745</v>
      </c>
      <c r="B9384" t="s">
        <v>9939</v>
      </c>
      <c r="C9384" t="str">
        <f>"9780335198412"</f>
        <v>9780335198412</v>
      </c>
      <c r="D9384" t="str">
        <f>"9780335231256"</f>
        <v>9780335231256</v>
      </c>
      <c r="E9384" t="s">
        <v>2795</v>
      </c>
      <c r="F9384" t="s">
        <v>2796</v>
      </c>
      <c r="G9384" s="1">
        <v>35490</v>
      </c>
      <c r="H9384" s="1">
        <v>1</v>
      </c>
      <c r="I9384" t="s">
        <v>12</v>
      </c>
      <c r="J9384" t="s">
        <v>20154</v>
      </c>
    </row>
    <row r="9385" spans="1:10" x14ac:dyDescent="0.25">
      <c r="A9385">
        <v>4960751</v>
      </c>
      <c r="B9385" t="s">
        <v>9940</v>
      </c>
      <c r="C9385" t="str">
        <f>"9780335198214"</f>
        <v>9780335198214</v>
      </c>
      <c r="D9385" t="str">
        <f>"9780335231317"</f>
        <v>9780335231317</v>
      </c>
      <c r="E9385" t="s">
        <v>2795</v>
      </c>
      <c r="F9385" t="s">
        <v>2796</v>
      </c>
      <c r="G9385" s="1">
        <v>36373</v>
      </c>
      <c r="H9385" s="1">
        <v>1</v>
      </c>
      <c r="I9385" t="s">
        <v>12</v>
      </c>
      <c r="J9385" t="s">
        <v>20155</v>
      </c>
    </row>
    <row r="9386" spans="1:10" x14ac:dyDescent="0.25">
      <c r="A9386">
        <v>4960758</v>
      </c>
      <c r="B9386" t="s">
        <v>9941</v>
      </c>
      <c r="C9386" t="str">
        <f>"9780335200962"</f>
        <v>9780335200962</v>
      </c>
      <c r="D9386" t="str">
        <f>"9780335230815"</f>
        <v>9780335230815</v>
      </c>
      <c r="E9386" t="s">
        <v>2795</v>
      </c>
      <c r="F9386" t="s">
        <v>2796</v>
      </c>
      <c r="G9386" s="1">
        <v>36161</v>
      </c>
      <c r="H9386" s="1">
        <v>1</v>
      </c>
      <c r="I9386" t="s">
        <v>12</v>
      </c>
      <c r="J9386" t="s">
        <v>20156</v>
      </c>
    </row>
    <row r="9387" spans="1:10" x14ac:dyDescent="0.25">
      <c r="A9387">
        <v>4960760</v>
      </c>
      <c r="B9387" t="s">
        <v>9942</v>
      </c>
      <c r="C9387" t="str">
        <f>"9780335204892"</f>
        <v>9780335204892</v>
      </c>
      <c r="D9387" t="str">
        <f>"9780335231393"</f>
        <v>9780335231393</v>
      </c>
      <c r="E9387" t="s">
        <v>2795</v>
      </c>
      <c r="F9387" t="s">
        <v>2796</v>
      </c>
      <c r="G9387" s="1">
        <v>36861</v>
      </c>
      <c r="H9387" s="1">
        <v>1</v>
      </c>
      <c r="I9387" t="s">
        <v>12</v>
      </c>
      <c r="J9387" t="s">
        <v>20157</v>
      </c>
    </row>
    <row r="9388" spans="1:10" x14ac:dyDescent="0.25">
      <c r="A9388">
        <v>4960769</v>
      </c>
      <c r="B9388" t="s">
        <v>9943</v>
      </c>
      <c r="C9388" t="str">
        <f>"9780335096893"</f>
        <v>9780335096893</v>
      </c>
      <c r="D9388" t="str">
        <f>"9780335231492"</f>
        <v>9780335231492</v>
      </c>
      <c r="E9388" t="s">
        <v>2795</v>
      </c>
      <c r="F9388" t="s">
        <v>2796</v>
      </c>
      <c r="G9388" s="1">
        <v>33329</v>
      </c>
      <c r="H9388" s="1">
        <v>1</v>
      </c>
      <c r="I9388" t="s">
        <v>12</v>
      </c>
      <c r="J9388" t="s">
        <v>20158</v>
      </c>
    </row>
    <row r="9389" spans="1:10" x14ac:dyDescent="0.25">
      <c r="A9389">
        <v>4960772</v>
      </c>
      <c r="B9389" t="s">
        <v>9944</v>
      </c>
      <c r="C9389" t="str">
        <f>"9780335096626"</f>
        <v>9780335096626</v>
      </c>
      <c r="D9389" t="str">
        <f>"9780335231515"</f>
        <v>9780335231515</v>
      </c>
      <c r="E9389" t="s">
        <v>2795</v>
      </c>
      <c r="F9389" t="s">
        <v>2796</v>
      </c>
      <c r="G9389" s="1">
        <v>33848</v>
      </c>
      <c r="H9389" s="1">
        <v>1</v>
      </c>
      <c r="I9389" t="s">
        <v>12</v>
      </c>
      <c r="J9389" t="s">
        <v>20159</v>
      </c>
    </row>
    <row r="9390" spans="1:10" x14ac:dyDescent="0.25">
      <c r="A9390">
        <v>4960778</v>
      </c>
      <c r="B9390" t="s">
        <v>9945</v>
      </c>
      <c r="C9390" t="str">
        <f>"9780335095759"</f>
        <v>9780335095759</v>
      </c>
      <c r="D9390" t="str">
        <f>"9780335231577"</f>
        <v>9780335231577</v>
      </c>
      <c r="E9390" t="s">
        <v>2795</v>
      </c>
      <c r="F9390" t="s">
        <v>2796</v>
      </c>
      <c r="G9390" s="1">
        <v>33756</v>
      </c>
      <c r="H9390" s="1">
        <v>1</v>
      </c>
      <c r="I9390" t="s">
        <v>12</v>
      </c>
      <c r="J9390" t="s">
        <v>20160</v>
      </c>
    </row>
    <row r="9391" spans="1:10" x14ac:dyDescent="0.25">
      <c r="A9391">
        <v>4960785</v>
      </c>
      <c r="B9391" t="s">
        <v>9946</v>
      </c>
      <c r="C9391" t="str">
        <f>"9780335197606"</f>
        <v>9780335197606</v>
      </c>
      <c r="D9391" t="str">
        <f>"9780335231621"</f>
        <v>9780335231621</v>
      </c>
      <c r="E9391" t="s">
        <v>2795</v>
      </c>
      <c r="F9391" t="s">
        <v>2796</v>
      </c>
      <c r="G9391" s="1">
        <v>35551</v>
      </c>
      <c r="H9391" s="1">
        <v>1</v>
      </c>
      <c r="I9391" t="s">
        <v>12</v>
      </c>
      <c r="J9391" t="s">
        <v>20161</v>
      </c>
    </row>
    <row r="9392" spans="1:10" x14ac:dyDescent="0.25">
      <c r="A9392">
        <v>4960812</v>
      </c>
      <c r="B9392" t="s">
        <v>9947</v>
      </c>
      <c r="C9392" t="str">
        <f>"9780335197255"</f>
        <v>9780335197255</v>
      </c>
      <c r="D9392" t="str">
        <f>"9780335231911"</f>
        <v>9780335231911</v>
      </c>
      <c r="E9392" t="s">
        <v>2795</v>
      </c>
      <c r="F9392" t="s">
        <v>2796</v>
      </c>
      <c r="G9392" s="1">
        <v>35643</v>
      </c>
      <c r="H9392" s="1">
        <v>1</v>
      </c>
      <c r="I9392" t="s">
        <v>12</v>
      </c>
      <c r="J9392" t="s">
        <v>20162</v>
      </c>
    </row>
    <row r="9393" spans="1:10" x14ac:dyDescent="0.25">
      <c r="A9393">
        <v>4960819</v>
      </c>
      <c r="B9393" t="s">
        <v>9948</v>
      </c>
      <c r="C9393" t="str">
        <f>"9780335226023"</f>
        <v>9780335226023</v>
      </c>
      <c r="D9393" t="str">
        <f>"9780335212675"</f>
        <v>9780335212675</v>
      </c>
      <c r="E9393" t="s">
        <v>2795</v>
      </c>
      <c r="F9393" t="s">
        <v>2796</v>
      </c>
      <c r="G9393" s="1">
        <v>38322</v>
      </c>
      <c r="H9393" s="1">
        <v>1</v>
      </c>
      <c r="I9393" t="s">
        <v>12</v>
      </c>
      <c r="J9393" t="s">
        <v>20163</v>
      </c>
    </row>
    <row r="9394" spans="1:10" x14ac:dyDescent="0.25">
      <c r="A9394">
        <v>4960821</v>
      </c>
      <c r="B9394" t="s">
        <v>9949</v>
      </c>
      <c r="C9394" t="str">
        <f>"9780335201235"</f>
        <v>9780335201235</v>
      </c>
      <c r="D9394" t="str">
        <f>"9780335232000"</f>
        <v>9780335232000</v>
      </c>
      <c r="E9394" t="s">
        <v>2795</v>
      </c>
      <c r="F9394" t="s">
        <v>2796</v>
      </c>
      <c r="G9394" s="1">
        <v>37104</v>
      </c>
      <c r="H9394" s="1">
        <v>1</v>
      </c>
      <c r="I9394" t="s">
        <v>12</v>
      </c>
      <c r="J9394" t="s">
        <v>20164</v>
      </c>
    </row>
    <row r="9395" spans="1:10" x14ac:dyDescent="0.25">
      <c r="A9395">
        <v>4960825</v>
      </c>
      <c r="B9395" t="s">
        <v>9950</v>
      </c>
      <c r="C9395" t="str">
        <f>"9780335200009"</f>
        <v>9780335200009</v>
      </c>
      <c r="D9395" t="str">
        <f>"9780335232024"</f>
        <v>9780335232024</v>
      </c>
      <c r="E9395" t="s">
        <v>2795</v>
      </c>
      <c r="F9395" t="s">
        <v>2796</v>
      </c>
      <c r="G9395" s="1">
        <v>36434</v>
      </c>
      <c r="H9395" s="1">
        <v>1</v>
      </c>
      <c r="I9395" t="s">
        <v>12</v>
      </c>
      <c r="J9395" t="s">
        <v>20165</v>
      </c>
    </row>
    <row r="9396" spans="1:10" x14ac:dyDescent="0.25">
      <c r="A9396">
        <v>4960826</v>
      </c>
      <c r="B9396" t="s">
        <v>9951</v>
      </c>
      <c r="C9396" t="str">
        <f>"9780335209309"</f>
        <v>9780335209309</v>
      </c>
      <c r="D9396" t="str">
        <f>"9780335232048"</f>
        <v>9780335232048</v>
      </c>
      <c r="E9396" t="s">
        <v>2795</v>
      </c>
      <c r="F9396" t="s">
        <v>2796</v>
      </c>
      <c r="G9396" s="1">
        <v>37438</v>
      </c>
      <c r="H9396" s="1">
        <v>1</v>
      </c>
      <c r="I9396" t="s">
        <v>12</v>
      </c>
      <c r="J9396" t="s">
        <v>20166</v>
      </c>
    </row>
    <row r="9397" spans="1:10" x14ac:dyDescent="0.25">
      <c r="A9397">
        <v>4960830</v>
      </c>
      <c r="B9397" t="s">
        <v>9952</v>
      </c>
      <c r="C9397" t="str">
        <f>"9780335197521"</f>
        <v>9780335197521</v>
      </c>
      <c r="D9397" t="str">
        <f>"9780335232086"</f>
        <v>9780335232086</v>
      </c>
      <c r="E9397" t="s">
        <v>2795</v>
      </c>
      <c r="F9397" t="s">
        <v>2796</v>
      </c>
      <c r="G9397" s="1">
        <v>36557</v>
      </c>
      <c r="H9397" s="1">
        <v>1</v>
      </c>
      <c r="I9397" t="s">
        <v>12</v>
      </c>
      <c r="J9397" t="s">
        <v>20167</v>
      </c>
    </row>
    <row r="9398" spans="1:10" x14ac:dyDescent="0.25">
      <c r="A9398">
        <v>4960832</v>
      </c>
      <c r="B9398" t="s">
        <v>9953</v>
      </c>
      <c r="C9398" t="str">
        <f>"9780335206087"</f>
        <v>9780335206087</v>
      </c>
      <c r="D9398" t="str">
        <f>"9780335232116"</f>
        <v>9780335232116</v>
      </c>
      <c r="E9398" t="s">
        <v>2795</v>
      </c>
      <c r="F9398" t="s">
        <v>2796</v>
      </c>
      <c r="G9398" s="1">
        <v>37165</v>
      </c>
      <c r="H9398" s="1">
        <v>1</v>
      </c>
      <c r="I9398" t="s">
        <v>12</v>
      </c>
      <c r="J9398" t="s">
        <v>20168</v>
      </c>
    </row>
    <row r="9399" spans="1:10" x14ac:dyDescent="0.25">
      <c r="A9399">
        <v>4960833</v>
      </c>
      <c r="B9399" t="s">
        <v>9954</v>
      </c>
      <c r="C9399" t="str">
        <f>"9780335195220"</f>
        <v>9780335195220</v>
      </c>
      <c r="D9399" t="str">
        <f>"9780335232123"</f>
        <v>9780335232123</v>
      </c>
      <c r="E9399" t="s">
        <v>2795</v>
      </c>
      <c r="F9399" t="s">
        <v>2796</v>
      </c>
      <c r="G9399" s="1">
        <v>36281</v>
      </c>
      <c r="H9399" s="1">
        <v>1</v>
      </c>
      <c r="I9399" t="s">
        <v>12</v>
      </c>
      <c r="J9399" t="s">
        <v>20169</v>
      </c>
    </row>
    <row r="9400" spans="1:10" x14ac:dyDescent="0.25">
      <c r="A9400">
        <v>4960834</v>
      </c>
      <c r="B9400" t="s">
        <v>9955</v>
      </c>
      <c r="C9400" t="str">
        <f>"9780335226207"</f>
        <v>9780335226207</v>
      </c>
      <c r="D9400" t="str">
        <f>"9780335218226"</f>
        <v>9780335218226</v>
      </c>
      <c r="E9400" t="s">
        <v>2795</v>
      </c>
      <c r="F9400" t="s">
        <v>2796</v>
      </c>
      <c r="G9400" s="1">
        <v>38443</v>
      </c>
      <c r="H9400" s="1">
        <v>1</v>
      </c>
      <c r="I9400" t="s">
        <v>12</v>
      </c>
      <c r="J9400" t="s">
        <v>20170</v>
      </c>
    </row>
    <row r="9401" spans="1:10" x14ac:dyDescent="0.25">
      <c r="A9401">
        <v>4960835</v>
      </c>
      <c r="B9401" t="s">
        <v>9956</v>
      </c>
      <c r="C9401" t="str">
        <f>"9780335202799"</f>
        <v>9780335202799</v>
      </c>
      <c r="D9401" t="str">
        <f>"9780335232130"</f>
        <v>9780335232130</v>
      </c>
      <c r="E9401" t="s">
        <v>2795</v>
      </c>
      <c r="F9401" t="s">
        <v>2796</v>
      </c>
      <c r="G9401" s="1">
        <v>36495</v>
      </c>
      <c r="H9401" s="1">
        <v>1</v>
      </c>
      <c r="I9401" t="s">
        <v>12</v>
      </c>
      <c r="J9401" t="s">
        <v>20171</v>
      </c>
    </row>
    <row r="9402" spans="1:10" x14ac:dyDescent="0.25">
      <c r="A9402">
        <v>4960843</v>
      </c>
      <c r="B9402" t="s">
        <v>9957</v>
      </c>
      <c r="C9402" t="str">
        <f>"9780335198832"</f>
        <v>9780335198832</v>
      </c>
      <c r="D9402" t="str">
        <f>"9780335232239"</f>
        <v>9780335232239</v>
      </c>
      <c r="E9402" t="s">
        <v>2795</v>
      </c>
      <c r="F9402" t="s">
        <v>2796</v>
      </c>
      <c r="G9402" s="1">
        <v>36312</v>
      </c>
      <c r="H9402" s="1">
        <v>1</v>
      </c>
      <c r="I9402" t="s">
        <v>12</v>
      </c>
      <c r="J9402" t="s">
        <v>20172</v>
      </c>
    </row>
    <row r="9403" spans="1:10" x14ac:dyDescent="0.25">
      <c r="A9403">
        <v>4960847</v>
      </c>
      <c r="B9403" t="s">
        <v>9958</v>
      </c>
      <c r="C9403" t="str">
        <f>"9780335152759"</f>
        <v>9780335152759</v>
      </c>
      <c r="D9403" t="str">
        <f>"9780335232284"</f>
        <v>9780335232284</v>
      </c>
      <c r="E9403" t="s">
        <v>2795</v>
      </c>
      <c r="F9403" t="s">
        <v>2796</v>
      </c>
      <c r="G9403" s="1">
        <v>32964</v>
      </c>
      <c r="H9403" s="1">
        <v>1</v>
      </c>
      <c r="I9403" t="s">
        <v>12</v>
      </c>
      <c r="J9403" t="s">
        <v>20173</v>
      </c>
    </row>
    <row r="9404" spans="1:10" x14ac:dyDescent="0.25">
      <c r="A9404">
        <v>4960849</v>
      </c>
      <c r="B9404" t="s">
        <v>9959</v>
      </c>
      <c r="C9404" t="str">
        <f>"9780335200986"</f>
        <v>9780335200986</v>
      </c>
      <c r="D9404" t="str">
        <f>"9780335232314"</f>
        <v>9780335232314</v>
      </c>
      <c r="E9404" t="s">
        <v>2795</v>
      </c>
      <c r="F9404" t="s">
        <v>2796</v>
      </c>
      <c r="G9404" s="1">
        <v>36647</v>
      </c>
      <c r="H9404" s="1">
        <v>1</v>
      </c>
      <c r="I9404" t="s">
        <v>12</v>
      </c>
      <c r="J9404" t="s">
        <v>20174</v>
      </c>
    </row>
    <row r="9405" spans="1:10" x14ac:dyDescent="0.25">
      <c r="A9405">
        <v>4960857</v>
      </c>
      <c r="B9405" t="s">
        <v>9960</v>
      </c>
      <c r="C9405" t="str">
        <f>"9780335230068"</f>
        <v>9780335230068</v>
      </c>
      <c r="D9405" t="str">
        <f>"9780335221301"</f>
        <v>9780335221301</v>
      </c>
      <c r="E9405" t="s">
        <v>2795</v>
      </c>
      <c r="F9405" t="s">
        <v>2796</v>
      </c>
      <c r="G9405" s="1">
        <v>39264</v>
      </c>
      <c r="H9405" s="1">
        <v>1</v>
      </c>
      <c r="I9405" t="s">
        <v>12</v>
      </c>
      <c r="J9405" t="s">
        <v>20175</v>
      </c>
    </row>
    <row r="9406" spans="1:10" x14ac:dyDescent="0.25">
      <c r="A9406">
        <v>4960861</v>
      </c>
      <c r="B9406" t="s">
        <v>9961</v>
      </c>
      <c r="C9406" t="str">
        <f>"9780335226603"</f>
        <v>9780335226603</v>
      </c>
      <c r="D9406" t="str">
        <f>"9780335213924"</f>
        <v>9780335213924</v>
      </c>
      <c r="E9406" t="s">
        <v>2795</v>
      </c>
      <c r="F9406" t="s">
        <v>2796</v>
      </c>
      <c r="G9406" s="1">
        <v>38717</v>
      </c>
      <c r="H9406" s="1">
        <v>1</v>
      </c>
      <c r="I9406" t="s">
        <v>12</v>
      </c>
      <c r="J9406" t="s">
        <v>20176</v>
      </c>
    </row>
    <row r="9407" spans="1:10" x14ac:dyDescent="0.25">
      <c r="A9407">
        <v>4960862</v>
      </c>
      <c r="B9407" t="s">
        <v>9962</v>
      </c>
      <c r="C9407" t="str">
        <f>"9780335226610"</f>
        <v>9780335226610</v>
      </c>
      <c r="D9407" t="str">
        <f>"9780335212842"</f>
        <v>9780335212842</v>
      </c>
      <c r="E9407" t="s">
        <v>2795</v>
      </c>
      <c r="F9407" t="s">
        <v>2796</v>
      </c>
      <c r="G9407" s="1">
        <v>37986</v>
      </c>
      <c r="H9407" s="1">
        <v>1</v>
      </c>
      <c r="I9407" t="s">
        <v>12</v>
      </c>
      <c r="J9407" t="s">
        <v>20177</v>
      </c>
    </row>
    <row r="9408" spans="1:10" x14ac:dyDescent="0.25">
      <c r="A9408">
        <v>4960865</v>
      </c>
      <c r="B9408" t="s">
        <v>9963</v>
      </c>
      <c r="C9408" t="str">
        <f>"9780335201921"</f>
        <v>9780335201921</v>
      </c>
      <c r="D9408" t="str">
        <f>"9780335232420"</f>
        <v>9780335232420</v>
      </c>
      <c r="E9408" t="s">
        <v>2795</v>
      </c>
      <c r="F9408" t="s">
        <v>2796</v>
      </c>
      <c r="G9408" s="1">
        <v>36404</v>
      </c>
      <c r="H9408" s="1">
        <v>1</v>
      </c>
      <c r="I9408" t="s">
        <v>12</v>
      </c>
      <c r="J9408" t="s">
        <v>20178</v>
      </c>
    </row>
    <row r="9409" spans="1:10" x14ac:dyDescent="0.25">
      <c r="A9409">
        <v>4960866</v>
      </c>
      <c r="B9409" t="s">
        <v>9964</v>
      </c>
      <c r="C9409" t="str">
        <f>"9780335205608"</f>
        <v>9780335205608</v>
      </c>
      <c r="D9409" t="str">
        <f>"9780335232437"</f>
        <v>9780335232437</v>
      </c>
      <c r="E9409" t="s">
        <v>2795</v>
      </c>
      <c r="F9409" t="s">
        <v>2796</v>
      </c>
      <c r="G9409" s="1">
        <v>36923</v>
      </c>
      <c r="H9409" s="1">
        <v>1</v>
      </c>
      <c r="I9409" t="s">
        <v>12</v>
      </c>
      <c r="J9409" t="s">
        <v>20179</v>
      </c>
    </row>
    <row r="9410" spans="1:10" x14ac:dyDescent="0.25">
      <c r="A9410">
        <v>4960876</v>
      </c>
      <c r="B9410" t="s">
        <v>9965</v>
      </c>
      <c r="C9410" t="str">
        <f>"9780335235209"</f>
        <v>9780335235209</v>
      </c>
      <c r="D9410" t="str">
        <f>"9780335222773"</f>
        <v>9780335222773</v>
      </c>
      <c r="E9410" t="s">
        <v>2795</v>
      </c>
      <c r="F9410" t="s">
        <v>2796</v>
      </c>
      <c r="G9410" s="1">
        <v>39813</v>
      </c>
      <c r="H9410" s="1">
        <v>1</v>
      </c>
      <c r="I9410" t="s">
        <v>12</v>
      </c>
      <c r="J9410" t="s">
        <v>20180</v>
      </c>
    </row>
    <row r="9411" spans="1:10" x14ac:dyDescent="0.25">
      <c r="A9411">
        <v>4960881</v>
      </c>
      <c r="B9411" t="s">
        <v>9966</v>
      </c>
      <c r="C9411" t="str">
        <f>"9780335203291"</f>
        <v>9780335203291</v>
      </c>
      <c r="D9411" t="str">
        <f>"9780335232536"</f>
        <v>9780335232536</v>
      </c>
      <c r="E9411" t="s">
        <v>2795</v>
      </c>
      <c r="F9411" t="s">
        <v>2796</v>
      </c>
      <c r="G9411" s="1">
        <v>36495</v>
      </c>
      <c r="H9411" s="1">
        <v>1</v>
      </c>
      <c r="I9411" t="s">
        <v>12</v>
      </c>
      <c r="J9411" t="s">
        <v>20181</v>
      </c>
    </row>
    <row r="9412" spans="1:10" x14ac:dyDescent="0.25">
      <c r="A9412">
        <v>4960901</v>
      </c>
      <c r="B9412" t="s">
        <v>9967</v>
      </c>
      <c r="C9412" t="str">
        <f>"9780335203376"</f>
        <v>9780335203376</v>
      </c>
      <c r="D9412" t="str">
        <f>"9780335232727"</f>
        <v>9780335232727</v>
      </c>
      <c r="E9412" t="s">
        <v>2795</v>
      </c>
      <c r="F9412" t="s">
        <v>2796</v>
      </c>
      <c r="G9412" s="1">
        <v>36617</v>
      </c>
      <c r="H9412" s="1">
        <v>1</v>
      </c>
      <c r="I9412" t="s">
        <v>12</v>
      </c>
      <c r="J9412" t="s">
        <v>20182</v>
      </c>
    </row>
    <row r="9413" spans="1:10" x14ac:dyDescent="0.25">
      <c r="A9413">
        <v>4960903</v>
      </c>
      <c r="B9413" t="s">
        <v>9968</v>
      </c>
      <c r="C9413" t="str">
        <f>"9780335156252"</f>
        <v>9780335156252</v>
      </c>
      <c r="D9413" t="str">
        <f>"9780335232734"</f>
        <v>9780335232734</v>
      </c>
      <c r="E9413" t="s">
        <v>2795</v>
      </c>
      <c r="F9413" t="s">
        <v>2796</v>
      </c>
      <c r="G9413" s="1">
        <v>33695</v>
      </c>
      <c r="H9413" s="1">
        <v>1</v>
      </c>
      <c r="I9413" t="s">
        <v>12</v>
      </c>
      <c r="J9413" t="s">
        <v>20183</v>
      </c>
    </row>
    <row r="9414" spans="1:10" x14ac:dyDescent="0.25">
      <c r="A9414">
        <v>4960920</v>
      </c>
      <c r="B9414" t="s">
        <v>9969</v>
      </c>
      <c r="C9414" t="str">
        <f>"9780335212545"</f>
        <v>9780335212545</v>
      </c>
      <c r="D9414" t="str">
        <f>"9780335232932"</f>
        <v>9780335232932</v>
      </c>
      <c r="E9414" t="s">
        <v>2795</v>
      </c>
      <c r="F9414" t="s">
        <v>2796</v>
      </c>
      <c r="G9414" s="1">
        <v>37561</v>
      </c>
      <c r="H9414" s="1">
        <v>1</v>
      </c>
      <c r="I9414" t="s">
        <v>12</v>
      </c>
      <c r="J9414" t="s">
        <v>20184</v>
      </c>
    </row>
    <row r="9415" spans="1:10" x14ac:dyDescent="0.25">
      <c r="A9415">
        <v>4960922</v>
      </c>
      <c r="B9415" t="s">
        <v>9970</v>
      </c>
      <c r="C9415" t="str">
        <f>"9780335194971"</f>
        <v>9780335194971</v>
      </c>
      <c r="D9415" t="str">
        <f>"9780335232949"</f>
        <v>9780335232949</v>
      </c>
      <c r="E9415" t="s">
        <v>2795</v>
      </c>
      <c r="F9415" t="s">
        <v>2796</v>
      </c>
      <c r="G9415" s="1">
        <v>35431</v>
      </c>
      <c r="H9415" s="1">
        <v>1</v>
      </c>
      <c r="I9415" t="s">
        <v>12</v>
      </c>
      <c r="J9415" t="s">
        <v>20185</v>
      </c>
    </row>
    <row r="9416" spans="1:10" x14ac:dyDescent="0.25">
      <c r="A9416">
        <v>4960924</v>
      </c>
      <c r="B9416" t="s">
        <v>9971</v>
      </c>
      <c r="C9416" t="str">
        <f>"9780335204250"</f>
        <v>9780335204250</v>
      </c>
      <c r="D9416" t="str">
        <f>"9780335232987"</f>
        <v>9780335232987</v>
      </c>
      <c r="E9416" t="s">
        <v>2795</v>
      </c>
      <c r="F9416" t="s">
        <v>2796</v>
      </c>
      <c r="G9416" s="1">
        <v>36647</v>
      </c>
      <c r="H9416" s="1">
        <v>1</v>
      </c>
      <c r="I9416" t="s">
        <v>12</v>
      </c>
      <c r="J9416" t="s">
        <v>20186</v>
      </c>
    </row>
    <row r="9417" spans="1:10" x14ac:dyDescent="0.25">
      <c r="A9417">
        <v>4960934</v>
      </c>
      <c r="B9417" t="s">
        <v>9972</v>
      </c>
      <c r="C9417" t="str">
        <f>"9780335230334"</f>
        <v>9780335230334</v>
      </c>
      <c r="D9417" t="str">
        <f>"9780335223862"</f>
        <v>9780335223862</v>
      </c>
      <c r="E9417" t="s">
        <v>2795</v>
      </c>
      <c r="F9417" t="s">
        <v>2796</v>
      </c>
      <c r="G9417" s="1">
        <v>39264</v>
      </c>
      <c r="H9417" s="1">
        <v>1</v>
      </c>
      <c r="I9417" t="s">
        <v>12</v>
      </c>
      <c r="J9417" t="s">
        <v>20187</v>
      </c>
    </row>
    <row r="9418" spans="1:10" x14ac:dyDescent="0.25">
      <c r="A9418">
        <v>4960937</v>
      </c>
      <c r="B9418" t="s">
        <v>9973</v>
      </c>
      <c r="C9418" t="str">
        <f>"9780335228300"</f>
        <v>9780335228300</v>
      </c>
      <c r="D9418" t="str">
        <f>"9780335221196"</f>
        <v>9780335221196</v>
      </c>
      <c r="E9418" t="s">
        <v>2795</v>
      </c>
      <c r="F9418" t="s">
        <v>2796</v>
      </c>
      <c r="G9418" s="1">
        <v>39052</v>
      </c>
      <c r="H9418" s="1">
        <v>1</v>
      </c>
      <c r="I9418" t="s">
        <v>12</v>
      </c>
      <c r="J9418" t="s">
        <v>20188</v>
      </c>
    </row>
    <row r="9419" spans="1:10" x14ac:dyDescent="0.25">
      <c r="A9419">
        <v>4960944</v>
      </c>
      <c r="B9419" t="s">
        <v>9974</v>
      </c>
      <c r="C9419" t="str">
        <f>"9780335096589"</f>
        <v>9780335096589</v>
      </c>
      <c r="D9419" t="str">
        <f>"9780335233175"</f>
        <v>9780335233175</v>
      </c>
      <c r="E9419" t="s">
        <v>2795</v>
      </c>
      <c r="F9419" t="s">
        <v>2796</v>
      </c>
      <c r="G9419" s="1">
        <v>33390</v>
      </c>
      <c r="H9419" s="1">
        <v>1</v>
      </c>
      <c r="I9419" t="s">
        <v>12</v>
      </c>
      <c r="J9419" t="s">
        <v>20189</v>
      </c>
    </row>
    <row r="9420" spans="1:10" x14ac:dyDescent="0.25">
      <c r="A9420">
        <v>4960947</v>
      </c>
      <c r="B9420" t="s">
        <v>9975</v>
      </c>
      <c r="C9420" t="str">
        <f>"9780335193134"</f>
        <v>9780335193134</v>
      </c>
      <c r="D9420" t="str">
        <f>"9780335233205"</f>
        <v>9780335233205</v>
      </c>
      <c r="E9420" t="s">
        <v>2795</v>
      </c>
      <c r="F9420" t="s">
        <v>2796</v>
      </c>
      <c r="G9420" s="1">
        <v>34790</v>
      </c>
      <c r="H9420" s="1">
        <v>1</v>
      </c>
      <c r="I9420" t="s">
        <v>12</v>
      </c>
      <c r="J9420" t="s">
        <v>20190</v>
      </c>
    </row>
    <row r="9421" spans="1:10" x14ac:dyDescent="0.25">
      <c r="A9421">
        <v>4962245</v>
      </c>
      <c r="B9421" t="s">
        <v>9976</v>
      </c>
      <c r="C9421" t="str">
        <f>""</f>
        <v/>
      </c>
      <c r="D9421" t="str">
        <f>"9780979002120"</f>
        <v>9780979002120</v>
      </c>
      <c r="E9421" t="s">
        <v>1051</v>
      </c>
      <c r="F9421" t="s">
        <v>1051</v>
      </c>
      <c r="G9421" s="1">
        <v>39417</v>
      </c>
      <c r="H9421" s="1">
        <v>1</v>
      </c>
      <c r="I9421" t="s">
        <v>12</v>
      </c>
      <c r="J9421" t="s">
        <v>20191</v>
      </c>
    </row>
    <row r="9422" spans="1:10" x14ac:dyDescent="0.25">
      <c r="A9422">
        <v>4962246</v>
      </c>
      <c r="B9422" t="s">
        <v>9977</v>
      </c>
      <c r="C9422" t="str">
        <f>""</f>
        <v/>
      </c>
      <c r="D9422" t="str">
        <f>"9780979002144"</f>
        <v>9780979002144</v>
      </c>
      <c r="E9422" t="s">
        <v>1051</v>
      </c>
      <c r="F9422" t="s">
        <v>1051</v>
      </c>
      <c r="G9422" s="1">
        <v>39417</v>
      </c>
      <c r="H9422" s="1">
        <v>1</v>
      </c>
      <c r="I9422" t="s">
        <v>12</v>
      </c>
      <c r="J9422" t="s">
        <v>20192</v>
      </c>
    </row>
    <row r="9423" spans="1:10" x14ac:dyDescent="0.25">
      <c r="A9423">
        <v>4962247</v>
      </c>
      <c r="B9423" t="s">
        <v>9978</v>
      </c>
      <c r="C9423" t="str">
        <f>""</f>
        <v/>
      </c>
      <c r="D9423" t="str">
        <f>"9781930841666"</f>
        <v>9781930841666</v>
      </c>
      <c r="E9423" t="s">
        <v>1051</v>
      </c>
      <c r="F9423" t="s">
        <v>1051</v>
      </c>
      <c r="G9423" s="1">
        <v>37681</v>
      </c>
      <c r="H9423" s="1">
        <v>1</v>
      </c>
      <c r="I9423" t="s">
        <v>12</v>
      </c>
      <c r="J9423" t="s">
        <v>20193</v>
      </c>
    </row>
    <row r="9424" spans="1:10" x14ac:dyDescent="0.25">
      <c r="A9424">
        <v>4962254</v>
      </c>
      <c r="B9424" t="s">
        <v>9979</v>
      </c>
      <c r="C9424" t="str">
        <f>""</f>
        <v/>
      </c>
      <c r="D9424" t="str">
        <f>"9781930841901"</f>
        <v>9781930841901</v>
      </c>
      <c r="E9424" t="s">
        <v>1051</v>
      </c>
      <c r="F9424" t="s">
        <v>1051</v>
      </c>
      <c r="G9424" s="1">
        <v>37622</v>
      </c>
      <c r="H9424" s="1">
        <v>1</v>
      </c>
      <c r="I9424" t="s">
        <v>12</v>
      </c>
      <c r="J9424" t="s">
        <v>20194</v>
      </c>
    </row>
    <row r="9425" spans="1:10" x14ac:dyDescent="0.25">
      <c r="A9425">
        <v>4962256</v>
      </c>
      <c r="B9425" t="s">
        <v>9980</v>
      </c>
      <c r="C9425" t="str">
        <f>""</f>
        <v/>
      </c>
      <c r="D9425" t="str">
        <f>"9781930841932"</f>
        <v>9781930841932</v>
      </c>
      <c r="E9425" t="s">
        <v>1051</v>
      </c>
      <c r="F9425" t="s">
        <v>1051</v>
      </c>
      <c r="G9425" s="1">
        <v>36892</v>
      </c>
      <c r="H9425" s="1">
        <v>1</v>
      </c>
      <c r="I9425" t="s">
        <v>12</v>
      </c>
      <c r="J9425" t="s">
        <v>20195</v>
      </c>
    </row>
    <row r="9426" spans="1:10" x14ac:dyDescent="0.25">
      <c r="A9426">
        <v>4962258</v>
      </c>
      <c r="B9426" t="s">
        <v>9981</v>
      </c>
      <c r="C9426" t="str">
        <f>""</f>
        <v/>
      </c>
      <c r="D9426" t="str">
        <f>"9781930841970"</f>
        <v>9781930841970</v>
      </c>
      <c r="E9426" t="s">
        <v>1051</v>
      </c>
      <c r="F9426" t="s">
        <v>1051</v>
      </c>
      <c r="G9426" s="1">
        <v>37257</v>
      </c>
      <c r="H9426" s="1">
        <v>1</v>
      </c>
      <c r="I9426" t="s">
        <v>12</v>
      </c>
      <c r="J9426" t="s">
        <v>20196</v>
      </c>
    </row>
    <row r="9427" spans="1:10" x14ac:dyDescent="0.25">
      <c r="A9427">
        <v>4962261</v>
      </c>
      <c r="B9427" t="s">
        <v>9982</v>
      </c>
      <c r="C9427" t="str">
        <f>""</f>
        <v/>
      </c>
      <c r="D9427" t="str">
        <f>"9781102008897"</f>
        <v>9781102008897</v>
      </c>
      <c r="E9427" t="s">
        <v>1051</v>
      </c>
      <c r="F9427" t="s">
        <v>1051</v>
      </c>
      <c r="G9427" s="1">
        <v>41773</v>
      </c>
      <c r="H9427" s="1">
        <v>1</v>
      </c>
      <c r="I9427" t="s">
        <v>12</v>
      </c>
      <c r="J9427" t="s">
        <v>20197</v>
      </c>
    </row>
    <row r="9428" spans="1:10" x14ac:dyDescent="0.25">
      <c r="A9428">
        <v>4962262</v>
      </c>
      <c r="B9428" t="s">
        <v>9983</v>
      </c>
      <c r="C9428" t="str">
        <f>""</f>
        <v/>
      </c>
      <c r="D9428" t="str">
        <f>"9781280922404"</f>
        <v>9781280922404</v>
      </c>
      <c r="E9428" t="s">
        <v>1051</v>
      </c>
      <c r="F9428" t="s">
        <v>1051</v>
      </c>
      <c r="G9428" s="1">
        <v>39083</v>
      </c>
      <c r="H9428" s="1">
        <v>1</v>
      </c>
      <c r="I9428" t="s">
        <v>12</v>
      </c>
      <c r="J9428" t="s">
        <v>20198</v>
      </c>
    </row>
    <row r="9429" spans="1:10" x14ac:dyDescent="0.25">
      <c r="A9429">
        <v>4962263</v>
      </c>
      <c r="B9429" t="s">
        <v>9984</v>
      </c>
      <c r="C9429" t="str">
        <f>""</f>
        <v/>
      </c>
      <c r="D9429" t="str">
        <f>"9781102008934"</f>
        <v>9781102008934</v>
      </c>
      <c r="E9429" t="s">
        <v>1051</v>
      </c>
      <c r="F9429" t="s">
        <v>1051</v>
      </c>
      <c r="G9429" s="1">
        <v>39856</v>
      </c>
      <c r="H9429" s="1">
        <v>1</v>
      </c>
      <c r="I9429" t="s">
        <v>12</v>
      </c>
      <c r="J9429" t="s">
        <v>20199</v>
      </c>
    </row>
    <row r="9430" spans="1:10" x14ac:dyDescent="0.25">
      <c r="A9430">
        <v>4962264</v>
      </c>
      <c r="B9430" t="s">
        <v>9985</v>
      </c>
      <c r="C9430" t="str">
        <f>""</f>
        <v/>
      </c>
      <c r="D9430" t="str">
        <f>"9781280922428"</f>
        <v>9781280922428</v>
      </c>
      <c r="E9430" t="s">
        <v>1051</v>
      </c>
      <c r="F9430" t="s">
        <v>1051</v>
      </c>
      <c r="G9430" s="1">
        <v>39083</v>
      </c>
      <c r="H9430" s="1">
        <v>1</v>
      </c>
      <c r="I9430" t="s">
        <v>12</v>
      </c>
      <c r="J9430" t="s">
        <v>20200</v>
      </c>
    </row>
    <row r="9431" spans="1:10" x14ac:dyDescent="0.25">
      <c r="A9431">
        <v>4962271</v>
      </c>
      <c r="B9431" t="s">
        <v>9986</v>
      </c>
      <c r="C9431" t="str">
        <f>""</f>
        <v/>
      </c>
      <c r="D9431" t="str">
        <f>"9781102009122"</f>
        <v>9781102009122</v>
      </c>
      <c r="E9431" t="s">
        <v>1051</v>
      </c>
      <c r="F9431" t="s">
        <v>1051</v>
      </c>
      <c r="G9431" s="1">
        <v>39856</v>
      </c>
      <c r="H9431" s="1">
        <v>1</v>
      </c>
      <c r="I9431" t="s">
        <v>12</v>
      </c>
      <c r="J9431" t="s">
        <v>20201</v>
      </c>
    </row>
    <row r="9432" spans="1:10" x14ac:dyDescent="0.25">
      <c r="A9432">
        <v>4962279</v>
      </c>
      <c r="B9432" t="s">
        <v>9987</v>
      </c>
      <c r="C9432" t="str">
        <f>""</f>
        <v/>
      </c>
      <c r="D9432" t="str">
        <f>"9781280922718"</f>
        <v>9781280922718</v>
      </c>
      <c r="E9432" t="s">
        <v>1051</v>
      </c>
      <c r="F9432" t="s">
        <v>1051</v>
      </c>
      <c r="G9432" s="1">
        <v>38718</v>
      </c>
      <c r="H9432" s="1">
        <v>1</v>
      </c>
      <c r="I9432" t="s">
        <v>12</v>
      </c>
      <c r="J9432" t="s">
        <v>20202</v>
      </c>
    </row>
    <row r="9433" spans="1:10" x14ac:dyDescent="0.25">
      <c r="A9433">
        <v>4962296</v>
      </c>
      <c r="B9433" t="s">
        <v>9013</v>
      </c>
      <c r="C9433" t="str">
        <f>""</f>
        <v/>
      </c>
      <c r="D9433" t="str">
        <f>"9780974423975"</f>
        <v>9780974423975</v>
      </c>
      <c r="E9433" t="s">
        <v>9004</v>
      </c>
      <c r="F9433" t="s">
        <v>9004</v>
      </c>
      <c r="G9433" s="1">
        <v>38718</v>
      </c>
      <c r="H9433" s="1">
        <v>1</v>
      </c>
      <c r="I9433" t="s">
        <v>12</v>
      </c>
      <c r="J9433" t="s">
        <v>20203</v>
      </c>
    </row>
    <row r="9434" spans="1:10" x14ac:dyDescent="0.25">
      <c r="A9434">
        <v>4962671</v>
      </c>
      <c r="B9434" t="s">
        <v>9988</v>
      </c>
      <c r="C9434" t="str">
        <f>"9780198731795"</f>
        <v>9780198731795</v>
      </c>
      <c r="D9434" t="str">
        <f>"9781280446405"</f>
        <v>9781280446405</v>
      </c>
      <c r="E9434" t="s">
        <v>1133</v>
      </c>
      <c r="F9434" t="s">
        <v>1133</v>
      </c>
      <c r="G9434" s="1">
        <v>36867</v>
      </c>
      <c r="H9434" s="1">
        <v>1</v>
      </c>
      <c r="I9434" t="s">
        <v>12</v>
      </c>
      <c r="J9434" t="s">
        <v>20204</v>
      </c>
    </row>
    <row r="9435" spans="1:10" x14ac:dyDescent="0.25">
      <c r="A9435">
        <v>4962691</v>
      </c>
      <c r="B9435" t="s">
        <v>9989</v>
      </c>
      <c r="C9435" t="str">
        <f>"9780199268979"</f>
        <v>9780199268979</v>
      </c>
      <c r="D9435" t="str">
        <f>"9781280755132"</f>
        <v>9781280755132</v>
      </c>
      <c r="E9435" t="s">
        <v>1133</v>
      </c>
      <c r="F9435" t="s">
        <v>1133</v>
      </c>
      <c r="G9435" s="1">
        <v>38687</v>
      </c>
      <c r="H9435" s="1">
        <v>1</v>
      </c>
      <c r="I9435" t="s">
        <v>12</v>
      </c>
      <c r="J9435" t="s">
        <v>20205</v>
      </c>
    </row>
    <row r="9436" spans="1:10" x14ac:dyDescent="0.25">
      <c r="A9436">
        <v>4962746</v>
      </c>
      <c r="B9436" t="s">
        <v>9990</v>
      </c>
      <c r="C9436" t="str">
        <f>"9780199279043"</f>
        <v>9780199279043</v>
      </c>
      <c r="D9436" t="str">
        <f>"9781280758508"</f>
        <v>9781280758508</v>
      </c>
      <c r="E9436" t="s">
        <v>1133</v>
      </c>
      <c r="F9436" t="s">
        <v>1133</v>
      </c>
      <c r="G9436" s="1">
        <v>38498</v>
      </c>
      <c r="H9436" s="1">
        <v>1</v>
      </c>
      <c r="I9436" t="s">
        <v>12</v>
      </c>
      <c r="J9436" t="s">
        <v>20206</v>
      </c>
    </row>
    <row r="9437" spans="1:10" x14ac:dyDescent="0.25">
      <c r="A9437">
        <v>4962782</v>
      </c>
      <c r="B9437" t="s">
        <v>9991</v>
      </c>
      <c r="C9437" t="str">
        <f>"9780198186397"</f>
        <v>9780198186397</v>
      </c>
      <c r="D9437" t="str">
        <f>"9781280766688"</f>
        <v>9781280766688</v>
      </c>
      <c r="E9437" t="s">
        <v>1133</v>
      </c>
      <c r="F9437" t="s">
        <v>1133</v>
      </c>
      <c r="G9437" s="1">
        <v>36328</v>
      </c>
      <c r="H9437" s="1">
        <v>1</v>
      </c>
      <c r="I9437" t="s">
        <v>12</v>
      </c>
      <c r="J9437" t="s">
        <v>20207</v>
      </c>
    </row>
    <row r="9438" spans="1:10" x14ac:dyDescent="0.25">
      <c r="A9438">
        <v>4962907</v>
      </c>
      <c r="B9438" t="s">
        <v>9992</v>
      </c>
      <c r="C9438" t="str">
        <f>"9780198297635"</f>
        <v>9780198297635</v>
      </c>
      <c r="D9438" t="str">
        <f>"9781280819476"</f>
        <v>9781280819476</v>
      </c>
      <c r="E9438" t="s">
        <v>1133</v>
      </c>
      <c r="F9438" t="s">
        <v>1133</v>
      </c>
      <c r="G9438" s="1">
        <v>36831</v>
      </c>
      <c r="H9438" s="1">
        <v>1</v>
      </c>
      <c r="I9438" t="s">
        <v>12</v>
      </c>
      <c r="J9438" t="s">
        <v>20208</v>
      </c>
    </row>
    <row r="9439" spans="1:10" x14ac:dyDescent="0.25">
      <c r="A9439">
        <v>4962928</v>
      </c>
      <c r="B9439" t="s">
        <v>9993</v>
      </c>
      <c r="C9439" t="str">
        <f>"9780199285976"</f>
        <v>9780199285976</v>
      </c>
      <c r="D9439" t="str">
        <f>"9781280870071"</f>
        <v>9781280870071</v>
      </c>
      <c r="E9439" t="s">
        <v>1133</v>
      </c>
      <c r="F9439" t="s">
        <v>1133</v>
      </c>
      <c r="G9439" s="1">
        <v>38771</v>
      </c>
      <c r="H9439" s="1">
        <v>43348</v>
      </c>
      <c r="I9439" t="s">
        <v>12</v>
      </c>
      <c r="J9439" t="s">
        <v>20209</v>
      </c>
    </row>
    <row r="9440" spans="1:10" x14ac:dyDescent="0.25">
      <c r="A9440">
        <v>4963129</v>
      </c>
      <c r="B9440" t="s">
        <v>9994</v>
      </c>
      <c r="C9440" t="str">
        <f>"9780199253333"</f>
        <v>9780199253333</v>
      </c>
      <c r="D9440" t="str">
        <f>"9781280759420"</f>
        <v>9781280759420</v>
      </c>
      <c r="E9440" t="s">
        <v>1133</v>
      </c>
      <c r="F9440" t="s">
        <v>1133</v>
      </c>
      <c r="G9440" s="1">
        <v>38001</v>
      </c>
      <c r="H9440" s="1">
        <v>1</v>
      </c>
      <c r="I9440" t="s">
        <v>12</v>
      </c>
      <c r="J9440" t="s">
        <v>20210</v>
      </c>
    </row>
    <row r="9441" spans="1:10" x14ac:dyDescent="0.25">
      <c r="A9441">
        <v>4963163</v>
      </c>
      <c r="B9441" t="s">
        <v>9995</v>
      </c>
      <c r="C9441" t="str">
        <f>"9780192801814"</f>
        <v>9780192801814</v>
      </c>
      <c r="D9441" t="str">
        <f>"9781280762598"</f>
        <v>9781280762598</v>
      </c>
      <c r="E9441" t="s">
        <v>1133</v>
      </c>
      <c r="F9441" t="s">
        <v>1133</v>
      </c>
      <c r="G9441" s="1">
        <v>38008</v>
      </c>
      <c r="H9441" s="1">
        <v>1</v>
      </c>
      <c r="I9441" t="s">
        <v>12</v>
      </c>
      <c r="J9441" t="s">
        <v>20211</v>
      </c>
    </row>
    <row r="9442" spans="1:10" x14ac:dyDescent="0.25">
      <c r="A9442">
        <v>4963182</v>
      </c>
      <c r="B9442" t="s">
        <v>9996</v>
      </c>
      <c r="C9442" t="str">
        <f>"9780192801180"</f>
        <v>9780192801180</v>
      </c>
      <c r="D9442" t="str">
        <f>"9781280374845"</f>
        <v>9781280374845</v>
      </c>
      <c r="E9442" t="s">
        <v>1133</v>
      </c>
      <c r="F9442" t="s">
        <v>1133</v>
      </c>
      <c r="G9442" s="1">
        <v>37119</v>
      </c>
      <c r="H9442" s="1">
        <v>1</v>
      </c>
      <c r="I9442" t="s">
        <v>12</v>
      </c>
      <c r="J9442" t="s">
        <v>20212</v>
      </c>
    </row>
    <row r="9443" spans="1:10" x14ac:dyDescent="0.25">
      <c r="A9443">
        <v>4963330</v>
      </c>
      <c r="B9443" t="s">
        <v>9997</v>
      </c>
      <c r="C9443" t="str">
        <f>""</f>
        <v/>
      </c>
      <c r="D9443" t="str">
        <f>"9781281150592"</f>
        <v>9781281150592</v>
      </c>
      <c r="E9443" t="s">
        <v>1133</v>
      </c>
      <c r="F9443" t="s">
        <v>1133</v>
      </c>
      <c r="G9443" s="1">
        <v>39352</v>
      </c>
      <c r="H9443" s="1">
        <v>1</v>
      </c>
      <c r="I9443" t="s">
        <v>12</v>
      </c>
      <c r="J9443" t="s">
        <v>20213</v>
      </c>
    </row>
    <row r="9444" spans="1:10" x14ac:dyDescent="0.25">
      <c r="A9444">
        <v>4963383</v>
      </c>
      <c r="B9444" t="s">
        <v>9998</v>
      </c>
      <c r="C9444" t="str">
        <f>""</f>
        <v/>
      </c>
      <c r="D9444" t="str">
        <f>"9781281164247"</f>
        <v>9781281164247</v>
      </c>
      <c r="E9444" t="s">
        <v>1133</v>
      </c>
      <c r="F9444" t="s">
        <v>1133</v>
      </c>
      <c r="G9444" s="1">
        <v>39448</v>
      </c>
      <c r="H9444" s="1">
        <v>1</v>
      </c>
      <c r="I9444" t="s">
        <v>12</v>
      </c>
      <c r="J9444" t="s">
        <v>20214</v>
      </c>
    </row>
    <row r="9445" spans="1:10" x14ac:dyDescent="0.25">
      <c r="A9445">
        <v>4963458</v>
      </c>
      <c r="B9445" t="s">
        <v>9999</v>
      </c>
      <c r="C9445" t="str">
        <f>"9780199282265"</f>
        <v>9780199282265</v>
      </c>
      <c r="D9445" t="str">
        <f>"9781280869952"</f>
        <v>9781280869952</v>
      </c>
      <c r="E9445" t="s">
        <v>1133</v>
      </c>
      <c r="F9445" t="s">
        <v>1133</v>
      </c>
      <c r="G9445" s="1">
        <v>38353</v>
      </c>
      <c r="H9445" s="1">
        <v>1</v>
      </c>
      <c r="I9445" t="s">
        <v>12</v>
      </c>
      <c r="J9445" t="s">
        <v>20215</v>
      </c>
    </row>
    <row r="9446" spans="1:10" x14ac:dyDescent="0.25">
      <c r="A9446">
        <v>4963498</v>
      </c>
      <c r="B9446" t="s">
        <v>10000</v>
      </c>
      <c r="C9446" t="str">
        <f>"9780198700104"</f>
        <v>9780198700104</v>
      </c>
      <c r="D9446" t="str">
        <f>"9781280375323"</f>
        <v>9781280375323</v>
      </c>
      <c r="E9446" t="s">
        <v>1133</v>
      </c>
      <c r="F9446" t="s">
        <v>1133</v>
      </c>
      <c r="G9446" s="1">
        <v>36586</v>
      </c>
      <c r="H9446" s="1">
        <v>1</v>
      </c>
      <c r="I9446" t="s">
        <v>12</v>
      </c>
      <c r="J9446" t="s">
        <v>20216</v>
      </c>
    </row>
    <row r="9447" spans="1:10" x14ac:dyDescent="0.25">
      <c r="A9447">
        <v>4963649</v>
      </c>
      <c r="B9447" t="s">
        <v>10001</v>
      </c>
      <c r="C9447" t="str">
        <f>"9780198205128"</f>
        <v>9780198205128</v>
      </c>
      <c r="D9447" t="str">
        <f>"9781280445132"</f>
        <v>9781280445132</v>
      </c>
      <c r="E9447" t="s">
        <v>1133</v>
      </c>
      <c r="F9447" t="s">
        <v>1133</v>
      </c>
      <c r="G9447" s="1">
        <v>36839</v>
      </c>
      <c r="H9447" s="1">
        <v>1</v>
      </c>
      <c r="I9447" t="s">
        <v>12</v>
      </c>
      <c r="J9447" t="s">
        <v>20217</v>
      </c>
    </row>
    <row r="9448" spans="1:10" x14ac:dyDescent="0.25">
      <c r="A9448">
        <v>4963818</v>
      </c>
      <c r="B9448" t="s">
        <v>10002</v>
      </c>
      <c r="C9448" t="str">
        <f>"9780199283262"</f>
        <v>9780199283262</v>
      </c>
      <c r="D9448" t="str">
        <f>"9781280869983"</f>
        <v>9781280869983</v>
      </c>
      <c r="E9448" t="s">
        <v>1133</v>
      </c>
      <c r="F9448" t="s">
        <v>1133</v>
      </c>
      <c r="G9448" s="1">
        <v>38353</v>
      </c>
      <c r="H9448" s="1">
        <v>1</v>
      </c>
      <c r="I9448" t="s">
        <v>12</v>
      </c>
      <c r="J9448" t="s">
        <v>20218</v>
      </c>
    </row>
    <row r="9449" spans="1:10" x14ac:dyDescent="0.25">
      <c r="A9449">
        <v>4963873</v>
      </c>
      <c r="B9449" t="s">
        <v>10003</v>
      </c>
      <c r="C9449" t="str">
        <f>"9780199253265"</f>
        <v>9780199253265</v>
      </c>
      <c r="D9449" t="str">
        <f>"9781280904820"</f>
        <v>9781280904820</v>
      </c>
      <c r="E9449" t="s">
        <v>1133</v>
      </c>
      <c r="F9449" t="s">
        <v>1133</v>
      </c>
      <c r="G9449" s="1">
        <v>38596</v>
      </c>
      <c r="H9449" s="1">
        <v>1</v>
      </c>
      <c r="I9449" t="s">
        <v>12</v>
      </c>
      <c r="J9449" t="s">
        <v>20219</v>
      </c>
    </row>
    <row r="9450" spans="1:10" x14ac:dyDescent="0.25">
      <c r="A9450">
        <v>4963905</v>
      </c>
      <c r="B9450" t="s">
        <v>10004</v>
      </c>
      <c r="C9450" t="str">
        <f>"9780195172768"</f>
        <v>9780195172768</v>
      </c>
      <c r="D9450" t="str">
        <f>"9781280533013"</f>
        <v>9781280533013</v>
      </c>
      <c r="E9450" t="s">
        <v>1133</v>
      </c>
      <c r="F9450" t="s">
        <v>5318</v>
      </c>
      <c r="G9450" s="1">
        <v>38718</v>
      </c>
      <c r="H9450" s="1">
        <v>43445</v>
      </c>
      <c r="I9450" t="s">
        <v>12</v>
      </c>
      <c r="J9450" t="s">
        <v>20220</v>
      </c>
    </row>
    <row r="9451" spans="1:10" x14ac:dyDescent="0.25">
      <c r="A9451">
        <v>4963947</v>
      </c>
      <c r="B9451" t="s">
        <v>10005</v>
      </c>
      <c r="C9451" t="str">
        <f>"9780195305548"</f>
        <v>9780195305548</v>
      </c>
      <c r="D9451" t="str">
        <f>"9781280655609"</f>
        <v>9781280655609</v>
      </c>
      <c r="E9451" t="s">
        <v>1133</v>
      </c>
      <c r="F9451" t="s">
        <v>5318</v>
      </c>
      <c r="G9451" s="1">
        <v>38718</v>
      </c>
      <c r="H9451" s="1">
        <v>43348</v>
      </c>
      <c r="I9451" t="s">
        <v>12</v>
      </c>
      <c r="J9451" t="s">
        <v>20221</v>
      </c>
    </row>
    <row r="9452" spans="1:10" x14ac:dyDescent="0.25">
      <c r="A9452">
        <v>4963989</v>
      </c>
      <c r="B9452" t="s">
        <v>10006</v>
      </c>
      <c r="C9452" t="str">
        <f>"9780192801449"</f>
        <v>9780192801449</v>
      </c>
      <c r="D9452" t="str">
        <f>"9781280374852"</f>
        <v>9781280374852</v>
      </c>
      <c r="E9452" t="s">
        <v>1133</v>
      </c>
      <c r="F9452" t="s">
        <v>1133</v>
      </c>
      <c r="G9452" s="1">
        <v>37126</v>
      </c>
      <c r="H9452" s="1">
        <v>1</v>
      </c>
      <c r="I9452" t="s">
        <v>12</v>
      </c>
      <c r="J9452" t="s">
        <v>20222</v>
      </c>
    </row>
    <row r="9453" spans="1:10" x14ac:dyDescent="0.25">
      <c r="A9453">
        <v>4964075</v>
      </c>
      <c r="B9453" t="s">
        <v>10007</v>
      </c>
      <c r="C9453" t="str">
        <f>"9780198293613"</f>
        <v>9780198293613</v>
      </c>
      <c r="D9453" t="str">
        <f>"9781280814709"</f>
        <v>9781280814709</v>
      </c>
      <c r="E9453" t="s">
        <v>1133</v>
      </c>
      <c r="F9453" t="s">
        <v>1133</v>
      </c>
      <c r="G9453" s="1">
        <v>35929</v>
      </c>
      <c r="H9453" s="1">
        <v>1</v>
      </c>
      <c r="I9453" t="s">
        <v>12</v>
      </c>
      <c r="J9453" t="s">
        <v>20223</v>
      </c>
    </row>
    <row r="9454" spans="1:10" x14ac:dyDescent="0.25">
      <c r="A9454">
        <v>4964093</v>
      </c>
      <c r="B9454" t="s">
        <v>10008</v>
      </c>
      <c r="C9454" t="str">
        <f>"9780199272037"</f>
        <v>9780199272037</v>
      </c>
      <c r="D9454" t="str">
        <f>"9781280755187"</f>
        <v>9781280755187</v>
      </c>
      <c r="E9454" t="s">
        <v>1133</v>
      </c>
      <c r="F9454" t="s">
        <v>1133</v>
      </c>
      <c r="G9454" s="1">
        <v>38134</v>
      </c>
      <c r="H9454" s="1">
        <v>43445</v>
      </c>
      <c r="I9454" t="s">
        <v>12</v>
      </c>
      <c r="J9454" t="s">
        <v>20224</v>
      </c>
    </row>
    <row r="9455" spans="1:10" x14ac:dyDescent="0.25">
      <c r="A9455">
        <v>4964249</v>
      </c>
      <c r="B9455" t="s">
        <v>10009</v>
      </c>
      <c r="C9455" t="str">
        <f>""</f>
        <v/>
      </c>
      <c r="D9455" t="str">
        <f>"9781280503160"</f>
        <v>9781280503160</v>
      </c>
      <c r="E9455" t="s">
        <v>1133</v>
      </c>
      <c r="F9455" t="s">
        <v>5318</v>
      </c>
      <c r="G9455" s="1">
        <v>1</v>
      </c>
      <c r="H9455" s="1">
        <v>43153</v>
      </c>
      <c r="I9455" t="s">
        <v>12</v>
      </c>
      <c r="J9455" t="s">
        <v>20225</v>
      </c>
    </row>
    <row r="9456" spans="1:10" x14ac:dyDescent="0.25">
      <c r="A9456">
        <v>4964295</v>
      </c>
      <c r="B9456" t="s">
        <v>10010</v>
      </c>
      <c r="C9456" t="str">
        <f>"9780199289158"</f>
        <v>9780199289158</v>
      </c>
      <c r="D9456" t="str">
        <f>"9781280903465"</f>
        <v>9781280903465</v>
      </c>
      <c r="E9456" t="s">
        <v>1133</v>
      </c>
      <c r="F9456" t="s">
        <v>1133</v>
      </c>
      <c r="G9456" s="1">
        <v>39052</v>
      </c>
      <c r="H9456" s="1">
        <v>1</v>
      </c>
      <c r="I9456" t="s">
        <v>12</v>
      </c>
      <c r="J9456" t="s">
        <v>20226</v>
      </c>
    </row>
    <row r="9457" spans="1:10" x14ac:dyDescent="0.25">
      <c r="A9457">
        <v>4964364</v>
      </c>
      <c r="B9457" t="s">
        <v>10011</v>
      </c>
      <c r="C9457" t="str">
        <f>"9780199279869"</f>
        <v>9780199279869</v>
      </c>
      <c r="D9457" t="str">
        <f>"9781280758522"</f>
        <v>9781280758522</v>
      </c>
      <c r="E9457" t="s">
        <v>1133</v>
      </c>
      <c r="F9457" t="s">
        <v>1133</v>
      </c>
      <c r="G9457" s="1">
        <v>38631</v>
      </c>
      <c r="H9457" s="1">
        <v>1</v>
      </c>
      <c r="I9457" t="s">
        <v>12</v>
      </c>
      <c r="J9457" t="s">
        <v>20227</v>
      </c>
    </row>
    <row r="9458" spans="1:10" x14ac:dyDescent="0.25">
      <c r="A9458">
        <v>4964385</v>
      </c>
      <c r="B9458" t="s">
        <v>10012</v>
      </c>
      <c r="C9458" t="str">
        <f>"9780195183566"</f>
        <v>9780195183566</v>
      </c>
      <c r="D9458" t="str">
        <f>"9781280845611"</f>
        <v>9781280845611</v>
      </c>
      <c r="E9458" t="s">
        <v>1133</v>
      </c>
      <c r="F9458" t="s">
        <v>5318</v>
      </c>
      <c r="G9458" s="1">
        <v>38596</v>
      </c>
      <c r="H9458" s="1">
        <v>1</v>
      </c>
      <c r="I9458" t="s">
        <v>12</v>
      </c>
      <c r="J9458" t="s">
        <v>20228</v>
      </c>
    </row>
    <row r="9459" spans="1:10" x14ac:dyDescent="0.25">
      <c r="A9459">
        <v>4964396</v>
      </c>
      <c r="B9459" t="s">
        <v>10013</v>
      </c>
      <c r="C9459" t="str">
        <f>"9780195122237"</f>
        <v>9780195122237</v>
      </c>
      <c r="D9459" t="str">
        <f>"9781280603068"</f>
        <v>9781280603068</v>
      </c>
      <c r="E9459" t="s">
        <v>1133</v>
      </c>
      <c r="F9459" t="s">
        <v>5318</v>
      </c>
      <c r="G9459" s="1">
        <v>37350</v>
      </c>
      <c r="H9459" s="1">
        <v>1</v>
      </c>
      <c r="I9459" t="s">
        <v>12</v>
      </c>
      <c r="J9459" t="s">
        <v>20229</v>
      </c>
    </row>
    <row r="9460" spans="1:10" x14ac:dyDescent="0.25">
      <c r="A9460">
        <v>4964422</v>
      </c>
      <c r="B9460" t="s">
        <v>10014</v>
      </c>
      <c r="C9460" t="str">
        <f>"9780192803146"</f>
        <v>9780192803146</v>
      </c>
      <c r="D9460" t="str">
        <f>"9781280444555"</f>
        <v>9781280444555</v>
      </c>
      <c r="E9460" t="s">
        <v>1133</v>
      </c>
      <c r="F9460" t="s">
        <v>1133</v>
      </c>
      <c r="G9460" s="1">
        <v>37378</v>
      </c>
      <c r="H9460" s="1">
        <v>1</v>
      </c>
      <c r="I9460" t="s">
        <v>12</v>
      </c>
      <c r="J9460" t="s">
        <v>20230</v>
      </c>
    </row>
    <row r="9461" spans="1:10" x14ac:dyDescent="0.25">
      <c r="A9461">
        <v>4964495</v>
      </c>
      <c r="B9461" t="s">
        <v>10015</v>
      </c>
      <c r="C9461" t="str">
        <f>"9780199284306"</f>
        <v>9780199284306</v>
      </c>
      <c r="D9461" t="str">
        <f>"9781280757976"</f>
        <v>9781280757976</v>
      </c>
      <c r="E9461" t="s">
        <v>1133</v>
      </c>
      <c r="F9461" t="s">
        <v>1133</v>
      </c>
      <c r="G9461" s="1">
        <v>38750</v>
      </c>
      <c r="H9461" s="1">
        <v>1</v>
      </c>
      <c r="I9461" t="s">
        <v>12</v>
      </c>
      <c r="J9461" t="s">
        <v>20231</v>
      </c>
    </row>
    <row r="9462" spans="1:10" x14ac:dyDescent="0.25">
      <c r="A9462">
        <v>4964646</v>
      </c>
      <c r="B9462" t="s">
        <v>10016</v>
      </c>
      <c r="C9462" t="str">
        <f>"9780192801685"</f>
        <v>9780192801685</v>
      </c>
      <c r="D9462" t="str">
        <f>"9781280374869"</f>
        <v>9781280374869</v>
      </c>
      <c r="E9462" t="s">
        <v>1133</v>
      </c>
      <c r="F9462" t="s">
        <v>1133</v>
      </c>
      <c r="G9462" s="1">
        <v>37539</v>
      </c>
      <c r="H9462" s="1">
        <v>1</v>
      </c>
      <c r="I9462" t="s">
        <v>12</v>
      </c>
      <c r="J9462" t="s">
        <v>20232</v>
      </c>
    </row>
    <row r="9463" spans="1:10" x14ac:dyDescent="0.25">
      <c r="A9463">
        <v>4964659</v>
      </c>
      <c r="B9463" t="s">
        <v>10017</v>
      </c>
      <c r="C9463" t="str">
        <f>"9780199269051"</f>
        <v>9780199269051</v>
      </c>
      <c r="D9463" t="str">
        <f>"9781280757662"</f>
        <v>9781280757662</v>
      </c>
      <c r="E9463" t="s">
        <v>1133</v>
      </c>
      <c r="F9463" t="s">
        <v>1133</v>
      </c>
      <c r="G9463" s="1">
        <v>38757</v>
      </c>
      <c r="H9463" s="1">
        <v>43445</v>
      </c>
      <c r="I9463" t="s">
        <v>12</v>
      </c>
      <c r="J9463" t="s">
        <v>20233</v>
      </c>
    </row>
    <row r="9464" spans="1:10" x14ac:dyDescent="0.25">
      <c r="A9464">
        <v>4964767</v>
      </c>
      <c r="B9464" t="s">
        <v>10018</v>
      </c>
      <c r="C9464" t="str">
        <f>"9780192805874"</f>
        <v>9780192805874</v>
      </c>
      <c r="D9464" t="str">
        <f>"9781280762857"</f>
        <v>9781280762857</v>
      </c>
      <c r="E9464" t="s">
        <v>1133</v>
      </c>
      <c r="F9464" t="s">
        <v>1133</v>
      </c>
      <c r="G9464" s="1">
        <v>38718</v>
      </c>
      <c r="H9464" s="1">
        <v>1</v>
      </c>
      <c r="I9464" t="s">
        <v>12</v>
      </c>
      <c r="J9464" t="s">
        <v>20234</v>
      </c>
    </row>
    <row r="9465" spans="1:10" x14ac:dyDescent="0.25">
      <c r="A9465">
        <v>4964798</v>
      </c>
      <c r="B9465" t="s">
        <v>10019</v>
      </c>
      <c r="C9465" t="str">
        <f>"9780191516153"</f>
        <v>9780191516153</v>
      </c>
      <c r="D9465" t="str">
        <f>"9780191537387"</f>
        <v>9780191537387</v>
      </c>
      <c r="E9465" t="s">
        <v>1133</v>
      </c>
      <c r="F9465" t="s">
        <v>1133</v>
      </c>
      <c r="G9465" s="1">
        <v>39052</v>
      </c>
      <c r="H9465" s="1">
        <v>1</v>
      </c>
      <c r="I9465" t="s">
        <v>12</v>
      </c>
      <c r="J9465" t="s">
        <v>20235</v>
      </c>
    </row>
    <row r="9466" spans="1:10" x14ac:dyDescent="0.25">
      <c r="A9466">
        <v>4964823</v>
      </c>
      <c r="B9466" t="s">
        <v>10020</v>
      </c>
      <c r="C9466" t="str">
        <f>"9780199287185"</f>
        <v>9780199287185</v>
      </c>
      <c r="D9466" t="str">
        <f>"9781280756184"</f>
        <v>9781280756184</v>
      </c>
      <c r="E9466" t="s">
        <v>1270</v>
      </c>
      <c r="F9466" t="s">
        <v>10021</v>
      </c>
      <c r="G9466" s="1">
        <v>38771</v>
      </c>
      <c r="H9466" s="1">
        <v>43445</v>
      </c>
      <c r="I9466" t="s">
        <v>12</v>
      </c>
      <c r="J9466" t="s">
        <v>20236</v>
      </c>
    </row>
    <row r="9467" spans="1:10" x14ac:dyDescent="0.25">
      <c r="A9467">
        <v>4965068</v>
      </c>
      <c r="B9467" t="s">
        <v>10022</v>
      </c>
      <c r="C9467" t="str">
        <f>"9780333727461"</f>
        <v>9780333727461</v>
      </c>
      <c r="D9467" t="str">
        <f>"9780333985243"</f>
        <v>9780333985243</v>
      </c>
      <c r="E9467" t="s">
        <v>876</v>
      </c>
      <c r="F9467" t="s">
        <v>876</v>
      </c>
      <c r="G9467" s="1">
        <v>41773</v>
      </c>
      <c r="H9467" s="1">
        <v>1</v>
      </c>
      <c r="I9467" t="s">
        <v>12</v>
      </c>
      <c r="J9467" t="s">
        <v>20237</v>
      </c>
    </row>
    <row r="9468" spans="1:10" x14ac:dyDescent="0.25">
      <c r="A9468">
        <v>4967913</v>
      </c>
      <c r="B9468" t="s">
        <v>10023</v>
      </c>
      <c r="C9468" t="str">
        <f>"9780745326887"</f>
        <v>9780745326887</v>
      </c>
      <c r="D9468" t="str">
        <f>"9781281188625"</f>
        <v>9781281188625</v>
      </c>
      <c r="E9468" t="s">
        <v>9039</v>
      </c>
      <c r="F9468" t="s">
        <v>9039</v>
      </c>
      <c r="G9468" s="1">
        <v>39430</v>
      </c>
      <c r="H9468" s="1">
        <v>1</v>
      </c>
      <c r="I9468" t="s">
        <v>12</v>
      </c>
      <c r="J9468" t="s">
        <v>20238</v>
      </c>
    </row>
    <row r="9469" spans="1:10" x14ac:dyDescent="0.25">
      <c r="A9469">
        <v>4969975</v>
      </c>
      <c r="B9469" t="s">
        <v>10024</v>
      </c>
      <c r="C9469" t="str">
        <f>""</f>
        <v/>
      </c>
      <c r="D9469" t="str">
        <f>"9781281180988"</f>
        <v>9781281180988</v>
      </c>
      <c r="E9469" t="s">
        <v>1063</v>
      </c>
      <c r="F9469" t="s">
        <v>1064</v>
      </c>
      <c r="G9469" s="1">
        <v>39083</v>
      </c>
      <c r="H9469" s="1">
        <v>1</v>
      </c>
      <c r="I9469" t="s">
        <v>12</v>
      </c>
      <c r="J9469" t="s">
        <v>20239</v>
      </c>
    </row>
    <row r="9470" spans="1:10" x14ac:dyDescent="0.25">
      <c r="A9470">
        <v>4969999</v>
      </c>
      <c r="B9470" t="s">
        <v>10025</v>
      </c>
      <c r="C9470" t="str">
        <f>""</f>
        <v/>
      </c>
      <c r="D9470" t="str">
        <f>"9781281180957"</f>
        <v>9781281180957</v>
      </c>
      <c r="E9470" t="s">
        <v>1063</v>
      </c>
      <c r="F9470" t="s">
        <v>1064</v>
      </c>
      <c r="G9470" s="1">
        <v>38975</v>
      </c>
      <c r="H9470" s="1">
        <v>1</v>
      </c>
      <c r="I9470" t="s">
        <v>12</v>
      </c>
      <c r="J9470" t="s">
        <v>20240</v>
      </c>
    </row>
    <row r="9471" spans="1:10" x14ac:dyDescent="0.25">
      <c r="A9471">
        <v>4970002</v>
      </c>
      <c r="B9471" t="s">
        <v>10026</v>
      </c>
      <c r="C9471" t="str">
        <f>""</f>
        <v/>
      </c>
      <c r="D9471" t="str">
        <f>"9781281430281"</f>
        <v>9781281430281</v>
      </c>
      <c r="E9471" t="s">
        <v>1063</v>
      </c>
      <c r="F9471" t="s">
        <v>1064</v>
      </c>
      <c r="G9471" s="1">
        <v>39412</v>
      </c>
      <c r="H9471" s="1">
        <v>1</v>
      </c>
      <c r="I9471" t="s">
        <v>12</v>
      </c>
      <c r="J9471" t="s">
        <v>20241</v>
      </c>
    </row>
    <row r="9472" spans="1:10" x14ac:dyDescent="0.25">
      <c r="A9472">
        <v>4970013</v>
      </c>
      <c r="B9472" t="s">
        <v>10027</v>
      </c>
      <c r="C9472" t="str">
        <f>""</f>
        <v/>
      </c>
      <c r="D9472" t="str">
        <f>"9781281736499"</f>
        <v>9781281736499</v>
      </c>
      <c r="E9472" t="s">
        <v>1063</v>
      </c>
      <c r="F9472" t="s">
        <v>1064</v>
      </c>
      <c r="G9472" s="1">
        <v>39401</v>
      </c>
      <c r="H9472" s="1">
        <v>1</v>
      </c>
      <c r="I9472" t="s">
        <v>12</v>
      </c>
      <c r="J9472" t="s">
        <v>20242</v>
      </c>
    </row>
    <row r="9473" spans="1:10" x14ac:dyDescent="0.25">
      <c r="A9473">
        <v>4970014</v>
      </c>
      <c r="B9473" t="s">
        <v>10028</v>
      </c>
      <c r="C9473" t="str">
        <f>""</f>
        <v/>
      </c>
      <c r="D9473" t="str">
        <f>"9781281180889"</f>
        <v>9781281180889</v>
      </c>
      <c r="E9473" t="s">
        <v>1063</v>
      </c>
      <c r="F9473" t="s">
        <v>1064</v>
      </c>
      <c r="G9473" s="1">
        <v>38718</v>
      </c>
      <c r="H9473" s="1">
        <v>1</v>
      </c>
      <c r="I9473" t="s">
        <v>12</v>
      </c>
      <c r="J9473" t="s">
        <v>20243</v>
      </c>
    </row>
    <row r="9474" spans="1:10" x14ac:dyDescent="0.25">
      <c r="A9474">
        <v>4970023</v>
      </c>
      <c r="B9474" t="s">
        <v>10029</v>
      </c>
      <c r="C9474" t="str">
        <f>""</f>
        <v/>
      </c>
      <c r="D9474" t="str">
        <f>"9781281181107"</f>
        <v>9781281181107</v>
      </c>
      <c r="E9474" t="s">
        <v>1063</v>
      </c>
      <c r="F9474" t="s">
        <v>1064</v>
      </c>
      <c r="G9474" s="1">
        <v>39220</v>
      </c>
      <c r="H9474" s="1">
        <v>1</v>
      </c>
      <c r="I9474" t="s">
        <v>12</v>
      </c>
      <c r="J9474" t="s">
        <v>20244</v>
      </c>
    </row>
    <row r="9475" spans="1:10" x14ac:dyDescent="0.25">
      <c r="A9475">
        <v>4970026</v>
      </c>
      <c r="B9475" t="s">
        <v>10030</v>
      </c>
      <c r="C9475" t="str">
        <f>""</f>
        <v/>
      </c>
      <c r="D9475" t="str">
        <f>"9781281430212"</f>
        <v>9781281430212</v>
      </c>
      <c r="E9475" t="s">
        <v>1063</v>
      </c>
      <c r="F9475" t="s">
        <v>1064</v>
      </c>
      <c r="G9475" s="1">
        <v>39477</v>
      </c>
      <c r="H9475" s="1">
        <v>1</v>
      </c>
      <c r="I9475" t="s">
        <v>12</v>
      </c>
      <c r="J9475" t="s">
        <v>20245</v>
      </c>
    </row>
    <row r="9476" spans="1:10" x14ac:dyDescent="0.25">
      <c r="A9476">
        <v>4970046</v>
      </c>
      <c r="B9476" t="s">
        <v>10031</v>
      </c>
      <c r="C9476" t="str">
        <f>""</f>
        <v/>
      </c>
      <c r="D9476" t="str">
        <f>"9781281180766"</f>
        <v>9781281180766</v>
      </c>
      <c r="E9476" t="s">
        <v>1063</v>
      </c>
      <c r="F9476" t="s">
        <v>1064</v>
      </c>
      <c r="G9476" s="1">
        <v>39112</v>
      </c>
      <c r="H9476" s="1">
        <v>1</v>
      </c>
      <c r="I9476" t="s">
        <v>12</v>
      </c>
      <c r="J9476" t="s">
        <v>20246</v>
      </c>
    </row>
    <row r="9477" spans="1:10" x14ac:dyDescent="0.25">
      <c r="A9477">
        <v>4970470</v>
      </c>
      <c r="B9477" t="s">
        <v>10032</v>
      </c>
      <c r="C9477" t="str">
        <f>""</f>
        <v/>
      </c>
      <c r="D9477" t="str">
        <f>"9781280371080"</f>
        <v>9781280371080</v>
      </c>
      <c r="E9477" t="s">
        <v>1569</v>
      </c>
      <c r="F9477" t="s">
        <v>1569</v>
      </c>
      <c r="G9477" s="1">
        <v>38353</v>
      </c>
      <c r="H9477" s="1">
        <v>1</v>
      </c>
      <c r="I9477" t="s">
        <v>12</v>
      </c>
      <c r="J9477" t="s">
        <v>20247</v>
      </c>
    </row>
    <row r="9478" spans="1:10" x14ac:dyDescent="0.25">
      <c r="A9478">
        <v>4974821</v>
      </c>
      <c r="B9478" t="s">
        <v>10033</v>
      </c>
      <c r="C9478" t="str">
        <f>"9789087900496"</f>
        <v>9789087900496</v>
      </c>
      <c r="D9478" t="str">
        <f>"9789087903442"</f>
        <v>9789087903442</v>
      </c>
      <c r="E9478" t="s">
        <v>10034</v>
      </c>
      <c r="F9478" t="s">
        <v>10034</v>
      </c>
      <c r="G9478" s="1">
        <v>39118</v>
      </c>
      <c r="H9478" s="1">
        <v>43760</v>
      </c>
      <c r="I9478" t="s">
        <v>12</v>
      </c>
      <c r="J9478" t="s">
        <v>20248</v>
      </c>
    </row>
    <row r="9479" spans="1:10" x14ac:dyDescent="0.25">
      <c r="A9479">
        <v>4974824</v>
      </c>
      <c r="B9479" t="s">
        <v>10035</v>
      </c>
      <c r="C9479" t="str">
        <f>"9789087900830"</f>
        <v>9789087900830</v>
      </c>
      <c r="D9479" t="str">
        <f>"9789087903589"</f>
        <v>9789087903589</v>
      </c>
      <c r="E9479" t="s">
        <v>10034</v>
      </c>
      <c r="F9479" t="s">
        <v>10034</v>
      </c>
      <c r="G9479" s="1">
        <v>39272</v>
      </c>
      <c r="H9479" s="1">
        <v>43760</v>
      </c>
      <c r="I9479" t="s">
        <v>12</v>
      </c>
      <c r="J9479" t="s">
        <v>20249</v>
      </c>
    </row>
    <row r="9480" spans="1:10" x14ac:dyDescent="0.25">
      <c r="A9480">
        <v>4974826</v>
      </c>
      <c r="B9480" t="s">
        <v>10036</v>
      </c>
      <c r="C9480" t="str">
        <f>"9789087900762"</f>
        <v>9789087900762</v>
      </c>
      <c r="D9480" t="str">
        <f>"9789087903619"</f>
        <v>9789087903619</v>
      </c>
      <c r="E9480" t="s">
        <v>10034</v>
      </c>
      <c r="F9480" t="s">
        <v>10034</v>
      </c>
      <c r="G9480" s="1">
        <v>39162</v>
      </c>
      <c r="H9480" s="1">
        <v>43760</v>
      </c>
      <c r="I9480" t="s">
        <v>12</v>
      </c>
      <c r="J9480" t="s">
        <v>20250</v>
      </c>
    </row>
    <row r="9481" spans="1:10" x14ac:dyDescent="0.25">
      <c r="A9481">
        <v>4974872</v>
      </c>
      <c r="B9481" t="s">
        <v>10037</v>
      </c>
      <c r="C9481" t="str">
        <f>"9789087901981"</f>
        <v>9789087901981</v>
      </c>
      <c r="D9481" t="str">
        <f>"9789087903169"</f>
        <v>9789087903169</v>
      </c>
      <c r="E9481" t="s">
        <v>10034</v>
      </c>
      <c r="F9481" t="s">
        <v>10034</v>
      </c>
      <c r="G9481" s="1">
        <v>39296</v>
      </c>
      <c r="H9481" s="1">
        <v>43760</v>
      </c>
      <c r="I9481" t="s">
        <v>12</v>
      </c>
      <c r="J9481" t="s">
        <v>20251</v>
      </c>
    </row>
    <row r="9482" spans="1:10" x14ac:dyDescent="0.25">
      <c r="A9482">
        <v>4974874</v>
      </c>
      <c r="B9482" t="s">
        <v>10038</v>
      </c>
      <c r="C9482" t="str">
        <f>"9789087900533"</f>
        <v>9789087900533</v>
      </c>
      <c r="D9482" t="str">
        <f>"9789087903596"</f>
        <v>9789087903596</v>
      </c>
      <c r="E9482" t="s">
        <v>10034</v>
      </c>
      <c r="F9482" t="s">
        <v>10034</v>
      </c>
      <c r="G9482" s="1">
        <v>39118</v>
      </c>
      <c r="H9482" s="1">
        <v>43760</v>
      </c>
      <c r="I9482" t="s">
        <v>12</v>
      </c>
      <c r="J9482" t="s">
        <v>20252</v>
      </c>
    </row>
    <row r="9483" spans="1:10" x14ac:dyDescent="0.25">
      <c r="A9483">
        <v>4974890</v>
      </c>
      <c r="B9483" t="s">
        <v>10039</v>
      </c>
      <c r="C9483" t="str">
        <f>"9789087900137"</f>
        <v>9789087900137</v>
      </c>
      <c r="D9483" t="str">
        <f>"9789087900922"</f>
        <v>9789087900922</v>
      </c>
      <c r="E9483" t="s">
        <v>10034</v>
      </c>
      <c r="F9483" t="s">
        <v>10034</v>
      </c>
      <c r="G9483" s="1">
        <v>39065</v>
      </c>
      <c r="H9483" s="1">
        <v>43760</v>
      </c>
      <c r="I9483" t="s">
        <v>12</v>
      </c>
      <c r="J9483" t="s">
        <v>20253</v>
      </c>
    </row>
    <row r="9484" spans="1:10" x14ac:dyDescent="0.25">
      <c r="A9484">
        <v>4974893</v>
      </c>
      <c r="B9484" t="s">
        <v>10040</v>
      </c>
      <c r="C9484" t="str">
        <f>"9789077874820"</f>
        <v>9789077874820</v>
      </c>
      <c r="D9484" t="str">
        <f>"9789087903350"</f>
        <v>9789087903350</v>
      </c>
      <c r="E9484" t="s">
        <v>10034</v>
      </c>
      <c r="F9484" t="s">
        <v>10034</v>
      </c>
      <c r="G9484" s="1">
        <v>38947</v>
      </c>
      <c r="H9484" s="1">
        <v>43760</v>
      </c>
      <c r="I9484" t="s">
        <v>12</v>
      </c>
      <c r="J9484" t="s">
        <v>20254</v>
      </c>
    </row>
    <row r="9485" spans="1:10" x14ac:dyDescent="0.25">
      <c r="A9485">
        <v>4974901</v>
      </c>
      <c r="B9485" t="s">
        <v>10041</v>
      </c>
      <c r="C9485" t="str">
        <f>"9789087901851"</f>
        <v>9789087901851</v>
      </c>
      <c r="D9485" t="str">
        <f>"9789087901875"</f>
        <v>9789087901875</v>
      </c>
      <c r="E9485" t="s">
        <v>10034</v>
      </c>
      <c r="F9485" t="s">
        <v>10034</v>
      </c>
      <c r="G9485" s="1">
        <v>39308</v>
      </c>
      <c r="H9485" s="1">
        <v>43760</v>
      </c>
      <c r="I9485" t="s">
        <v>12</v>
      </c>
      <c r="J9485" t="s">
        <v>20255</v>
      </c>
    </row>
    <row r="9486" spans="1:10" x14ac:dyDescent="0.25">
      <c r="A9486">
        <v>4974902</v>
      </c>
      <c r="B9486" t="s">
        <v>10042</v>
      </c>
      <c r="C9486" t="str">
        <f>"9789077874165"</f>
        <v>9789077874165</v>
      </c>
      <c r="D9486" t="str">
        <f>"9789087901080"</f>
        <v>9789087901080</v>
      </c>
      <c r="E9486" t="s">
        <v>10034</v>
      </c>
      <c r="F9486" t="s">
        <v>10034</v>
      </c>
      <c r="G9486" s="1">
        <v>38785</v>
      </c>
      <c r="H9486" s="1">
        <v>43760</v>
      </c>
      <c r="I9486" t="s">
        <v>12</v>
      </c>
      <c r="J9486" t="s">
        <v>20256</v>
      </c>
    </row>
    <row r="9487" spans="1:10" x14ac:dyDescent="0.25">
      <c r="A9487">
        <v>4974905</v>
      </c>
      <c r="B9487" t="s">
        <v>10043</v>
      </c>
      <c r="C9487" t="str">
        <f>"9789087900397"</f>
        <v>9789087900397</v>
      </c>
      <c r="D9487" t="str">
        <f>"9789087903671"</f>
        <v>9789087903671</v>
      </c>
      <c r="E9487" t="s">
        <v>10034</v>
      </c>
      <c r="F9487" t="s">
        <v>10034</v>
      </c>
      <c r="G9487" s="1">
        <v>39216</v>
      </c>
      <c r="H9487" s="1">
        <v>43760</v>
      </c>
      <c r="I9487" t="s">
        <v>12</v>
      </c>
      <c r="J9487" t="s">
        <v>20257</v>
      </c>
    </row>
    <row r="9488" spans="1:10" x14ac:dyDescent="0.25">
      <c r="A9488">
        <v>4974906</v>
      </c>
      <c r="B9488" t="s">
        <v>10044</v>
      </c>
      <c r="C9488" t="str">
        <f>"9789087900298"</f>
        <v>9789087900298</v>
      </c>
      <c r="D9488" t="str">
        <f>"9789087900991"</f>
        <v>9789087900991</v>
      </c>
      <c r="E9488" t="s">
        <v>10034</v>
      </c>
      <c r="F9488" t="s">
        <v>10034</v>
      </c>
      <c r="G9488" s="1">
        <v>39064</v>
      </c>
      <c r="H9488" s="1">
        <v>43760</v>
      </c>
      <c r="I9488" t="s">
        <v>12</v>
      </c>
      <c r="J9488" t="s">
        <v>20258</v>
      </c>
    </row>
    <row r="9489" spans="1:10" x14ac:dyDescent="0.25">
      <c r="A9489">
        <v>4974909</v>
      </c>
      <c r="B9489" t="s">
        <v>10045</v>
      </c>
      <c r="C9489" t="str">
        <f>"9789087900717"</f>
        <v>9789087900717</v>
      </c>
      <c r="D9489" t="str">
        <f>"9789087903329"</f>
        <v>9789087903329</v>
      </c>
      <c r="E9489" t="s">
        <v>10034</v>
      </c>
      <c r="F9489" t="s">
        <v>10034</v>
      </c>
      <c r="G9489" s="1">
        <v>39166</v>
      </c>
      <c r="H9489" s="1">
        <v>43760</v>
      </c>
      <c r="I9489" t="s">
        <v>12</v>
      </c>
      <c r="J9489" t="s">
        <v>20259</v>
      </c>
    </row>
    <row r="9490" spans="1:10" x14ac:dyDescent="0.25">
      <c r="A9490">
        <v>4974911</v>
      </c>
      <c r="B9490" t="s">
        <v>10046</v>
      </c>
      <c r="C9490" t="str">
        <f>"9789077874929"</f>
        <v>9789077874929</v>
      </c>
      <c r="D9490" t="str">
        <f>"9789087903404"</f>
        <v>9789087903404</v>
      </c>
      <c r="E9490" t="s">
        <v>10034</v>
      </c>
      <c r="F9490" t="s">
        <v>10034</v>
      </c>
      <c r="G9490" s="1">
        <v>39036</v>
      </c>
      <c r="H9490" s="1">
        <v>43760</v>
      </c>
      <c r="I9490" t="s">
        <v>12</v>
      </c>
      <c r="J9490" t="s">
        <v>20260</v>
      </c>
    </row>
    <row r="9491" spans="1:10" x14ac:dyDescent="0.25">
      <c r="A9491">
        <v>4974913</v>
      </c>
      <c r="B9491" t="s">
        <v>10047</v>
      </c>
      <c r="C9491" t="str">
        <f>"9789087902643"</f>
        <v>9789087902643</v>
      </c>
      <c r="D9491" t="str">
        <f>"9789087902667"</f>
        <v>9789087902667</v>
      </c>
      <c r="E9491" t="s">
        <v>1447</v>
      </c>
      <c r="F9491" t="s">
        <v>10048</v>
      </c>
      <c r="G9491" s="1">
        <v>39448</v>
      </c>
      <c r="H9491" s="1">
        <v>43760</v>
      </c>
      <c r="I9491" t="s">
        <v>12</v>
      </c>
      <c r="J9491" t="s">
        <v>20261</v>
      </c>
    </row>
    <row r="9492" spans="1:10" x14ac:dyDescent="0.25">
      <c r="A9492">
        <v>4974920</v>
      </c>
      <c r="B9492" t="s">
        <v>10049</v>
      </c>
      <c r="C9492" t="str">
        <f>"9789087902186"</f>
        <v>9789087902186</v>
      </c>
      <c r="D9492" t="str">
        <f>"9789087903244"</f>
        <v>9789087903244</v>
      </c>
      <c r="E9492" t="s">
        <v>10034</v>
      </c>
      <c r="F9492" t="s">
        <v>10034</v>
      </c>
      <c r="G9492" s="1">
        <v>39363</v>
      </c>
      <c r="H9492" s="1">
        <v>43760</v>
      </c>
      <c r="I9492" t="s">
        <v>12</v>
      </c>
      <c r="J9492" t="s">
        <v>20262</v>
      </c>
    </row>
    <row r="9493" spans="1:10" x14ac:dyDescent="0.25">
      <c r="A9493">
        <v>4974952</v>
      </c>
      <c r="B9493" t="s">
        <v>10050</v>
      </c>
      <c r="C9493" t="str">
        <f>"9789077874028"</f>
        <v>9789077874028</v>
      </c>
      <c r="D9493" t="str">
        <f>"9789087903688"</f>
        <v>9789087903688</v>
      </c>
      <c r="E9493" t="s">
        <v>10034</v>
      </c>
      <c r="F9493" t="s">
        <v>10034</v>
      </c>
      <c r="G9493" s="1">
        <v>38412</v>
      </c>
      <c r="H9493" s="1">
        <v>43760</v>
      </c>
      <c r="I9493" t="s">
        <v>12</v>
      </c>
      <c r="J9493" t="s">
        <v>20263</v>
      </c>
    </row>
    <row r="9494" spans="1:10" x14ac:dyDescent="0.25">
      <c r="A9494">
        <v>4974958</v>
      </c>
      <c r="B9494" t="s">
        <v>10051</v>
      </c>
      <c r="C9494" t="str">
        <f>"9789087900618"</f>
        <v>9789087900618</v>
      </c>
      <c r="D9494" t="str">
        <f>"9789087903381"</f>
        <v>9789087903381</v>
      </c>
      <c r="E9494" t="s">
        <v>10034</v>
      </c>
      <c r="F9494" t="s">
        <v>10034</v>
      </c>
      <c r="G9494" s="1">
        <v>39120</v>
      </c>
      <c r="H9494" s="1">
        <v>43760</v>
      </c>
      <c r="I9494" t="s">
        <v>12</v>
      </c>
      <c r="J9494" t="s">
        <v>20264</v>
      </c>
    </row>
    <row r="9495" spans="1:10" x14ac:dyDescent="0.25">
      <c r="A9495">
        <v>4974965</v>
      </c>
      <c r="B9495" t="s">
        <v>10052</v>
      </c>
      <c r="C9495" t="str">
        <f>"9789087900212"</f>
        <v>9789087900212</v>
      </c>
      <c r="D9495" t="str">
        <f>"9789087900960"</f>
        <v>9789087900960</v>
      </c>
      <c r="E9495" t="s">
        <v>10034</v>
      </c>
      <c r="F9495" t="s">
        <v>10034</v>
      </c>
      <c r="G9495" s="1">
        <v>39064</v>
      </c>
      <c r="H9495" s="1">
        <v>43760</v>
      </c>
      <c r="I9495" t="s">
        <v>12</v>
      </c>
      <c r="J9495" t="s">
        <v>20265</v>
      </c>
    </row>
    <row r="9496" spans="1:10" x14ac:dyDescent="0.25">
      <c r="A9496">
        <v>4974968</v>
      </c>
      <c r="B9496" t="s">
        <v>10053</v>
      </c>
      <c r="C9496" t="str">
        <f>"9789087902094"</f>
        <v>9789087902094</v>
      </c>
      <c r="D9496" t="str">
        <f>"9789087902117"</f>
        <v>9789087902117</v>
      </c>
      <c r="E9496" t="s">
        <v>10034</v>
      </c>
      <c r="F9496" t="s">
        <v>10034</v>
      </c>
      <c r="G9496" s="1">
        <v>39295</v>
      </c>
      <c r="H9496" s="1">
        <v>43760</v>
      </c>
      <c r="I9496" t="s">
        <v>12</v>
      </c>
      <c r="J9496" t="s">
        <v>20266</v>
      </c>
    </row>
    <row r="9497" spans="1:10" x14ac:dyDescent="0.25">
      <c r="A9497">
        <v>4974974</v>
      </c>
      <c r="B9497" t="s">
        <v>10054</v>
      </c>
      <c r="C9497" t="str">
        <f>"9789087901370"</f>
        <v>9789087901370</v>
      </c>
      <c r="D9497" t="str">
        <f>"9789087903466"</f>
        <v>9789087903466</v>
      </c>
      <c r="E9497" t="s">
        <v>10034</v>
      </c>
      <c r="F9497" t="s">
        <v>10034</v>
      </c>
      <c r="G9497" s="1">
        <v>39233</v>
      </c>
      <c r="H9497" s="1">
        <v>43760</v>
      </c>
      <c r="I9497" t="s">
        <v>12</v>
      </c>
      <c r="J9497" t="s">
        <v>20267</v>
      </c>
    </row>
    <row r="9498" spans="1:10" x14ac:dyDescent="0.25">
      <c r="A9498">
        <v>4974976</v>
      </c>
      <c r="B9498" t="s">
        <v>10055</v>
      </c>
      <c r="C9498" t="str">
        <f>"9789077874349"</f>
        <v>9789077874349</v>
      </c>
      <c r="D9498" t="str">
        <f>"9789087901158"</f>
        <v>9789087901158</v>
      </c>
      <c r="E9498" t="s">
        <v>10034</v>
      </c>
      <c r="F9498" t="s">
        <v>10034</v>
      </c>
      <c r="G9498" s="1">
        <v>38805</v>
      </c>
      <c r="H9498" s="1">
        <v>43760</v>
      </c>
      <c r="I9498" t="s">
        <v>12</v>
      </c>
      <c r="J9498" t="s">
        <v>20268</v>
      </c>
    </row>
    <row r="9499" spans="1:10" x14ac:dyDescent="0.25">
      <c r="A9499">
        <v>4974980</v>
      </c>
      <c r="B9499" t="s">
        <v>10056</v>
      </c>
      <c r="C9499" t="str">
        <f>"9789087902018"</f>
        <v>9789087902018</v>
      </c>
      <c r="D9499" t="str">
        <f>"9789087903152"</f>
        <v>9789087903152</v>
      </c>
      <c r="E9499" t="s">
        <v>10034</v>
      </c>
      <c r="F9499" t="s">
        <v>10034</v>
      </c>
      <c r="G9499" s="1">
        <v>39295</v>
      </c>
      <c r="H9499" s="1">
        <v>43760</v>
      </c>
      <c r="I9499" t="s">
        <v>12</v>
      </c>
      <c r="J9499" t="s">
        <v>20269</v>
      </c>
    </row>
    <row r="9500" spans="1:10" x14ac:dyDescent="0.25">
      <c r="A9500">
        <v>4976989</v>
      </c>
      <c r="B9500" t="s">
        <v>10057</v>
      </c>
      <c r="C9500" t="str">
        <f>"9780415381857"</f>
        <v>9780415381857</v>
      </c>
      <c r="D9500" t="str">
        <f>"9781134177776"</f>
        <v>9781134177776</v>
      </c>
      <c r="E9500" t="s">
        <v>15</v>
      </c>
      <c r="F9500" t="s">
        <v>16</v>
      </c>
      <c r="G9500" s="1">
        <v>39083</v>
      </c>
      <c r="H9500" s="1">
        <v>1</v>
      </c>
      <c r="I9500" t="s">
        <v>12</v>
      </c>
      <c r="J9500" t="s">
        <v>20270</v>
      </c>
    </row>
    <row r="9501" spans="1:10" x14ac:dyDescent="0.25">
      <c r="A9501">
        <v>4977028</v>
      </c>
      <c r="B9501" t="s">
        <v>10058</v>
      </c>
      <c r="C9501" t="str">
        <f>""</f>
        <v/>
      </c>
      <c r="D9501" t="str">
        <f>"9786610281671"</f>
        <v>9786610281671</v>
      </c>
      <c r="E9501" t="s">
        <v>15</v>
      </c>
      <c r="F9501" t="s">
        <v>153</v>
      </c>
      <c r="G9501" s="1">
        <v>37336</v>
      </c>
      <c r="H9501" s="1">
        <v>1</v>
      </c>
      <c r="I9501" t="s">
        <v>12</v>
      </c>
      <c r="J9501" t="s">
        <v>20271</v>
      </c>
    </row>
    <row r="9502" spans="1:10" x14ac:dyDescent="0.25">
      <c r="A9502">
        <v>4977126</v>
      </c>
      <c r="B9502" t="s">
        <v>10059</v>
      </c>
      <c r="C9502" t="str">
        <f>""</f>
        <v/>
      </c>
      <c r="D9502" t="str">
        <f>"9781134467365"</f>
        <v>9781134467365</v>
      </c>
      <c r="E9502" t="s">
        <v>15</v>
      </c>
      <c r="F9502" t="s">
        <v>16</v>
      </c>
      <c r="G9502" s="1">
        <v>38000</v>
      </c>
      <c r="H9502" s="1">
        <v>1</v>
      </c>
      <c r="I9502" t="s">
        <v>12</v>
      </c>
      <c r="J9502" t="s">
        <v>20272</v>
      </c>
    </row>
    <row r="9503" spans="1:10" x14ac:dyDescent="0.25">
      <c r="A9503">
        <v>4977170</v>
      </c>
      <c r="B9503" t="s">
        <v>10060</v>
      </c>
      <c r="C9503" t="str">
        <f>""</f>
        <v/>
      </c>
      <c r="D9503" t="str">
        <f>"9781135943691"</f>
        <v>9781135943691</v>
      </c>
      <c r="E9503" t="s">
        <v>15</v>
      </c>
      <c r="F9503" t="s">
        <v>16</v>
      </c>
      <c r="G9503" s="1">
        <v>41277</v>
      </c>
      <c r="H9503" s="1">
        <v>1</v>
      </c>
      <c r="I9503" t="s">
        <v>12</v>
      </c>
      <c r="J9503" t="s">
        <v>20273</v>
      </c>
    </row>
    <row r="9504" spans="1:10" x14ac:dyDescent="0.25">
      <c r="A9504">
        <v>4977371</v>
      </c>
      <c r="B9504" t="s">
        <v>10061</v>
      </c>
      <c r="C9504" t="str">
        <f>"9780896724402"</f>
        <v>9780896724402</v>
      </c>
      <c r="D9504" t="str">
        <f>"9781281093189"</f>
        <v>9781281093189</v>
      </c>
      <c r="E9504" t="s">
        <v>10062</v>
      </c>
      <c r="F9504" t="s">
        <v>10062</v>
      </c>
      <c r="G9504" s="1">
        <v>36906</v>
      </c>
      <c r="H9504" s="1">
        <v>1</v>
      </c>
      <c r="I9504" t="s">
        <v>12</v>
      </c>
      <c r="J9504" t="s">
        <v>20274</v>
      </c>
    </row>
    <row r="9505" spans="1:10" x14ac:dyDescent="0.25">
      <c r="A9505">
        <v>4977373</v>
      </c>
      <c r="B9505" t="s">
        <v>10063</v>
      </c>
      <c r="C9505" t="str">
        <f>"9780896725331"</f>
        <v>9780896725331</v>
      </c>
      <c r="D9505" t="str">
        <f>"9781281093400"</f>
        <v>9781281093400</v>
      </c>
      <c r="E9505" t="s">
        <v>10062</v>
      </c>
      <c r="F9505" t="s">
        <v>10062</v>
      </c>
      <c r="G9505" s="1">
        <v>38275</v>
      </c>
      <c r="H9505" s="1">
        <v>1</v>
      </c>
      <c r="I9505" t="s">
        <v>12</v>
      </c>
      <c r="J9505" t="s">
        <v>20275</v>
      </c>
    </row>
    <row r="9506" spans="1:10" x14ac:dyDescent="0.25">
      <c r="A9506">
        <v>4977376</v>
      </c>
      <c r="B9506" t="s">
        <v>10064</v>
      </c>
      <c r="C9506" t="str">
        <f>"9780896726161"</f>
        <v>9780896726161</v>
      </c>
      <c r="D9506" t="str">
        <f>"9781281093462"</f>
        <v>9781281093462</v>
      </c>
      <c r="E9506" t="s">
        <v>10062</v>
      </c>
      <c r="F9506" t="s">
        <v>10062</v>
      </c>
      <c r="G9506" s="1">
        <v>39326</v>
      </c>
      <c r="H9506" s="1">
        <v>1</v>
      </c>
      <c r="I9506" t="s">
        <v>12</v>
      </c>
      <c r="J9506" t="s">
        <v>20276</v>
      </c>
    </row>
    <row r="9507" spans="1:10" x14ac:dyDescent="0.25">
      <c r="A9507">
        <v>4977693</v>
      </c>
      <c r="B9507" t="s">
        <v>10065</v>
      </c>
      <c r="C9507" t="str">
        <f>"9781854183859"</f>
        <v>9781854183859</v>
      </c>
      <c r="D9507" t="str">
        <f>"9781280233517"</f>
        <v>9781280233517</v>
      </c>
      <c r="E9507" t="s">
        <v>3957</v>
      </c>
      <c r="F9507" t="s">
        <v>3957</v>
      </c>
      <c r="G9507" s="1">
        <v>38412</v>
      </c>
      <c r="H9507" s="1">
        <v>1</v>
      </c>
      <c r="I9507" t="s">
        <v>12</v>
      </c>
      <c r="J9507" t="s">
        <v>20277</v>
      </c>
    </row>
    <row r="9508" spans="1:10" x14ac:dyDescent="0.25">
      <c r="A9508">
        <v>4977695</v>
      </c>
      <c r="B9508" t="s">
        <v>10066</v>
      </c>
      <c r="C9508" t="str">
        <f>"9781854182791"</f>
        <v>9781854182791</v>
      </c>
      <c r="D9508" t="str">
        <f>"9781280233708"</f>
        <v>9781280233708</v>
      </c>
      <c r="E9508" t="s">
        <v>3957</v>
      </c>
      <c r="F9508" t="s">
        <v>3957</v>
      </c>
      <c r="G9508" s="1">
        <v>38121</v>
      </c>
      <c r="H9508" s="1">
        <v>1</v>
      </c>
      <c r="I9508" t="s">
        <v>12</v>
      </c>
      <c r="J9508" t="s">
        <v>20278</v>
      </c>
    </row>
    <row r="9509" spans="1:10" x14ac:dyDescent="0.25">
      <c r="A9509">
        <v>4977938</v>
      </c>
      <c r="B9509" t="s">
        <v>10067</v>
      </c>
      <c r="C9509" t="str">
        <f>"9780870816567"</f>
        <v>9780870816567</v>
      </c>
      <c r="D9509" t="str">
        <f>"9780870817038"</f>
        <v>9780870817038</v>
      </c>
      <c r="E9509" t="s">
        <v>10068</v>
      </c>
      <c r="F9509" t="s">
        <v>10068</v>
      </c>
      <c r="G9509" s="1">
        <v>37591</v>
      </c>
      <c r="H9509" s="1">
        <v>1</v>
      </c>
      <c r="I9509" t="s">
        <v>12</v>
      </c>
      <c r="J9509" t="s">
        <v>20279</v>
      </c>
    </row>
    <row r="9510" spans="1:10" x14ac:dyDescent="0.25">
      <c r="A9510">
        <v>4978196</v>
      </c>
      <c r="B9510" t="s">
        <v>10069</v>
      </c>
      <c r="C9510" t="str">
        <f>"9780803233461"</f>
        <v>9780803233461</v>
      </c>
      <c r="D9510" t="str">
        <f>"9781280735172"</f>
        <v>9781280735172</v>
      </c>
      <c r="E9510" t="s">
        <v>2728</v>
      </c>
      <c r="F9510" t="s">
        <v>2728</v>
      </c>
      <c r="G9510" s="1">
        <v>39083</v>
      </c>
      <c r="H9510" s="1">
        <v>1</v>
      </c>
      <c r="I9510" t="s">
        <v>12</v>
      </c>
      <c r="J9510" t="s">
        <v>20280</v>
      </c>
    </row>
    <row r="9511" spans="1:10" x14ac:dyDescent="0.25">
      <c r="A9511">
        <v>4978218</v>
      </c>
      <c r="B9511" t="s">
        <v>10070</v>
      </c>
      <c r="C9511" t="str">
        <f>""</f>
        <v/>
      </c>
      <c r="D9511" t="str">
        <f>"9780803207622"</f>
        <v>9780803207622</v>
      </c>
      <c r="E9511" t="s">
        <v>2728</v>
      </c>
      <c r="F9511" t="s">
        <v>2728</v>
      </c>
      <c r="G9511" s="1">
        <v>39417</v>
      </c>
      <c r="H9511" s="1">
        <v>1</v>
      </c>
      <c r="I9511" t="s">
        <v>12</v>
      </c>
      <c r="J9511" t="s">
        <v>20281</v>
      </c>
    </row>
    <row r="9512" spans="1:10" x14ac:dyDescent="0.25">
      <c r="A9512">
        <v>4978524</v>
      </c>
      <c r="B9512" t="s">
        <v>10071</v>
      </c>
      <c r="C9512" t="str">
        <f>"9789241547048"</f>
        <v>9789241547048</v>
      </c>
      <c r="D9512" t="str">
        <f>"9789240682160"</f>
        <v>9789240682160</v>
      </c>
      <c r="E9512" t="s">
        <v>2717</v>
      </c>
      <c r="F9512" t="s">
        <v>2717</v>
      </c>
      <c r="G9512" s="1">
        <v>39127</v>
      </c>
      <c r="H9512" s="1">
        <v>1</v>
      </c>
      <c r="I9512" t="s">
        <v>12</v>
      </c>
      <c r="J9512" t="s">
        <v>20282</v>
      </c>
    </row>
    <row r="9513" spans="1:10" x14ac:dyDescent="0.25">
      <c r="A9513">
        <v>4982439</v>
      </c>
      <c r="B9513" t="s">
        <v>10072</v>
      </c>
      <c r="C9513" t="str">
        <f>"9781474279581"</f>
        <v>9781474279581</v>
      </c>
      <c r="D9513" t="str">
        <f>"9781474279604"</f>
        <v>9781474279604</v>
      </c>
      <c r="E9513" t="s">
        <v>4180</v>
      </c>
      <c r="F9513" t="s">
        <v>6461</v>
      </c>
      <c r="G9513" s="1">
        <v>42985</v>
      </c>
      <c r="H9513" s="1">
        <v>42970</v>
      </c>
      <c r="I9513" t="s">
        <v>12</v>
      </c>
      <c r="J9513" t="s">
        <v>20283</v>
      </c>
    </row>
    <row r="9514" spans="1:10" x14ac:dyDescent="0.25">
      <c r="A9514">
        <v>4988237</v>
      </c>
      <c r="B9514" t="s">
        <v>10073</v>
      </c>
      <c r="C9514" t="str">
        <f>"9789211201666"</f>
        <v>9789211201666</v>
      </c>
      <c r="D9514" t="str">
        <f>"9781280142796"</f>
        <v>9781280142796</v>
      </c>
      <c r="E9514" t="s">
        <v>10074</v>
      </c>
      <c r="F9514" t="s">
        <v>10075</v>
      </c>
      <c r="G9514" s="1">
        <v>37874</v>
      </c>
      <c r="H9514" s="1">
        <v>43021</v>
      </c>
      <c r="I9514" t="s">
        <v>12</v>
      </c>
      <c r="J9514" t="s">
        <v>20284</v>
      </c>
    </row>
    <row r="9515" spans="1:10" x14ac:dyDescent="0.25">
      <c r="A9515">
        <v>4993054</v>
      </c>
      <c r="B9515" t="s">
        <v>10076</v>
      </c>
      <c r="C9515" t="str">
        <f>""</f>
        <v/>
      </c>
      <c r="D9515" t="str">
        <f>"9781280474040"</f>
        <v>9781280474040</v>
      </c>
      <c r="E9515" t="s">
        <v>10077</v>
      </c>
      <c r="F9515" t="s">
        <v>10077</v>
      </c>
      <c r="G9515" s="1">
        <v>37987</v>
      </c>
      <c r="H9515" s="1">
        <v>43025</v>
      </c>
      <c r="I9515" t="s">
        <v>12</v>
      </c>
      <c r="J9515" t="s">
        <v>20285</v>
      </c>
    </row>
    <row r="9516" spans="1:10" x14ac:dyDescent="0.25">
      <c r="A9516">
        <v>4993056</v>
      </c>
      <c r="B9516" t="s">
        <v>10078</v>
      </c>
      <c r="C9516" t="str">
        <f>""</f>
        <v/>
      </c>
      <c r="D9516" t="str">
        <f>"9781281000026"</f>
        <v>9781281000026</v>
      </c>
      <c r="E9516" t="s">
        <v>10077</v>
      </c>
      <c r="F9516" t="s">
        <v>10077</v>
      </c>
      <c r="G9516" s="1">
        <v>39083</v>
      </c>
      <c r="H9516" s="1">
        <v>43026</v>
      </c>
      <c r="I9516" t="s">
        <v>12</v>
      </c>
      <c r="J9516" t="s">
        <v>20286</v>
      </c>
    </row>
    <row r="9517" spans="1:10" x14ac:dyDescent="0.25">
      <c r="A9517">
        <v>4993092</v>
      </c>
      <c r="B9517" t="s">
        <v>10079</v>
      </c>
      <c r="C9517" t="str">
        <f>""</f>
        <v/>
      </c>
      <c r="D9517" t="str">
        <f>"9781280728600"</f>
        <v>9781280728600</v>
      </c>
      <c r="E9517" t="s">
        <v>10077</v>
      </c>
      <c r="F9517" t="s">
        <v>10077</v>
      </c>
      <c r="G9517" s="1">
        <v>39083</v>
      </c>
      <c r="H9517" s="1">
        <v>43026</v>
      </c>
      <c r="I9517" t="s">
        <v>12</v>
      </c>
      <c r="J9517" t="s">
        <v>20287</v>
      </c>
    </row>
    <row r="9518" spans="1:10" x14ac:dyDescent="0.25">
      <c r="A9518">
        <v>4993094</v>
      </c>
      <c r="B9518" t="s">
        <v>10080</v>
      </c>
      <c r="C9518" t="str">
        <f>""</f>
        <v/>
      </c>
      <c r="D9518" t="str">
        <f>"9781280806841"</f>
        <v>9781280806841</v>
      </c>
      <c r="E9518" t="s">
        <v>10077</v>
      </c>
      <c r="F9518" t="s">
        <v>10077</v>
      </c>
      <c r="G9518" s="1">
        <v>39083</v>
      </c>
      <c r="H9518" s="1">
        <v>43026</v>
      </c>
      <c r="I9518" t="s">
        <v>12</v>
      </c>
      <c r="J9518" t="s">
        <v>20288</v>
      </c>
    </row>
    <row r="9519" spans="1:10" x14ac:dyDescent="0.25">
      <c r="A9519">
        <v>4993104</v>
      </c>
      <c r="B9519" t="s">
        <v>10081</v>
      </c>
      <c r="C9519" t="str">
        <f>""</f>
        <v/>
      </c>
      <c r="D9519" t="str">
        <f>"9781280839665"</f>
        <v>9781280839665</v>
      </c>
      <c r="E9519" t="s">
        <v>10077</v>
      </c>
      <c r="F9519" t="s">
        <v>10077</v>
      </c>
      <c r="G9519" s="1">
        <v>39083</v>
      </c>
      <c r="H9519" s="1">
        <v>43026</v>
      </c>
      <c r="I9519" t="s">
        <v>12</v>
      </c>
      <c r="J9519" t="s">
        <v>20289</v>
      </c>
    </row>
    <row r="9520" spans="1:10" x14ac:dyDescent="0.25">
      <c r="A9520">
        <v>4993123</v>
      </c>
      <c r="B9520" t="s">
        <v>10082</v>
      </c>
      <c r="C9520" t="str">
        <f>""</f>
        <v/>
      </c>
      <c r="D9520" t="str">
        <f>"9781281151476"</f>
        <v>9781281151476</v>
      </c>
      <c r="E9520" t="s">
        <v>10077</v>
      </c>
      <c r="F9520" t="s">
        <v>10077</v>
      </c>
      <c r="G9520" s="1">
        <v>39406</v>
      </c>
      <c r="H9520" s="1">
        <v>43026</v>
      </c>
      <c r="I9520" t="s">
        <v>12</v>
      </c>
      <c r="J9520" t="s">
        <v>20290</v>
      </c>
    </row>
    <row r="9521" spans="1:10" x14ac:dyDescent="0.25">
      <c r="A9521">
        <v>4993131</v>
      </c>
      <c r="B9521" t="s">
        <v>10083</v>
      </c>
      <c r="C9521" t="str">
        <f>""</f>
        <v/>
      </c>
      <c r="D9521" t="str">
        <f>"9781280474064"</f>
        <v>9781280474064</v>
      </c>
      <c r="E9521" t="s">
        <v>10077</v>
      </c>
      <c r="F9521" t="s">
        <v>10077</v>
      </c>
      <c r="G9521" s="1">
        <v>38718</v>
      </c>
      <c r="H9521" s="1">
        <v>43025</v>
      </c>
      <c r="I9521" t="s">
        <v>12</v>
      </c>
      <c r="J9521" t="s">
        <v>20291</v>
      </c>
    </row>
    <row r="9522" spans="1:10" x14ac:dyDescent="0.25">
      <c r="A9522">
        <v>4993136</v>
      </c>
      <c r="B9522" t="s">
        <v>10084</v>
      </c>
      <c r="C9522" t="str">
        <f>""</f>
        <v/>
      </c>
      <c r="D9522" t="str">
        <f>"9781280474408"</f>
        <v>9781280474408</v>
      </c>
      <c r="E9522" t="s">
        <v>10077</v>
      </c>
      <c r="F9522" t="s">
        <v>10077</v>
      </c>
      <c r="G9522" s="1">
        <v>38353</v>
      </c>
      <c r="H9522" s="1">
        <v>43025</v>
      </c>
      <c r="I9522" t="s">
        <v>12</v>
      </c>
      <c r="J9522" t="s">
        <v>20292</v>
      </c>
    </row>
    <row r="9523" spans="1:10" x14ac:dyDescent="0.25">
      <c r="A9523">
        <v>4993155</v>
      </c>
      <c r="B9523" t="s">
        <v>10085</v>
      </c>
      <c r="C9523" t="str">
        <f>""</f>
        <v/>
      </c>
      <c r="D9523" t="str">
        <f>"9781280604577"</f>
        <v>9781280604577</v>
      </c>
      <c r="E9523" t="s">
        <v>10077</v>
      </c>
      <c r="F9523" t="s">
        <v>10077</v>
      </c>
      <c r="G9523" s="1">
        <v>38718</v>
      </c>
      <c r="H9523" s="1">
        <v>43025</v>
      </c>
      <c r="I9523" t="s">
        <v>12</v>
      </c>
      <c r="J9523" t="s">
        <v>20293</v>
      </c>
    </row>
    <row r="9524" spans="1:10" x14ac:dyDescent="0.25">
      <c r="A9524">
        <v>4993156</v>
      </c>
      <c r="B9524" t="s">
        <v>10086</v>
      </c>
      <c r="C9524" t="str">
        <f>""</f>
        <v/>
      </c>
      <c r="D9524" t="str">
        <f>"9781280604584"</f>
        <v>9781280604584</v>
      </c>
      <c r="E9524" t="s">
        <v>10077</v>
      </c>
      <c r="F9524" t="s">
        <v>10077</v>
      </c>
      <c r="G9524" s="1">
        <v>38718</v>
      </c>
      <c r="H9524" s="1">
        <v>43025</v>
      </c>
      <c r="I9524" t="s">
        <v>12</v>
      </c>
      <c r="J9524" t="s">
        <v>20294</v>
      </c>
    </row>
    <row r="9525" spans="1:10" x14ac:dyDescent="0.25">
      <c r="A9525">
        <v>4993174</v>
      </c>
      <c r="B9525" t="s">
        <v>10087</v>
      </c>
      <c r="C9525" t="str">
        <f>""</f>
        <v/>
      </c>
      <c r="D9525" t="str">
        <f>"9781280474835"</f>
        <v>9781280474835</v>
      </c>
      <c r="E9525" t="s">
        <v>10077</v>
      </c>
      <c r="F9525" t="s">
        <v>10077</v>
      </c>
      <c r="G9525" s="1">
        <v>38718</v>
      </c>
      <c r="H9525" s="1">
        <v>43025</v>
      </c>
      <c r="I9525" t="s">
        <v>12</v>
      </c>
      <c r="J9525" t="s">
        <v>20295</v>
      </c>
    </row>
    <row r="9526" spans="1:10" x14ac:dyDescent="0.25">
      <c r="A9526">
        <v>4993185</v>
      </c>
      <c r="B9526" t="s">
        <v>10088</v>
      </c>
      <c r="C9526" t="str">
        <f>""</f>
        <v/>
      </c>
      <c r="D9526" t="str">
        <f>"9781280806827"</f>
        <v>9781280806827</v>
      </c>
      <c r="E9526" t="s">
        <v>10077</v>
      </c>
      <c r="F9526" t="s">
        <v>10077</v>
      </c>
      <c r="G9526" s="1">
        <v>39083</v>
      </c>
      <c r="H9526" s="1">
        <v>43026</v>
      </c>
      <c r="I9526" t="s">
        <v>12</v>
      </c>
      <c r="J9526" t="s">
        <v>20296</v>
      </c>
    </row>
    <row r="9527" spans="1:10" x14ac:dyDescent="0.25">
      <c r="A9527">
        <v>4993186</v>
      </c>
      <c r="B9527" t="s">
        <v>10089</v>
      </c>
      <c r="C9527" t="str">
        <f>""</f>
        <v/>
      </c>
      <c r="D9527" t="str">
        <f>"9781280474675"</f>
        <v>9781280474675</v>
      </c>
      <c r="E9527" t="s">
        <v>10077</v>
      </c>
      <c r="F9527" t="s">
        <v>10077</v>
      </c>
      <c r="G9527" s="1">
        <v>38718</v>
      </c>
      <c r="H9527" s="1">
        <v>43025</v>
      </c>
      <c r="I9527" t="s">
        <v>12</v>
      </c>
      <c r="J9527" t="s">
        <v>20297</v>
      </c>
    </row>
    <row r="9528" spans="1:10" x14ac:dyDescent="0.25">
      <c r="A9528">
        <v>5013670</v>
      </c>
      <c r="B9528" t="s">
        <v>10090</v>
      </c>
      <c r="C9528" t="str">
        <f>"9781842775455"</f>
        <v>9781842775455</v>
      </c>
      <c r="D9528" t="str">
        <f>"9781848131262"</f>
        <v>9781848131262</v>
      </c>
      <c r="E9528" t="s">
        <v>4626</v>
      </c>
      <c r="F9528" t="s">
        <v>4626</v>
      </c>
      <c r="G9528" s="1">
        <v>39507</v>
      </c>
      <c r="H9528" s="1">
        <v>1</v>
      </c>
      <c r="I9528" t="s">
        <v>12</v>
      </c>
      <c r="J9528" t="s">
        <v>20298</v>
      </c>
    </row>
    <row r="9529" spans="1:10" x14ac:dyDescent="0.25">
      <c r="A9529">
        <v>5014612</v>
      </c>
      <c r="B9529" t="s">
        <v>10091</v>
      </c>
      <c r="C9529" t="str">
        <f>"9781474224116"</f>
        <v>9781474224116</v>
      </c>
      <c r="D9529" t="str">
        <f>"9781474224123"</f>
        <v>9781474224123</v>
      </c>
      <c r="E9529" t="s">
        <v>4180</v>
      </c>
      <c r="F9529" t="s">
        <v>6461</v>
      </c>
      <c r="G9529" s="1">
        <v>42985</v>
      </c>
      <c r="H9529" s="1">
        <v>42979</v>
      </c>
      <c r="I9529" t="s">
        <v>12</v>
      </c>
      <c r="J9529" t="s">
        <v>20299</v>
      </c>
    </row>
    <row r="9530" spans="1:10" x14ac:dyDescent="0.25">
      <c r="A9530">
        <v>5041700</v>
      </c>
      <c r="B9530" t="s">
        <v>10092</v>
      </c>
      <c r="C9530" t="str">
        <f>"9781472954596"</f>
        <v>9781472954596</v>
      </c>
      <c r="D9530" t="str">
        <f>"9781472954589"</f>
        <v>9781472954589</v>
      </c>
      <c r="E9530" t="s">
        <v>4180</v>
      </c>
      <c r="F9530" t="s">
        <v>7616</v>
      </c>
      <c r="G9530" s="1">
        <v>43041</v>
      </c>
      <c r="H9530" s="1">
        <v>42986</v>
      </c>
      <c r="I9530" t="s">
        <v>12</v>
      </c>
      <c r="J9530" t="s">
        <v>20300</v>
      </c>
    </row>
    <row r="9531" spans="1:10" x14ac:dyDescent="0.25">
      <c r="A9531">
        <v>5043075</v>
      </c>
      <c r="B9531" t="s">
        <v>10093</v>
      </c>
      <c r="C9531" t="str">
        <f>"9789630585286"</f>
        <v>9789630585286</v>
      </c>
      <c r="D9531" t="str">
        <f>"9789630586276"</f>
        <v>9789630586276</v>
      </c>
      <c r="E9531" t="s">
        <v>10094</v>
      </c>
      <c r="F9531" t="s">
        <v>10094</v>
      </c>
      <c r="G9531" s="1">
        <v>39083</v>
      </c>
      <c r="H9531" s="1">
        <v>43024</v>
      </c>
      <c r="I9531" t="s">
        <v>12</v>
      </c>
      <c r="J9531" t="s">
        <v>20301</v>
      </c>
    </row>
    <row r="9532" spans="1:10" x14ac:dyDescent="0.25">
      <c r="A9532">
        <v>5049768</v>
      </c>
      <c r="B9532" t="s">
        <v>10095</v>
      </c>
      <c r="C9532" t="str">
        <f>"9781620701072"</f>
        <v>9781620701072</v>
      </c>
      <c r="D9532" t="str">
        <f>"9781617052859"</f>
        <v>9781617052859</v>
      </c>
      <c r="E9532" t="s">
        <v>3016</v>
      </c>
      <c r="F9532" t="s">
        <v>5675</v>
      </c>
      <c r="G9532" s="1">
        <v>43006</v>
      </c>
      <c r="H9532" s="1">
        <v>42997</v>
      </c>
      <c r="I9532" t="s">
        <v>12</v>
      </c>
      <c r="J9532" t="s">
        <v>20302</v>
      </c>
    </row>
    <row r="9533" spans="1:10" x14ac:dyDescent="0.25">
      <c r="A9533">
        <v>5054367</v>
      </c>
      <c r="B9533" t="s">
        <v>10096</v>
      </c>
      <c r="C9533" t="str">
        <f>"9789280141566"</f>
        <v>9789280141566</v>
      </c>
      <c r="D9533" t="str">
        <f>"9781280805394"</f>
        <v>9781280805394</v>
      </c>
      <c r="E9533" t="s">
        <v>10097</v>
      </c>
      <c r="F9533" t="s">
        <v>10097</v>
      </c>
      <c r="G9533" s="1">
        <v>37987</v>
      </c>
      <c r="H9533" s="1">
        <v>43025</v>
      </c>
      <c r="I9533" t="s">
        <v>12</v>
      </c>
      <c r="J9533" t="s">
        <v>20303</v>
      </c>
    </row>
    <row r="9534" spans="1:10" x14ac:dyDescent="0.25">
      <c r="A9534">
        <v>5054368</v>
      </c>
      <c r="B9534" t="s">
        <v>10098</v>
      </c>
      <c r="C9534" t="str">
        <f>"9789280160895"</f>
        <v>9789280160895</v>
      </c>
      <c r="D9534" t="str">
        <f>"9781281090751"</f>
        <v>9781281090751</v>
      </c>
      <c r="E9534" t="s">
        <v>10097</v>
      </c>
      <c r="F9534" t="s">
        <v>10097</v>
      </c>
      <c r="G9534" s="1">
        <v>35796</v>
      </c>
      <c r="H9534" s="1">
        <v>43025</v>
      </c>
      <c r="I9534" t="s">
        <v>12</v>
      </c>
      <c r="J9534" t="s">
        <v>20304</v>
      </c>
    </row>
    <row r="9535" spans="1:10" x14ac:dyDescent="0.25">
      <c r="A9535">
        <v>5054391</v>
      </c>
      <c r="B9535" t="s">
        <v>10099</v>
      </c>
      <c r="C9535" t="str">
        <f>"9789280114812"</f>
        <v>9789280114812</v>
      </c>
      <c r="D9535" t="str">
        <f>"9781280965951"</f>
        <v>9781280965951</v>
      </c>
      <c r="E9535" t="s">
        <v>10097</v>
      </c>
      <c r="F9535" t="s">
        <v>10097</v>
      </c>
      <c r="G9535" s="1">
        <v>39492</v>
      </c>
      <c r="H9535" s="1">
        <v>43025</v>
      </c>
      <c r="I9535" t="s">
        <v>12</v>
      </c>
      <c r="J9535" t="s">
        <v>20305</v>
      </c>
    </row>
    <row r="9536" spans="1:10" x14ac:dyDescent="0.25">
      <c r="A9536">
        <v>5054398</v>
      </c>
      <c r="B9536" t="s">
        <v>10100</v>
      </c>
      <c r="C9536" t="str">
        <f>"9789280141955"</f>
        <v>9789280141955</v>
      </c>
      <c r="D9536" t="str">
        <f>"9781280805370"</f>
        <v>9781280805370</v>
      </c>
      <c r="E9536" t="s">
        <v>10097</v>
      </c>
      <c r="F9536" t="s">
        <v>10097</v>
      </c>
      <c r="G9536" s="1">
        <v>39919</v>
      </c>
      <c r="H9536" s="1">
        <v>43025</v>
      </c>
      <c r="I9536" t="s">
        <v>12</v>
      </c>
      <c r="J9536" t="s">
        <v>20306</v>
      </c>
    </row>
    <row r="9537" spans="1:10" x14ac:dyDescent="0.25">
      <c r="A9537">
        <v>5054402</v>
      </c>
      <c r="B9537" t="s">
        <v>10101</v>
      </c>
      <c r="C9537" t="str">
        <f>"9789280123852"</f>
        <v>9789280123852</v>
      </c>
      <c r="D9537" t="str">
        <f>"9781281268549"</f>
        <v>9781281268549</v>
      </c>
      <c r="E9537" t="s">
        <v>10097</v>
      </c>
      <c r="F9537" t="s">
        <v>10097</v>
      </c>
      <c r="G9537" s="1">
        <v>39448</v>
      </c>
      <c r="H9537" s="1">
        <v>43025</v>
      </c>
      <c r="I9537" t="s">
        <v>12</v>
      </c>
      <c r="J9537" t="s">
        <v>20307</v>
      </c>
    </row>
    <row r="9538" spans="1:10" x14ac:dyDescent="0.25">
      <c r="A9538">
        <v>5054404</v>
      </c>
      <c r="B9538" t="s">
        <v>10102</v>
      </c>
      <c r="C9538" t="str">
        <f>"9789280151114"</f>
        <v>9789280151114</v>
      </c>
      <c r="D9538" t="str">
        <f>"9781280805905"</f>
        <v>9781280805905</v>
      </c>
      <c r="E9538" t="s">
        <v>10097</v>
      </c>
      <c r="F9538" t="s">
        <v>10097</v>
      </c>
      <c r="G9538" s="1">
        <v>37987</v>
      </c>
      <c r="H9538" s="1">
        <v>43025</v>
      </c>
      <c r="I9538" t="s">
        <v>12</v>
      </c>
      <c r="J9538" t="s">
        <v>20308</v>
      </c>
    </row>
    <row r="9539" spans="1:10" x14ac:dyDescent="0.25">
      <c r="A9539">
        <v>5054408</v>
      </c>
      <c r="B9539" t="s">
        <v>10103</v>
      </c>
      <c r="C9539" t="str">
        <f>"9780822576310"</f>
        <v>9780822576310</v>
      </c>
      <c r="D9539" t="str">
        <f>"9780761339717"</f>
        <v>9780761339717</v>
      </c>
      <c r="E9539" t="s">
        <v>10104</v>
      </c>
      <c r="F9539" t="s">
        <v>10104</v>
      </c>
      <c r="G9539" s="1">
        <v>39783</v>
      </c>
      <c r="H9539" s="1">
        <v>43027</v>
      </c>
      <c r="I9539" t="s">
        <v>12</v>
      </c>
      <c r="J9539" t="s">
        <v>20309</v>
      </c>
    </row>
    <row r="9540" spans="1:10" x14ac:dyDescent="0.25">
      <c r="A9540">
        <v>5054409</v>
      </c>
      <c r="B9540" t="s">
        <v>10105</v>
      </c>
      <c r="C9540" t="str">
        <f>"9780822567721"</f>
        <v>9780822567721</v>
      </c>
      <c r="D9540" t="str">
        <f>"9780761339731"</f>
        <v>9780761339731</v>
      </c>
      <c r="E9540" t="s">
        <v>10104</v>
      </c>
      <c r="F9540" t="s">
        <v>10104</v>
      </c>
      <c r="G9540" s="1">
        <v>39448</v>
      </c>
      <c r="H9540" s="1">
        <v>43027</v>
      </c>
      <c r="I9540" t="s">
        <v>12</v>
      </c>
      <c r="J9540" t="s">
        <v>20310</v>
      </c>
    </row>
    <row r="9541" spans="1:10" x14ac:dyDescent="0.25">
      <c r="A9541">
        <v>5054411</v>
      </c>
      <c r="B9541" t="s">
        <v>10106</v>
      </c>
      <c r="C9541" t="str">
        <f>"9780822567745"</f>
        <v>9780822567745</v>
      </c>
      <c r="D9541" t="str">
        <f>"9780761339762"</f>
        <v>9780761339762</v>
      </c>
      <c r="E9541" t="s">
        <v>10104</v>
      </c>
      <c r="F9541" t="s">
        <v>10104</v>
      </c>
      <c r="G9541" s="1">
        <v>39783</v>
      </c>
      <c r="H9541" s="1">
        <v>43024</v>
      </c>
      <c r="I9541" t="s">
        <v>12</v>
      </c>
      <c r="J9541" t="s">
        <v>20311</v>
      </c>
    </row>
    <row r="9542" spans="1:10" x14ac:dyDescent="0.25">
      <c r="A9542">
        <v>5054415</v>
      </c>
      <c r="B9542" t="s">
        <v>10107</v>
      </c>
      <c r="C9542" t="str">
        <f>"9780822572718"</f>
        <v>9780822572718</v>
      </c>
      <c r="D9542" t="str">
        <f>"9780761339823"</f>
        <v>9780761339823</v>
      </c>
      <c r="E9542" t="s">
        <v>10104</v>
      </c>
      <c r="F9542" t="s">
        <v>10104</v>
      </c>
      <c r="G9542" s="1">
        <v>39783</v>
      </c>
      <c r="H9542" s="1">
        <v>43024</v>
      </c>
      <c r="I9542" t="s">
        <v>12</v>
      </c>
      <c r="J9542" t="s">
        <v>20312</v>
      </c>
    </row>
    <row r="9543" spans="1:10" x14ac:dyDescent="0.25">
      <c r="A9543">
        <v>5054416</v>
      </c>
      <c r="B9543" t="s">
        <v>10108</v>
      </c>
      <c r="C9543" t="str">
        <f>"9780822578499"</f>
        <v>9780822578499</v>
      </c>
      <c r="D9543" t="str">
        <f>"9780761339830"</f>
        <v>9780761339830</v>
      </c>
      <c r="E9543" t="s">
        <v>10104</v>
      </c>
      <c r="F9543" t="s">
        <v>10104</v>
      </c>
      <c r="G9543" s="1">
        <v>39783</v>
      </c>
      <c r="H9543" s="1">
        <v>43024</v>
      </c>
      <c r="I9543" t="s">
        <v>12</v>
      </c>
      <c r="J9543" t="s">
        <v>20313</v>
      </c>
    </row>
    <row r="9544" spans="1:10" x14ac:dyDescent="0.25">
      <c r="A9544">
        <v>5054417</v>
      </c>
      <c r="B9544" t="s">
        <v>10109</v>
      </c>
      <c r="C9544" t="str">
        <f>"9780822576440"</f>
        <v>9780822576440</v>
      </c>
      <c r="D9544" t="str">
        <f>"9780761339854"</f>
        <v>9780761339854</v>
      </c>
      <c r="E9544" t="s">
        <v>10104</v>
      </c>
      <c r="F9544" t="s">
        <v>10104</v>
      </c>
      <c r="G9544" s="1">
        <v>39783</v>
      </c>
      <c r="H9544" s="1">
        <v>43024</v>
      </c>
      <c r="I9544" t="s">
        <v>12</v>
      </c>
      <c r="J9544" t="s">
        <v>20314</v>
      </c>
    </row>
    <row r="9545" spans="1:10" x14ac:dyDescent="0.25">
      <c r="A9545">
        <v>5054418</v>
      </c>
      <c r="B9545" t="s">
        <v>10110</v>
      </c>
      <c r="C9545" t="str">
        <f>"9780822585978"</f>
        <v>9780822585978</v>
      </c>
      <c r="D9545" t="str">
        <f>"9780761339861"</f>
        <v>9780761339861</v>
      </c>
      <c r="E9545" t="s">
        <v>10104</v>
      </c>
      <c r="F9545" t="s">
        <v>10111</v>
      </c>
      <c r="G9545" s="1">
        <v>39783</v>
      </c>
      <c r="H9545" s="1">
        <v>43027</v>
      </c>
      <c r="I9545" t="s">
        <v>12</v>
      </c>
      <c r="J9545" t="s">
        <v>20315</v>
      </c>
    </row>
    <row r="9546" spans="1:10" x14ac:dyDescent="0.25">
      <c r="A9546">
        <v>5054419</v>
      </c>
      <c r="B9546" t="s">
        <v>10112</v>
      </c>
      <c r="C9546" t="str">
        <f>"9780822585992"</f>
        <v>9780822585992</v>
      </c>
      <c r="D9546" t="str">
        <f>"9780761339885"</f>
        <v>9780761339885</v>
      </c>
      <c r="E9546" t="s">
        <v>10104</v>
      </c>
      <c r="F9546" t="s">
        <v>10111</v>
      </c>
      <c r="G9546" s="1">
        <v>39783</v>
      </c>
      <c r="H9546" s="1">
        <v>43024</v>
      </c>
      <c r="I9546" t="s">
        <v>12</v>
      </c>
      <c r="J9546" t="s">
        <v>20316</v>
      </c>
    </row>
    <row r="9547" spans="1:10" x14ac:dyDescent="0.25">
      <c r="A9547">
        <v>5054423</v>
      </c>
      <c r="B9547" t="s">
        <v>10113</v>
      </c>
      <c r="C9547" t="str">
        <f>""</f>
        <v/>
      </c>
      <c r="D9547" t="str">
        <f>"9781281147509"</f>
        <v>9781281147509</v>
      </c>
      <c r="E9547" t="s">
        <v>10104</v>
      </c>
      <c r="F9547" t="s">
        <v>10104</v>
      </c>
      <c r="G9547" s="1">
        <v>39448</v>
      </c>
      <c r="H9547" s="1">
        <v>43025</v>
      </c>
      <c r="I9547" t="s">
        <v>12</v>
      </c>
      <c r="J9547" t="s">
        <v>20317</v>
      </c>
    </row>
    <row r="9548" spans="1:10" x14ac:dyDescent="0.25">
      <c r="A9548">
        <v>5054426</v>
      </c>
      <c r="B9548" t="s">
        <v>10114</v>
      </c>
      <c r="C9548" t="str">
        <f>""</f>
        <v/>
      </c>
      <c r="D9548" t="str">
        <f>"9781281147530"</f>
        <v>9781281147530</v>
      </c>
      <c r="E9548" t="s">
        <v>10104</v>
      </c>
      <c r="F9548" t="s">
        <v>10104</v>
      </c>
      <c r="G9548" s="1">
        <v>39448</v>
      </c>
      <c r="H9548" s="1">
        <v>43025</v>
      </c>
      <c r="I9548" t="s">
        <v>12</v>
      </c>
      <c r="J9548" t="s">
        <v>20318</v>
      </c>
    </row>
    <row r="9549" spans="1:10" x14ac:dyDescent="0.25">
      <c r="A9549">
        <v>5054429</v>
      </c>
      <c r="B9549" t="s">
        <v>10115</v>
      </c>
      <c r="C9549" t="str">
        <f>"9780822571681"</f>
        <v>9780822571681</v>
      </c>
      <c r="D9549" t="str">
        <f>"9780761340003"</f>
        <v>9780761340003</v>
      </c>
      <c r="E9549" t="s">
        <v>10104</v>
      </c>
      <c r="F9549" t="s">
        <v>10111</v>
      </c>
      <c r="G9549" s="1">
        <v>39448</v>
      </c>
      <c r="H9549" s="1">
        <v>43024</v>
      </c>
      <c r="I9549" t="s">
        <v>12</v>
      </c>
      <c r="J9549" t="s">
        <v>20319</v>
      </c>
    </row>
    <row r="9550" spans="1:10" x14ac:dyDescent="0.25">
      <c r="A9550">
        <v>5054430</v>
      </c>
      <c r="B9550" t="s">
        <v>10116</v>
      </c>
      <c r="C9550" t="str">
        <f>"9780822571698"</f>
        <v>9780822571698</v>
      </c>
      <c r="D9550" t="str">
        <f>"9780761340010"</f>
        <v>9780761340010</v>
      </c>
      <c r="E9550" t="s">
        <v>10104</v>
      </c>
      <c r="F9550" t="s">
        <v>10104</v>
      </c>
      <c r="G9550" s="1">
        <v>39783</v>
      </c>
      <c r="H9550" s="1">
        <v>43024</v>
      </c>
      <c r="I9550" t="s">
        <v>12</v>
      </c>
      <c r="J9550" t="s">
        <v>20320</v>
      </c>
    </row>
    <row r="9551" spans="1:10" x14ac:dyDescent="0.25">
      <c r="A9551">
        <v>5054431</v>
      </c>
      <c r="B9551" t="s">
        <v>10117</v>
      </c>
      <c r="C9551" t="str">
        <f>"9780822571704"</f>
        <v>9780822571704</v>
      </c>
      <c r="D9551" t="str">
        <f>"9780761340027"</f>
        <v>9780761340027</v>
      </c>
      <c r="E9551" t="s">
        <v>10104</v>
      </c>
      <c r="F9551" t="s">
        <v>10104</v>
      </c>
      <c r="G9551" s="1">
        <v>39783</v>
      </c>
      <c r="H9551" s="1">
        <v>43024</v>
      </c>
      <c r="I9551" t="s">
        <v>12</v>
      </c>
      <c r="J9551" t="s">
        <v>20321</v>
      </c>
    </row>
    <row r="9552" spans="1:10" x14ac:dyDescent="0.25">
      <c r="A9552">
        <v>5054432</v>
      </c>
      <c r="B9552" t="s">
        <v>10118</v>
      </c>
      <c r="C9552" t="str">
        <f>"9780822571711"</f>
        <v>9780822571711</v>
      </c>
      <c r="D9552" t="str">
        <f>"9780761340034"</f>
        <v>9780761340034</v>
      </c>
      <c r="E9552" t="s">
        <v>10104</v>
      </c>
      <c r="F9552" t="s">
        <v>10104</v>
      </c>
      <c r="G9552" s="1">
        <v>39448</v>
      </c>
      <c r="H9552" s="1">
        <v>43027</v>
      </c>
      <c r="I9552" t="s">
        <v>12</v>
      </c>
      <c r="J9552" t="s">
        <v>20322</v>
      </c>
    </row>
    <row r="9553" spans="1:10" x14ac:dyDescent="0.25">
      <c r="A9553">
        <v>5054433</v>
      </c>
      <c r="B9553" t="s">
        <v>10119</v>
      </c>
      <c r="C9553" t="str">
        <f>"9780822571728"</f>
        <v>9780822571728</v>
      </c>
      <c r="D9553" t="str">
        <f>"9780761340041"</f>
        <v>9780761340041</v>
      </c>
      <c r="E9553" t="s">
        <v>10104</v>
      </c>
      <c r="F9553" t="s">
        <v>10104</v>
      </c>
      <c r="G9553" s="1">
        <v>39448</v>
      </c>
      <c r="H9553" s="1">
        <v>43024</v>
      </c>
      <c r="I9553" t="s">
        <v>12</v>
      </c>
      <c r="J9553" t="s">
        <v>20323</v>
      </c>
    </row>
    <row r="9554" spans="1:10" x14ac:dyDescent="0.25">
      <c r="A9554">
        <v>5054435</v>
      </c>
      <c r="B9554" t="s">
        <v>10120</v>
      </c>
      <c r="C9554" t="str">
        <f>"9780822576570"</f>
        <v>9780822576570</v>
      </c>
      <c r="D9554" t="str">
        <f>"9780761340195"</f>
        <v>9780761340195</v>
      </c>
      <c r="E9554" t="s">
        <v>10104</v>
      </c>
      <c r="F9554" t="s">
        <v>10121</v>
      </c>
      <c r="G9554" s="1">
        <v>39783</v>
      </c>
      <c r="H9554" s="1">
        <v>43024</v>
      </c>
      <c r="I9554" t="s">
        <v>12</v>
      </c>
      <c r="J9554" t="s">
        <v>20324</v>
      </c>
    </row>
    <row r="9555" spans="1:10" x14ac:dyDescent="0.25">
      <c r="A9555">
        <v>5054436</v>
      </c>
      <c r="B9555" t="s">
        <v>10122</v>
      </c>
      <c r="C9555" t="str">
        <f>"9780822563693"</f>
        <v>9780822563693</v>
      </c>
      <c r="D9555" t="str">
        <f>"9780761340201"</f>
        <v>9780761340201</v>
      </c>
      <c r="E9555" t="s">
        <v>10104</v>
      </c>
      <c r="F9555" t="s">
        <v>10104</v>
      </c>
      <c r="G9555" s="1">
        <v>39783</v>
      </c>
      <c r="H9555" s="1">
        <v>43024</v>
      </c>
      <c r="I9555" t="s">
        <v>12</v>
      </c>
      <c r="J9555" t="s">
        <v>20325</v>
      </c>
    </row>
    <row r="9556" spans="1:10" x14ac:dyDescent="0.25">
      <c r="A9556">
        <v>5054437</v>
      </c>
      <c r="B9556" t="s">
        <v>10123</v>
      </c>
      <c r="C9556" t="str">
        <f>"9780822572794"</f>
        <v>9780822572794</v>
      </c>
      <c r="D9556" t="str">
        <f>"9780761340218"</f>
        <v>9780761340218</v>
      </c>
      <c r="E9556" t="s">
        <v>10104</v>
      </c>
      <c r="F9556" t="s">
        <v>10104</v>
      </c>
      <c r="G9556" s="1">
        <v>39783</v>
      </c>
      <c r="H9556" s="1">
        <v>43024</v>
      </c>
      <c r="I9556" t="s">
        <v>12</v>
      </c>
      <c r="J9556" t="s">
        <v>20326</v>
      </c>
    </row>
    <row r="9557" spans="1:10" x14ac:dyDescent="0.25">
      <c r="A9557">
        <v>5054438</v>
      </c>
      <c r="B9557" t="s">
        <v>10124</v>
      </c>
      <c r="C9557" t="str">
        <f>"9780822572800"</f>
        <v>9780822572800</v>
      </c>
      <c r="D9557" t="str">
        <f>"9780761340225"</f>
        <v>9780761340225</v>
      </c>
      <c r="E9557" t="s">
        <v>10104</v>
      </c>
      <c r="F9557" t="s">
        <v>10104</v>
      </c>
      <c r="G9557" s="1">
        <v>39783</v>
      </c>
      <c r="H9557" s="1">
        <v>43024</v>
      </c>
      <c r="I9557" t="s">
        <v>12</v>
      </c>
      <c r="J9557" t="s">
        <v>20327</v>
      </c>
    </row>
    <row r="9558" spans="1:10" x14ac:dyDescent="0.25">
      <c r="A9558">
        <v>5054439</v>
      </c>
      <c r="B9558" t="s">
        <v>10125</v>
      </c>
      <c r="C9558" t="str">
        <f>"9780822575207"</f>
        <v>9780822575207</v>
      </c>
      <c r="D9558" t="str">
        <f>"9780761340249"</f>
        <v>9780761340249</v>
      </c>
      <c r="E9558" t="s">
        <v>10104</v>
      </c>
      <c r="F9558" t="s">
        <v>10104</v>
      </c>
      <c r="G9558" s="1">
        <v>39448</v>
      </c>
      <c r="H9558" s="1">
        <v>43027</v>
      </c>
      <c r="I9558" t="s">
        <v>12</v>
      </c>
      <c r="J9558" t="s">
        <v>20328</v>
      </c>
    </row>
    <row r="9559" spans="1:10" x14ac:dyDescent="0.25">
      <c r="A9559">
        <v>5054440</v>
      </c>
      <c r="B9559" t="s">
        <v>10126</v>
      </c>
      <c r="C9559" t="str">
        <f>"9780822575191"</f>
        <v>9780822575191</v>
      </c>
      <c r="D9559" t="str">
        <f>"9780761340256"</f>
        <v>9780761340256</v>
      </c>
      <c r="E9559" t="s">
        <v>10104</v>
      </c>
      <c r="F9559" t="s">
        <v>10104</v>
      </c>
      <c r="G9559" s="1">
        <v>39448</v>
      </c>
      <c r="H9559" s="1">
        <v>43024</v>
      </c>
      <c r="I9559" t="s">
        <v>12</v>
      </c>
      <c r="J9559" t="s">
        <v>20329</v>
      </c>
    </row>
    <row r="9560" spans="1:10" x14ac:dyDescent="0.25">
      <c r="A9560">
        <v>5054443</v>
      </c>
      <c r="B9560" t="s">
        <v>10127</v>
      </c>
      <c r="C9560" t="str">
        <f>"9780822585855"</f>
        <v>9780822585855</v>
      </c>
      <c r="D9560" t="str">
        <f>"9780761340294"</f>
        <v>9780761340294</v>
      </c>
      <c r="E9560" t="s">
        <v>10104</v>
      </c>
      <c r="F9560" t="s">
        <v>10104</v>
      </c>
      <c r="G9560" s="1">
        <v>39783</v>
      </c>
      <c r="H9560" s="1">
        <v>43027</v>
      </c>
      <c r="I9560" t="s">
        <v>12</v>
      </c>
      <c r="J9560" t="s">
        <v>20330</v>
      </c>
    </row>
    <row r="9561" spans="1:10" x14ac:dyDescent="0.25">
      <c r="A9561">
        <v>5054444</v>
      </c>
      <c r="B9561" t="s">
        <v>10128</v>
      </c>
      <c r="C9561" t="str">
        <f>"9780822585879"</f>
        <v>9780822585879</v>
      </c>
      <c r="D9561" t="str">
        <f>"9780761340300"</f>
        <v>9780761340300</v>
      </c>
      <c r="E9561" t="s">
        <v>10104</v>
      </c>
      <c r="F9561" t="s">
        <v>10104</v>
      </c>
      <c r="G9561" s="1">
        <v>39783</v>
      </c>
      <c r="H9561" s="1">
        <v>43027</v>
      </c>
      <c r="I9561" t="s">
        <v>12</v>
      </c>
      <c r="J9561" t="s">
        <v>20331</v>
      </c>
    </row>
    <row r="9562" spans="1:10" x14ac:dyDescent="0.25">
      <c r="A9562">
        <v>5054445</v>
      </c>
      <c r="B9562" t="s">
        <v>10129</v>
      </c>
      <c r="C9562" t="str">
        <f>"9780822585886"</f>
        <v>9780822585886</v>
      </c>
      <c r="D9562" t="str">
        <f>"9780761340317"</f>
        <v>9780761340317</v>
      </c>
      <c r="E9562" t="s">
        <v>10104</v>
      </c>
      <c r="F9562" t="s">
        <v>10104</v>
      </c>
      <c r="G9562" s="1">
        <v>39783</v>
      </c>
      <c r="H9562" s="1">
        <v>43024</v>
      </c>
      <c r="I9562" t="s">
        <v>12</v>
      </c>
      <c r="J9562" t="s">
        <v>20332</v>
      </c>
    </row>
    <row r="9563" spans="1:10" x14ac:dyDescent="0.25">
      <c r="A9563">
        <v>5054446</v>
      </c>
      <c r="B9563" t="s">
        <v>10130</v>
      </c>
      <c r="C9563" t="str">
        <f>"9780822586197"</f>
        <v>9780822586197</v>
      </c>
      <c r="D9563" t="str">
        <f>"9780761340331"</f>
        <v>9780761340331</v>
      </c>
      <c r="E9563" t="s">
        <v>10104</v>
      </c>
      <c r="F9563" t="s">
        <v>10111</v>
      </c>
      <c r="G9563" s="1">
        <v>39783</v>
      </c>
      <c r="H9563" s="1">
        <v>43024</v>
      </c>
      <c r="I9563" t="s">
        <v>12</v>
      </c>
      <c r="J9563" t="s">
        <v>20333</v>
      </c>
    </row>
    <row r="9564" spans="1:10" x14ac:dyDescent="0.25">
      <c r="A9564">
        <v>5054448</v>
      </c>
      <c r="B9564" t="s">
        <v>10131</v>
      </c>
      <c r="C9564" t="str">
        <f>"9780822579076"</f>
        <v>9780822579076</v>
      </c>
      <c r="D9564" t="str">
        <f>"9780761340355"</f>
        <v>9780761340355</v>
      </c>
      <c r="E9564" t="s">
        <v>10104</v>
      </c>
      <c r="F9564" t="s">
        <v>10104</v>
      </c>
      <c r="G9564" s="1">
        <v>39448</v>
      </c>
      <c r="H9564" s="1">
        <v>43027</v>
      </c>
      <c r="I9564" t="s">
        <v>12</v>
      </c>
      <c r="J9564" t="s">
        <v>20334</v>
      </c>
    </row>
    <row r="9565" spans="1:10" x14ac:dyDescent="0.25">
      <c r="A9565">
        <v>5054453</v>
      </c>
      <c r="B9565" t="s">
        <v>10132</v>
      </c>
      <c r="C9565" t="str">
        <f>"9780822572244"</f>
        <v>9780822572244</v>
      </c>
      <c r="D9565" t="str">
        <f>"9780761340409"</f>
        <v>9780761340409</v>
      </c>
      <c r="E9565" t="s">
        <v>10104</v>
      </c>
      <c r="F9565" t="s">
        <v>10104</v>
      </c>
      <c r="G9565" s="1">
        <v>39783</v>
      </c>
      <c r="H9565" s="1">
        <v>43027</v>
      </c>
      <c r="I9565" t="s">
        <v>12</v>
      </c>
      <c r="J9565" t="s">
        <v>20335</v>
      </c>
    </row>
    <row r="9566" spans="1:10" x14ac:dyDescent="0.25">
      <c r="A9566">
        <v>5054456</v>
      </c>
      <c r="B9566" t="s">
        <v>10133</v>
      </c>
      <c r="C9566" t="str">
        <f>"9780822561989"</f>
        <v>9780822561989</v>
      </c>
      <c r="D9566" t="str">
        <f>"9780761340447"</f>
        <v>9780761340447</v>
      </c>
      <c r="E9566" t="s">
        <v>10104</v>
      </c>
      <c r="F9566" t="s">
        <v>10104</v>
      </c>
      <c r="G9566" s="1">
        <v>39783</v>
      </c>
      <c r="H9566" s="1">
        <v>43024</v>
      </c>
      <c r="I9566" t="s">
        <v>12</v>
      </c>
      <c r="J9566" t="s">
        <v>20336</v>
      </c>
    </row>
    <row r="9567" spans="1:10" x14ac:dyDescent="0.25">
      <c r="A9567">
        <v>5054457</v>
      </c>
      <c r="B9567" t="s">
        <v>10134</v>
      </c>
      <c r="C9567" t="str">
        <f>"9780761394723"</f>
        <v>9780761394723</v>
      </c>
      <c r="D9567" t="str">
        <f>"9780761340454"</f>
        <v>9780761340454</v>
      </c>
      <c r="E9567" t="s">
        <v>10104</v>
      </c>
      <c r="F9567" t="s">
        <v>10104</v>
      </c>
      <c r="G9567" s="1">
        <v>39783</v>
      </c>
      <c r="H9567" s="1">
        <v>43024</v>
      </c>
      <c r="I9567" t="s">
        <v>12</v>
      </c>
      <c r="J9567" t="s">
        <v>20337</v>
      </c>
    </row>
    <row r="9568" spans="1:10" x14ac:dyDescent="0.25">
      <c r="A9568">
        <v>5054459</v>
      </c>
      <c r="B9568" t="s">
        <v>10135</v>
      </c>
      <c r="C9568" t="str">
        <f>"9780822575047"</f>
        <v>9780822575047</v>
      </c>
      <c r="D9568" t="str">
        <f>"9780761340478"</f>
        <v>9780761340478</v>
      </c>
      <c r="E9568" t="s">
        <v>10104</v>
      </c>
      <c r="F9568" t="s">
        <v>10104</v>
      </c>
      <c r="G9568" s="1">
        <v>39783</v>
      </c>
      <c r="H9568" s="1">
        <v>43024</v>
      </c>
      <c r="I9568" t="s">
        <v>12</v>
      </c>
      <c r="J9568" t="s">
        <v>20338</v>
      </c>
    </row>
    <row r="9569" spans="1:10" x14ac:dyDescent="0.25">
      <c r="A9569">
        <v>5054461</v>
      </c>
      <c r="B9569" t="s">
        <v>10136</v>
      </c>
      <c r="C9569" t="str">
        <f>"9780822575061"</f>
        <v>9780822575061</v>
      </c>
      <c r="D9569" t="str">
        <f>"9780761340492"</f>
        <v>9780761340492</v>
      </c>
      <c r="E9569" t="s">
        <v>10104</v>
      </c>
      <c r="F9569" t="s">
        <v>10104</v>
      </c>
      <c r="G9569" s="1">
        <v>39783</v>
      </c>
      <c r="H9569" s="1">
        <v>43027</v>
      </c>
      <c r="I9569" t="s">
        <v>12</v>
      </c>
      <c r="J9569" t="s">
        <v>20339</v>
      </c>
    </row>
    <row r="9570" spans="1:10" x14ac:dyDescent="0.25">
      <c r="A9570">
        <v>5054462</v>
      </c>
      <c r="B9570" t="s">
        <v>10137</v>
      </c>
      <c r="C9570" t="str">
        <f>"9780822578482"</f>
        <v>9780822578482</v>
      </c>
      <c r="D9570" t="str">
        <f>"9780761340508"</f>
        <v>9780761340508</v>
      </c>
      <c r="E9570" t="s">
        <v>10104</v>
      </c>
      <c r="F9570" t="s">
        <v>10104</v>
      </c>
      <c r="G9570" s="1">
        <v>39783</v>
      </c>
      <c r="H9570" s="1">
        <v>43024</v>
      </c>
      <c r="I9570" t="s">
        <v>12</v>
      </c>
      <c r="J9570" t="s">
        <v>20340</v>
      </c>
    </row>
    <row r="9571" spans="1:10" x14ac:dyDescent="0.25">
      <c r="A9571">
        <v>5054483</v>
      </c>
      <c r="B9571" t="s">
        <v>10138</v>
      </c>
      <c r="C9571" t="str">
        <f>"9780822565017"</f>
        <v>9780822565017</v>
      </c>
      <c r="D9571" t="str">
        <f>"9780822572121"</f>
        <v>9780822572121</v>
      </c>
      <c r="E9571" t="s">
        <v>10104</v>
      </c>
      <c r="F9571" t="s">
        <v>10104</v>
      </c>
      <c r="G9571" s="1">
        <v>38930</v>
      </c>
      <c r="H9571" s="1">
        <v>43027</v>
      </c>
      <c r="I9571" t="s">
        <v>12</v>
      </c>
      <c r="J9571" t="s">
        <v>20341</v>
      </c>
    </row>
    <row r="9572" spans="1:10" x14ac:dyDescent="0.25">
      <c r="A9572">
        <v>5054485</v>
      </c>
      <c r="B9572" t="s">
        <v>10139</v>
      </c>
      <c r="C9572" t="str">
        <f>""</f>
        <v/>
      </c>
      <c r="D9572" t="str">
        <f>"9781281281906"</f>
        <v>9781281281906</v>
      </c>
      <c r="E9572" t="s">
        <v>10104</v>
      </c>
      <c r="F9572" t="s">
        <v>10104</v>
      </c>
      <c r="G9572" s="1">
        <v>39083</v>
      </c>
      <c r="H9572" s="1">
        <v>43025</v>
      </c>
      <c r="I9572" t="s">
        <v>12</v>
      </c>
      <c r="J9572" t="s">
        <v>20342</v>
      </c>
    </row>
    <row r="9573" spans="1:10" x14ac:dyDescent="0.25">
      <c r="A9573">
        <v>5054486</v>
      </c>
      <c r="B9573" t="s">
        <v>10140</v>
      </c>
      <c r="C9573" t="str">
        <f>""</f>
        <v/>
      </c>
      <c r="D9573" t="str">
        <f>"9781281281913"</f>
        <v>9781281281913</v>
      </c>
      <c r="E9573" t="s">
        <v>10104</v>
      </c>
      <c r="F9573" t="s">
        <v>10104</v>
      </c>
      <c r="G9573" s="1">
        <v>39083</v>
      </c>
      <c r="H9573" s="1">
        <v>1</v>
      </c>
      <c r="I9573" t="s">
        <v>12</v>
      </c>
      <c r="J9573" t="s">
        <v>20343</v>
      </c>
    </row>
    <row r="9574" spans="1:10" x14ac:dyDescent="0.25">
      <c r="A9574">
        <v>5054488</v>
      </c>
      <c r="B9574" t="s">
        <v>10141</v>
      </c>
      <c r="C9574" t="str">
        <f>"9780822559870"</f>
        <v>9780822559870</v>
      </c>
      <c r="D9574" t="str">
        <f>"9780822587767"</f>
        <v>9780822587767</v>
      </c>
      <c r="E9574" t="s">
        <v>10104</v>
      </c>
      <c r="F9574" t="s">
        <v>10104</v>
      </c>
      <c r="G9574" s="1">
        <v>39417</v>
      </c>
      <c r="H9574" s="1">
        <v>43027</v>
      </c>
      <c r="I9574" t="s">
        <v>12</v>
      </c>
      <c r="J9574" t="s">
        <v>20344</v>
      </c>
    </row>
    <row r="9575" spans="1:10" x14ac:dyDescent="0.25">
      <c r="A9575">
        <v>5054491</v>
      </c>
      <c r="B9575" t="s">
        <v>10142</v>
      </c>
      <c r="C9575" t="str">
        <f>"9780822564041"</f>
        <v>9780822564041</v>
      </c>
      <c r="D9575" t="str">
        <f>"9780822587842"</f>
        <v>9780822587842</v>
      </c>
      <c r="E9575" t="s">
        <v>10104</v>
      </c>
      <c r="F9575" t="s">
        <v>10111</v>
      </c>
      <c r="G9575" s="1">
        <v>39417</v>
      </c>
      <c r="H9575" s="1">
        <v>43024</v>
      </c>
      <c r="I9575" t="s">
        <v>12</v>
      </c>
      <c r="J9575" t="s">
        <v>20345</v>
      </c>
    </row>
    <row r="9576" spans="1:10" x14ac:dyDescent="0.25">
      <c r="A9576">
        <v>5054499</v>
      </c>
      <c r="B9576" t="s">
        <v>10143</v>
      </c>
      <c r="C9576" t="str">
        <f>"9780822563952"</f>
        <v>9780822563952</v>
      </c>
      <c r="D9576" t="str">
        <f>"9780822589501"</f>
        <v>9780822589501</v>
      </c>
      <c r="E9576" t="s">
        <v>10104</v>
      </c>
      <c r="F9576" t="s">
        <v>10104</v>
      </c>
      <c r="G9576" s="1">
        <v>39417</v>
      </c>
      <c r="H9576" s="1">
        <v>43024</v>
      </c>
      <c r="I9576" t="s">
        <v>12</v>
      </c>
      <c r="J9576" t="s">
        <v>20346</v>
      </c>
    </row>
    <row r="9577" spans="1:10" x14ac:dyDescent="0.25">
      <c r="A9577">
        <v>5054506</v>
      </c>
      <c r="B9577" t="s">
        <v>10144</v>
      </c>
      <c r="C9577" t="str">
        <f>"9780822562597"</f>
        <v>9780822562597</v>
      </c>
      <c r="D9577" t="str">
        <f>"9780822589587"</f>
        <v>9780822589587</v>
      </c>
      <c r="E9577" t="s">
        <v>10104</v>
      </c>
      <c r="F9577" t="s">
        <v>10104</v>
      </c>
      <c r="G9577" s="1">
        <v>39083</v>
      </c>
      <c r="H9577" s="1">
        <v>43024</v>
      </c>
      <c r="I9577" t="s">
        <v>12</v>
      </c>
      <c r="J9577" t="s">
        <v>20347</v>
      </c>
    </row>
    <row r="9578" spans="1:10" x14ac:dyDescent="0.25">
      <c r="A9578">
        <v>5054529</v>
      </c>
      <c r="B9578" t="s">
        <v>10145</v>
      </c>
      <c r="C9578" t="str">
        <f>"9781575059228"</f>
        <v>9781575059228</v>
      </c>
      <c r="D9578" t="str">
        <f>"9780822571957"</f>
        <v>9780822571957</v>
      </c>
      <c r="E9578" t="s">
        <v>10104</v>
      </c>
      <c r="F9578" t="s">
        <v>10104</v>
      </c>
      <c r="G9578" s="1">
        <v>39052</v>
      </c>
      <c r="H9578" s="1">
        <v>43027</v>
      </c>
      <c r="I9578" t="s">
        <v>12</v>
      </c>
      <c r="J9578" t="s">
        <v>20348</v>
      </c>
    </row>
    <row r="9579" spans="1:10" x14ac:dyDescent="0.25">
      <c r="A9579">
        <v>5054550</v>
      </c>
      <c r="B9579" t="s">
        <v>10146</v>
      </c>
      <c r="C9579" t="str">
        <f>""</f>
        <v/>
      </c>
      <c r="D9579" t="str">
        <f>"9781580136198"</f>
        <v>9781580136198</v>
      </c>
      <c r="E9579" t="s">
        <v>10104</v>
      </c>
      <c r="F9579" t="s">
        <v>10104</v>
      </c>
      <c r="G9579" s="1">
        <v>39448</v>
      </c>
      <c r="H9579" s="1">
        <v>43024</v>
      </c>
      <c r="I9579" t="s">
        <v>12</v>
      </c>
      <c r="J9579" t="s">
        <v>20349</v>
      </c>
    </row>
    <row r="9580" spans="1:10" x14ac:dyDescent="0.25">
      <c r="A9580">
        <v>5054552</v>
      </c>
      <c r="B9580" t="s">
        <v>10147</v>
      </c>
      <c r="C9580" t="str">
        <f>"9780822578178"</f>
        <v>9780822578178</v>
      </c>
      <c r="D9580" t="str">
        <f>"9781580136242"</f>
        <v>9781580136242</v>
      </c>
      <c r="E9580" t="s">
        <v>10104</v>
      </c>
      <c r="F9580" t="s">
        <v>10104</v>
      </c>
      <c r="G9580" s="1">
        <v>39448</v>
      </c>
      <c r="H9580" s="1">
        <v>43167</v>
      </c>
      <c r="I9580" t="s">
        <v>12</v>
      </c>
      <c r="J9580" t="s">
        <v>20350</v>
      </c>
    </row>
    <row r="9581" spans="1:10" x14ac:dyDescent="0.25">
      <c r="A9581">
        <v>5054553</v>
      </c>
      <c r="B9581" t="s">
        <v>10148</v>
      </c>
      <c r="C9581" t="str">
        <f>"9780822562641"</f>
        <v>9780822562641</v>
      </c>
      <c r="D9581" t="str">
        <f>"9781580136259"</f>
        <v>9781580136259</v>
      </c>
      <c r="E9581" t="s">
        <v>10104</v>
      </c>
      <c r="F9581" t="s">
        <v>10104</v>
      </c>
      <c r="G9581" s="1">
        <v>39387</v>
      </c>
      <c r="H9581" s="1">
        <v>43024</v>
      </c>
      <c r="I9581" t="s">
        <v>12</v>
      </c>
      <c r="J9581" t="s">
        <v>20351</v>
      </c>
    </row>
    <row r="9582" spans="1:10" x14ac:dyDescent="0.25">
      <c r="A9582">
        <v>5054554</v>
      </c>
      <c r="B9582" t="s">
        <v>10149</v>
      </c>
      <c r="C9582" t="str">
        <f>""</f>
        <v/>
      </c>
      <c r="D9582" t="str">
        <f>"9781580136280"</f>
        <v>9781580136280</v>
      </c>
      <c r="E9582" t="s">
        <v>10104</v>
      </c>
      <c r="F9582" t="s">
        <v>10104</v>
      </c>
      <c r="G9582" s="1">
        <v>39448</v>
      </c>
      <c r="H9582" s="1">
        <v>43024</v>
      </c>
      <c r="I9582" t="s">
        <v>12</v>
      </c>
      <c r="J9582" t="s">
        <v>20352</v>
      </c>
    </row>
    <row r="9583" spans="1:10" x14ac:dyDescent="0.25">
      <c r="A9583">
        <v>5054555</v>
      </c>
      <c r="B9583" t="s">
        <v>10150</v>
      </c>
      <c r="C9583" t="str">
        <f>""</f>
        <v/>
      </c>
      <c r="D9583" t="str">
        <f>"9781580136297"</f>
        <v>9781580136297</v>
      </c>
      <c r="E9583" t="s">
        <v>10104</v>
      </c>
      <c r="F9583" t="s">
        <v>10104</v>
      </c>
      <c r="G9583" s="1">
        <v>39448</v>
      </c>
      <c r="H9583" s="1">
        <v>43027</v>
      </c>
      <c r="I9583" t="s">
        <v>12</v>
      </c>
      <c r="J9583" t="s">
        <v>20353</v>
      </c>
    </row>
    <row r="9584" spans="1:10" x14ac:dyDescent="0.25">
      <c r="A9584">
        <v>5054556</v>
      </c>
      <c r="B9584" t="s">
        <v>10151</v>
      </c>
      <c r="C9584" t="str">
        <f>""</f>
        <v/>
      </c>
      <c r="D9584" t="str">
        <f>"9781580136303"</f>
        <v>9781580136303</v>
      </c>
      <c r="E9584" t="s">
        <v>10104</v>
      </c>
      <c r="F9584" t="s">
        <v>10104</v>
      </c>
      <c r="G9584" s="1">
        <v>39448</v>
      </c>
      <c r="H9584" s="1">
        <v>43027</v>
      </c>
      <c r="I9584" t="s">
        <v>12</v>
      </c>
      <c r="J9584" t="s">
        <v>20354</v>
      </c>
    </row>
    <row r="9585" spans="1:10" x14ac:dyDescent="0.25">
      <c r="A9585">
        <v>5054557</v>
      </c>
      <c r="B9585" t="s">
        <v>10152</v>
      </c>
      <c r="C9585" t="str">
        <f>""</f>
        <v/>
      </c>
      <c r="D9585" t="str">
        <f>"9781580136310"</f>
        <v>9781580136310</v>
      </c>
      <c r="E9585" t="s">
        <v>10104</v>
      </c>
      <c r="F9585" t="s">
        <v>10104</v>
      </c>
      <c r="G9585" s="1">
        <v>39448</v>
      </c>
      <c r="H9585" s="1">
        <v>43027</v>
      </c>
      <c r="I9585" t="s">
        <v>12</v>
      </c>
      <c r="J9585" t="s">
        <v>20355</v>
      </c>
    </row>
    <row r="9586" spans="1:10" x14ac:dyDescent="0.25">
      <c r="A9586">
        <v>5054559</v>
      </c>
      <c r="B9586" t="s">
        <v>10153</v>
      </c>
      <c r="C9586" t="str">
        <f>""</f>
        <v/>
      </c>
      <c r="D9586" t="str">
        <f>"9781580136334"</f>
        <v>9781580136334</v>
      </c>
      <c r="E9586" t="s">
        <v>10104</v>
      </c>
      <c r="F9586" t="s">
        <v>10104</v>
      </c>
      <c r="G9586" s="1">
        <v>39448</v>
      </c>
      <c r="H9586" s="1">
        <v>43024</v>
      </c>
      <c r="I9586" t="s">
        <v>12</v>
      </c>
      <c r="J9586" t="s">
        <v>20356</v>
      </c>
    </row>
    <row r="9587" spans="1:10" x14ac:dyDescent="0.25">
      <c r="A9587">
        <v>5054560</v>
      </c>
      <c r="B9587" t="s">
        <v>10154</v>
      </c>
      <c r="C9587" t="str">
        <f>"9780822570493"</f>
        <v>9780822570493</v>
      </c>
      <c r="D9587" t="str">
        <f>"9781580136365"</f>
        <v>9781580136365</v>
      </c>
      <c r="E9587" t="s">
        <v>10104</v>
      </c>
      <c r="F9587" t="s">
        <v>10104</v>
      </c>
      <c r="G9587" s="1">
        <v>39083</v>
      </c>
      <c r="H9587" s="1">
        <v>43153</v>
      </c>
      <c r="I9587" t="s">
        <v>12</v>
      </c>
      <c r="J9587" t="s">
        <v>20357</v>
      </c>
    </row>
    <row r="9588" spans="1:10" x14ac:dyDescent="0.25">
      <c r="A9588">
        <v>5054563</v>
      </c>
      <c r="B9588" t="s">
        <v>10155</v>
      </c>
      <c r="C9588" t="str">
        <f>"9780822567257"</f>
        <v>9780822567257</v>
      </c>
      <c r="D9588" t="str">
        <f>"9781580136471"</f>
        <v>9781580136471</v>
      </c>
      <c r="E9588" t="s">
        <v>10104</v>
      </c>
      <c r="F9588" t="s">
        <v>10104</v>
      </c>
      <c r="G9588" s="1">
        <v>39448</v>
      </c>
      <c r="H9588" s="1">
        <v>43027</v>
      </c>
      <c r="I9588" t="s">
        <v>12</v>
      </c>
      <c r="J9588" t="s">
        <v>20358</v>
      </c>
    </row>
    <row r="9589" spans="1:10" x14ac:dyDescent="0.25">
      <c r="A9589">
        <v>5054564</v>
      </c>
      <c r="B9589" t="s">
        <v>10156</v>
      </c>
      <c r="C9589" t="str">
        <f>""</f>
        <v/>
      </c>
      <c r="D9589" t="str">
        <f>"9781580136501"</f>
        <v>9781580136501</v>
      </c>
      <c r="E9589" t="s">
        <v>10104</v>
      </c>
      <c r="F9589" t="s">
        <v>10104</v>
      </c>
      <c r="G9589" s="1">
        <v>39448</v>
      </c>
      <c r="H9589" s="1">
        <v>43024</v>
      </c>
      <c r="I9589" t="s">
        <v>12</v>
      </c>
      <c r="J9589" t="s">
        <v>20359</v>
      </c>
    </row>
    <row r="9590" spans="1:10" x14ac:dyDescent="0.25">
      <c r="A9590">
        <v>5054565</v>
      </c>
      <c r="B9590" t="s">
        <v>10157</v>
      </c>
      <c r="C9590" t="str">
        <f>""</f>
        <v/>
      </c>
      <c r="D9590" t="str">
        <f>"9781580136518"</f>
        <v>9781580136518</v>
      </c>
      <c r="E9590" t="s">
        <v>10104</v>
      </c>
      <c r="F9590" t="s">
        <v>10104</v>
      </c>
      <c r="G9590" s="1">
        <v>39448</v>
      </c>
      <c r="H9590" s="1">
        <v>43024</v>
      </c>
      <c r="I9590" t="s">
        <v>12</v>
      </c>
      <c r="J9590" t="s">
        <v>20360</v>
      </c>
    </row>
    <row r="9591" spans="1:10" x14ac:dyDescent="0.25">
      <c r="A9591">
        <v>5054566</v>
      </c>
      <c r="B9591" t="s">
        <v>10158</v>
      </c>
      <c r="C9591" t="str">
        <f>""</f>
        <v/>
      </c>
      <c r="D9591" t="str">
        <f>"9781580136532"</f>
        <v>9781580136532</v>
      </c>
      <c r="E9591" t="s">
        <v>10104</v>
      </c>
      <c r="F9591" t="s">
        <v>10104</v>
      </c>
      <c r="G9591" s="1">
        <v>39448</v>
      </c>
      <c r="H9591" s="1">
        <v>43024</v>
      </c>
      <c r="I9591" t="s">
        <v>12</v>
      </c>
      <c r="J9591" t="s">
        <v>20361</v>
      </c>
    </row>
    <row r="9592" spans="1:10" x14ac:dyDescent="0.25">
      <c r="A9592">
        <v>5054567</v>
      </c>
      <c r="B9592" t="s">
        <v>10159</v>
      </c>
      <c r="C9592" t="str">
        <f>"9780822567417"</f>
        <v>9780822567417</v>
      </c>
      <c r="D9592" t="str">
        <f>"9781580136556"</f>
        <v>9781580136556</v>
      </c>
      <c r="E9592" t="s">
        <v>10104</v>
      </c>
      <c r="F9592" t="s">
        <v>10160</v>
      </c>
      <c r="G9592" s="1">
        <v>39295</v>
      </c>
      <c r="H9592" s="1">
        <v>43024</v>
      </c>
      <c r="I9592" t="s">
        <v>12</v>
      </c>
      <c r="J9592" t="s">
        <v>20362</v>
      </c>
    </row>
    <row r="9593" spans="1:10" x14ac:dyDescent="0.25">
      <c r="A9593">
        <v>5054569</v>
      </c>
      <c r="B9593" t="s">
        <v>10161</v>
      </c>
      <c r="C9593" t="str">
        <f>""</f>
        <v/>
      </c>
      <c r="D9593" t="str">
        <f>"9781580136570"</f>
        <v>9781580136570</v>
      </c>
      <c r="E9593" t="s">
        <v>10104</v>
      </c>
      <c r="F9593" t="s">
        <v>10104</v>
      </c>
      <c r="G9593" s="1">
        <v>39448</v>
      </c>
      <c r="H9593" s="1">
        <v>43024</v>
      </c>
      <c r="I9593" t="s">
        <v>12</v>
      </c>
      <c r="J9593" t="s">
        <v>20363</v>
      </c>
    </row>
    <row r="9594" spans="1:10" x14ac:dyDescent="0.25">
      <c r="A9594">
        <v>5054570</v>
      </c>
      <c r="B9594" t="s">
        <v>10162</v>
      </c>
      <c r="C9594" t="str">
        <f>""</f>
        <v/>
      </c>
      <c r="D9594" t="str">
        <f>"9781580136587"</f>
        <v>9781580136587</v>
      </c>
      <c r="E9594" t="s">
        <v>10104</v>
      </c>
      <c r="F9594" t="s">
        <v>10104</v>
      </c>
      <c r="G9594" s="1">
        <v>39448</v>
      </c>
      <c r="H9594" s="1">
        <v>43027</v>
      </c>
      <c r="I9594" t="s">
        <v>12</v>
      </c>
      <c r="J9594" t="s">
        <v>20364</v>
      </c>
    </row>
    <row r="9595" spans="1:10" x14ac:dyDescent="0.25">
      <c r="A9595">
        <v>5054571</v>
      </c>
      <c r="B9595" t="s">
        <v>10163</v>
      </c>
      <c r="C9595" t="str">
        <f>"9780822578017"</f>
        <v>9780822578017</v>
      </c>
      <c r="D9595" t="str">
        <f>"9781580136778"</f>
        <v>9781580136778</v>
      </c>
      <c r="E9595" t="s">
        <v>10104</v>
      </c>
      <c r="F9595" t="s">
        <v>10104</v>
      </c>
      <c r="G9595" s="1">
        <v>39448</v>
      </c>
      <c r="H9595" s="1">
        <v>43027</v>
      </c>
      <c r="I9595" t="s">
        <v>12</v>
      </c>
      <c r="J9595" t="s">
        <v>20365</v>
      </c>
    </row>
    <row r="9596" spans="1:10" x14ac:dyDescent="0.25">
      <c r="A9596">
        <v>5054572</v>
      </c>
      <c r="B9596" t="s">
        <v>10164</v>
      </c>
      <c r="C9596" t="str">
        <f>"9780822578000"</f>
        <v>9780822578000</v>
      </c>
      <c r="D9596" t="str">
        <f>"9781580136785"</f>
        <v>9781580136785</v>
      </c>
      <c r="E9596" t="s">
        <v>10104</v>
      </c>
      <c r="F9596" t="s">
        <v>10104</v>
      </c>
      <c r="G9596" s="1">
        <v>39448</v>
      </c>
      <c r="H9596" s="1">
        <v>43024</v>
      </c>
      <c r="I9596" t="s">
        <v>12</v>
      </c>
      <c r="J9596" t="s">
        <v>20366</v>
      </c>
    </row>
    <row r="9597" spans="1:10" x14ac:dyDescent="0.25">
      <c r="A9597">
        <v>5054573</v>
      </c>
      <c r="B9597" t="s">
        <v>10165</v>
      </c>
      <c r="C9597" t="str">
        <f>"9780822577980"</f>
        <v>9780822577980</v>
      </c>
      <c r="D9597" t="str">
        <f>"9781580136792"</f>
        <v>9781580136792</v>
      </c>
      <c r="E9597" t="s">
        <v>10104</v>
      </c>
      <c r="F9597" t="s">
        <v>10104</v>
      </c>
      <c r="G9597" s="1">
        <v>39448</v>
      </c>
      <c r="H9597" s="1">
        <v>43024</v>
      </c>
      <c r="I9597" t="s">
        <v>12</v>
      </c>
      <c r="J9597" t="s">
        <v>20367</v>
      </c>
    </row>
    <row r="9598" spans="1:10" x14ac:dyDescent="0.25">
      <c r="A9598">
        <v>5054575</v>
      </c>
      <c r="B9598" t="s">
        <v>10166</v>
      </c>
      <c r="C9598" t="str">
        <f>"9780822578024"</f>
        <v>9780822578024</v>
      </c>
      <c r="D9598" t="str">
        <f>"9781580136815"</f>
        <v>9781580136815</v>
      </c>
      <c r="E9598" t="s">
        <v>10104</v>
      </c>
      <c r="F9598" t="s">
        <v>10104</v>
      </c>
      <c r="G9598" s="1">
        <v>39448</v>
      </c>
      <c r="H9598" s="1">
        <v>43024</v>
      </c>
      <c r="I9598" t="s">
        <v>12</v>
      </c>
      <c r="J9598" t="s">
        <v>20368</v>
      </c>
    </row>
    <row r="9599" spans="1:10" x14ac:dyDescent="0.25">
      <c r="A9599">
        <v>5054576</v>
      </c>
      <c r="B9599" t="s">
        <v>10167</v>
      </c>
      <c r="C9599" t="str">
        <f>"9780822578031"</f>
        <v>9780822578031</v>
      </c>
      <c r="D9599" t="str">
        <f>"9781580136822"</f>
        <v>9781580136822</v>
      </c>
      <c r="E9599" t="s">
        <v>10104</v>
      </c>
      <c r="F9599" t="s">
        <v>10104</v>
      </c>
      <c r="G9599" s="1">
        <v>39448</v>
      </c>
      <c r="H9599" s="1">
        <v>43027</v>
      </c>
      <c r="I9599" t="s">
        <v>12</v>
      </c>
      <c r="J9599" t="s">
        <v>20369</v>
      </c>
    </row>
    <row r="9600" spans="1:10" x14ac:dyDescent="0.25">
      <c r="A9600">
        <v>5054577</v>
      </c>
      <c r="B9600" t="s">
        <v>10168</v>
      </c>
      <c r="C9600" t="str">
        <f>"9780822578048"</f>
        <v>9780822578048</v>
      </c>
      <c r="D9600" t="str">
        <f>"9781580136839"</f>
        <v>9781580136839</v>
      </c>
      <c r="E9600" t="s">
        <v>10104</v>
      </c>
      <c r="F9600" t="s">
        <v>10104</v>
      </c>
      <c r="G9600" s="1">
        <v>39448</v>
      </c>
      <c r="H9600" s="1">
        <v>43027</v>
      </c>
      <c r="I9600" t="s">
        <v>12</v>
      </c>
      <c r="J9600" t="s">
        <v>20370</v>
      </c>
    </row>
    <row r="9601" spans="1:10" x14ac:dyDescent="0.25">
      <c r="A9601">
        <v>5054578</v>
      </c>
      <c r="B9601" t="s">
        <v>10169</v>
      </c>
      <c r="C9601" t="str">
        <f>"9780822578055"</f>
        <v>9780822578055</v>
      </c>
      <c r="D9601" t="str">
        <f>"9781580136846"</f>
        <v>9781580136846</v>
      </c>
      <c r="E9601" t="s">
        <v>10104</v>
      </c>
      <c r="F9601" t="s">
        <v>10104</v>
      </c>
      <c r="G9601" s="1">
        <v>39448</v>
      </c>
      <c r="H9601" s="1">
        <v>43024</v>
      </c>
      <c r="I9601" t="s">
        <v>12</v>
      </c>
      <c r="J9601" t="s">
        <v>20371</v>
      </c>
    </row>
    <row r="9602" spans="1:10" x14ac:dyDescent="0.25">
      <c r="A9602">
        <v>5054581</v>
      </c>
      <c r="B9602" t="s">
        <v>10170</v>
      </c>
      <c r="C9602" t="str">
        <f>""</f>
        <v/>
      </c>
      <c r="D9602" t="str">
        <f>"9781580136907"</f>
        <v>9781580136907</v>
      </c>
      <c r="E9602" t="s">
        <v>10104</v>
      </c>
      <c r="F9602" t="s">
        <v>10104</v>
      </c>
      <c r="G9602" s="1">
        <v>39448</v>
      </c>
      <c r="H9602" s="1">
        <v>43024</v>
      </c>
      <c r="I9602" t="s">
        <v>12</v>
      </c>
      <c r="J9602" t="s">
        <v>20372</v>
      </c>
    </row>
    <row r="9603" spans="1:10" x14ac:dyDescent="0.25">
      <c r="A9603">
        <v>5054583</v>
      </c>
      <c r="B9603" t="s">
        <v>10171</v>
      </c>
      <c r="C9603" t="str">
        <f>"9780822577843"</f>
        <v>9780822577843</v>
      </c>
      <c r="D9603" t="str">
        <f>"9781580136990"</f>
        <v>9781580136990</v>
      </c>
      <c r="E9603" t="s">
        <v>10104</v>
      </c>
      <c r="F9603" t="s">
        <v>10104</v>
      </c>
      <c r="G9603" s="1">
        <v>39387</v>
      </c>
      <c r="H9603" s="1">
        <v>43027</v>
      </c>
      <c r="I9603" t="s">
        <v>12</v>
      </c>
      <c r="J9603" t="s">
        <v>20373</v>
      </c>
    </row>
    <row r="9604" spans="1:10" x14ac:dyDescent="0.25">
      <c r="A9604">
        <v>5054584</v>
      </c>
      <c r="B9604" t="s">
        <v>10172</v>
      </c>
      <c r="C9604" t="str">
        <f>"9780822577867"</f>
        <v>9780822577867</v>
      </c>
      <c r="D9604" t="str">
        <f>"9781580137003"</f>
        <v>9781580137003</v>
      </c>
      <c r="E9604" t="s">
        <v>10104</v>
      </c>
      <c r="F9604" t="s">
        <v>10104</v>
      </c>
      <c r="G9604" s="1">
        <v>39387</v>
      </c>
      <c r="H9604" s="1">
        <v>43024</v>
      </c>
      <c r="I9604" t="s">
        <v>12</v>
      </c>
      <c r="J9604" t="s">
        <v>20374</v>
      </c>
    </row>
    <row r="9605" spans="1:10" x14ac:dyDescent="0.25">
      <c r="A9605">
        <v>5054585</v>
      </c>
      <c r="B9605" t="s">
        <v>10173</v>
      </c>
      <c r="C9605" t="str">
        <f>"9780822577850"</f>
        <v>9780822577850</v>
      </c>
      <c r="D9605" t="str">
        <f>"9781580137010"</f>
        <v>9781580137010</v>
      </c>
      <c r="E9605" t="s">
        <v>10104</v>
      </c>
      <c r="F9605" t="s">
        <v>10174</v>
      </c>
      <c r="G9605" s="1">
        <v>39295</v>
      </c>
      <c r="H9605" s="1">
        <v>43027</v>
      </c>
      <c r="I9605" t="s">
        <v>12</v>
      </c>
      <c r="J9605" t="s">
        <v>20375</v>
      </c>
    </row>
    <row r="9606" spans="1:10" x14ac:dyDescent="0.25">
      <c r="A9606">
        <v>5054587</v>
      </c>
      <c r="B9606" t="s">
        <v>10175</v>
      </c>
      <c r="C9606" t="str">
        <f>"9780822576273"</f>
        <v>9780822576273</v>
      </c>
      <c r="D9606" t="str">
        <f>"9780761346326"</f>
        <v>9780761346326</v>
      </c>
      <c r="E9606" t="s">
        <v>10104</v>
      </c>
      <c r="F9606" t="s">
        <v>10104</v>
      </c>
      <c r="G9606" s="1">
        <v>39783</v>
      </c>
      <c r="H9606" s="1">
        <v>43024</v>
      </c>
      <c r="I9606" t="s">
        <v>12</v>
      </c>
      <c r="J9606" t="s">
        <v>20376</v>
      </c>
    </row>
    <row r="9607" spans="1:10" x14ac:dyDescent="0.25">
      <c r="A9607">
        <v>5054588</v>
      </c>
      <c r="B9607" t="s">
        <v>10176</v>
      </c>
      <c r="C9607" t="str">
        <f>"9780822579656"</f>
        <v>9780822579656</v>
      </c>
      <c r="D9607" t="str">
        <f>"9780761346357"</f>
        <v>9780761346357</v>
      </c>
      <c r="E9607" t="s">
        <v>10104</v>
      </c>
      <c r="F9607" t="s">
        <v>10104</v>
      </c>
      <c r="G9607" s="1">
        <v>39783</v>
      </c>
      <c r="H9607" s="1">
        <v>43027</v>
      </c>
      <c r="I9607" t="s">
        <v>12</v>
      </c>
      <c r="J9607" t="s">
        <v>20377</v>
      </c>
    </row>
    <row r="9608" spans="1:10" x14ac:dyDescent="0.25">
      <c r="A9608">
        <v>5054589</v>
      </c>
      <c r="B9608" t="s">
        <v>10177</v>
      </c>
      <c r="C9608" t="str">
        <f>"9780822579847"</f>
        <v>9780822579847</v>
      </c>
      <c r="D9608" t="str">
        <f>"9780761346364"</f>
        <v>9780761346364</v>
      </c>
      <c r="E9608" t="s">
        <v>10104</v>
      </c>
      <c r="F9608" t="s">
        <v>10104</v>
      </c>
      <c r="G9608" s="1">
        <v>39783</v>
      </c>
      <c r="H9608" s="1">
        <v>43024</v>
      </c>
      <c r="I9608" t="s">
        <v>12</v>
      </c>
      <c r="J9608" t="s">
        <v>20378</v>
      </c>
    </row>
    <row r="9609" spans="1:10" x14ac:dyDescent="0.25">
      <c r="A9609">
        <v>5054590</v>
      </c>
      <c r="B9609" t="s">
        <v>10178</v>
      </c>
      <c r="C9609" t="str">
        <f>"9781575059358"</f>
        <v>9781575059358</v>
      </c>
      <c r="D9609" t="str">
        <f>"9780761346371"</f>
        <v>9780761346371</v>
      </c>
      <c r="E9609" t="s">
        <v>10104</v>
      </c>
      <c r="F9609" t="s">
        <v>10104</v>
      </c>
      <c r="G9609" s="1">
        <v>39783</v>
      </c>
      <c r="H9609" s="1">
        <v>43024</v>
      </c>
      <c r="I9609" t="s">
        <v>12</v>
      </c>
      <c r="J9609" t="s">
        <v>20379</v>
      </c>
    </row>
    <row r="9610" spans="1:10" x14ac:dyDescent="0.25">
      <c r="A9610">
        <v>5054591</v>
      </c>
      <c r="B9610" t="s">
        <v>10179</v>
      </c>
      <c r="C9610" t="str">
        <f>"9780822586579"</f>
        <v>9780822586579</v>
      </c>
      <c r="D9610" t="str">
        <f>"9780761346432"</f>
        <v>9780761346432</v>
      </c>
      <c r="E9610" t="s">
        <v>10104</v>
      </c>
      <c r="F9610" t="s">
        <v>10104</v>
      </c>
      <c r="G9610" s="1">
        <v>39783</v>
      </c>
      <c r="H9610" s="1">
        <v>43024</v>
      </c>
      <c r="I9610" t="s">
        <v>12</v>
      </c>
      <c r="J9610" t="s">
        <v>20380</v>
      </c>
    </row>
    <row r="9611" spans="1:10" x14ac:dyDescent="0.25">
      <c r="A9611">
        <v>5054592</v>
      </c>
      <c r="B9611" t="s">
        <v>10180</v>
      </c>
      <c r="C9611" t="str">
        <f>""</f>
        <v/>
      </c>
      <c r="D9611" t="str">
        <f>"9781281769282"</f>
        <v>9781281769282</v>
      </c>
      <c r="E9611" t="s">
        <v>10104</v>
      </c>
      <c r="F9611" t="s">
        <v>10104</v>
      </c>
      <c r="G9611" s="1">
        <v>39448</v>
      </c>
      <c r="H9611" s="1">
        <v>43153</v>
      </c>
      <c r="I9611" t="s">
        <v>12</v>
      </c>
      <c r="J9611" t="s">
        <v>20381</v>
      </c>
    </row>
    <row r="9612" spans="1:10" x14ac:dyDescent="0.25">
      <c r="A9612">
        <v>5054594</v>
      </c>
      <c r="B9612" t="s">
        <v>10181</v>
      </c>
      <c r="C9612" t="str">
        <f>"9780822573890"</f>
        <v>9780822573890</v>
      </c>
      <c r="D9612" t="str">
        <f>"9780761346517"</f>
        <v>9780761346517</v>
      </c>
      <c r="E9612" t="s">
        <v>10104</v>
      </c>
      <c r="F9612" t="s">
        <v>10104</v>
      </c>
      <c r="G9612" s="1">
        <v>39783</v>
      </c>
      <c r="H9612" s="1">
        <v>43027</v>
      </c>
      <c r="I9612" t="s">
        <v>12</v>
      </c>
      <c r="J9612" t="s">
        <v>20382</v>
      </c>
    </row>
    <row r="9613" spans="1:10" x14ac:dyDescent="0.25">
      <c r="A9613">
        <v>5054595</v>
      </c>
      <c r="B9613" t="s">
        <v>10182</v>
      </c>
      <c r="C9613" t="str">
        <f>"9780822573913"</f>
        <v>9780822573913</v>
      </c>
      <c r="D9613" t="str">
        <f>"9780761346524"</f>
        <v>9780761346524</v>
      </c>
      <c r="E9613" t="s">
        <v>10104</v>
      </c>
      <c r="F9613" t="s">
        <v>10104</v>
      </c>
      <c r="G9613" s="1">
        <v>39783</v>
      </c>
      <c r="H9613" s="1">
        <v>43024</v>
      </c>
      <c r="I9613" t="s">
        <v>12</v>
      </c>
      <c r="J9613" t="s">
        <v>20383</v>
      </c>
    </row>
    <row r="9614" spans="1:10" x14ac:dyDescent="0.25">
      <c r="A9614">
        <v>5054596</v>
      </c>
      <c r="B9614" t="s">
        <v>10183</v>
      </c>
      <c r="C9614" t="str">
        <f>"9780822586500"</f>
        <v>9780822586500</v>
      </c>
      <c r="D9614" t="str">
        <f>"9780761346531"</f>
        <v>9780761346531</v>
      </c>
      <c r="E9614" t="s">
        <v>10104</v>
      </c>
      <c r="F9614" t="s">
        <v>10184</v>
      </c>
      <c r="G9614" s="1">
        <v>39783</v>
      </c>
      <c r="H9614" s="1">
        <v>43024</v>
      </c>
      <c r="I9614" t="s">
        <v>12</v>
      </c>
      <c r="J9614" t="s">
        <v>20384</v>
      </c>
    </row>
    <row r="9615" spans="1:10" x14ac:dyDescent="0.25">
      <c r="A9615">
        <v>5054597</v>
      </c>
      <c r="B9615" t="s">
        <v>10185</v>
      </c>
      <c r="C9615" t="str">
        <f>"9780822573777"</f>
        <v>9780822573777</v>
      </c>
      <c r="D9615" t="str">
        <f>"9780761346548"</f>
        <v>9780761346548</v>
      </c>
      <c r="E9615" t="s">
        <v>10104</v>
      </c>
      <c r="F9615" t="s">
        <v>10104</v>
      </c>
      <c r="G9615" s="1">
        <v>39783</v>
      </c>
      <c r="H9615" s="1">
        <v>43027</v>
      </c>
      <c r="I9615" t="s">
        <v>12</v>
      </c>
      <c r="J9615" t="s">
        <v>20385</v>
      </c>
    </row>
    <row r="9616" spans="1:10" x14ac:dyDescent="0.25">
      <c r="A9616">
        <v>5054598</v>
      </c>
      <c r="B9616" t="s">
        <v>10186</v>
      </c>
      <c r="C9616" t="str">
        <f>"9780822573760"</f>
        <v>9780822573760</v>
      </c>
      <c r="D9616" t="str">
        <f>"9780761346555"</f>
        <v>9780761346555</v>
      </c>
      <c r="E9616" t="s">
        <v>10104</v>
      </c>
      <c r="F9616" t="s">
        <v>10104</v>
      </c>
      <c r="G9616" s="1">
        <v>39783</v>
      </c>
      <c r="H9616" s="1">
        <v>43027</v>
      </c>
      <c r="I9616" t="s">
        <v>12</v>
      </c>
      <c r="J9616" t="s">
        <v>20386</v>
      </c>
    </row>
    <row r="9617" spans="1:10" x14ac:dyDescent="0.25">
      <c r="A9617">
        <v>5054602</v>
      </c>
      <c r="B9617" t="s">
        <v>10187</v>
      </c>
      <c r="C9617" t="str">
        <f>"9780822575474"</f>
        <v>9780822575474</v>
      </c>
      <c r="D9617" t="str">
        <f>"9780761346661"</f>
        <v>9780761346661</v>
      </c>
      <c r="E9617" t="s">
        <v>10104</v>
      </c>
      <c r="F9617" t="s">
        <v>10104</v>
      </c>
      <c r="G9617" s="1">
        <v>40148</v>
      </c>
      <c r="H9617" s="1">
        <v>43024</v>
      </c>
      <c r="I9617" t="s">
        <v>12</v>
      </c>
      <c r="J9617" t="s">
        <v>20387</v>
      </c>
    </row>
    <row r="9618" spans="1:10" x14ac:dyDescent="0.25">
      <c r="A9618">
        <v>5054603</v>
      </c>
      <c r="B9618" t="s">
        <v>10188</v>
      </c>
      <c r="C9618" t="str">
        <f>"9780822575467"</f>
        <v>9780822575467</v>
      </c>
      <c r="D9618" t="str">
        <f>"9780761346708"</f>
        <v>9780761346708</v>
      </c>
      <c r="E9618" t="s">
        <v>10104</v>
      </c>
      <c r="F9618" t="s">
        <v>10104</v>
      </c>
      <c r="G9618" s="1">
        <v>40148</v>
      </c>
      <c r="H9618" s="1">
        <v>43024</v>
      </c>
      <c r="I9618" t="s">
        <v>12</v>
      </c>
      <c r="J9618" t="s">
        <v>20388</v>
      </c>
    </row>
    <row r="9619" spans="1:10" x14ac:dyDescent="0.25">
      <c r="A9619">
        <v>5054604</v>
      </c>
      <c r="B9619" t="s">
        <v>10189</v>
      </c>
      <c r="C9619" t="str">
        <f>""</f>
        <v/>
      </c>
      <c r="D9619" t="str">
        <f>"9781281769480"</f>
        <v>9781281769480</v>
      </c>
      <c r="E9619" t="s">
        <v>10104</v>
      </c>
      <c r="F9619" t="s">
        <v>10104</v>
      </c>
      <c r="G9619" s="1">
        <v>39448</v>
      </c>
      <c r="H9619" s="1">
        <v>43025</v>
      </c>
      <c r="I9619" t="s">
        <v>12</v>
      </c>
      <c r="J9619" t="s">
        <v>20389</v>
      </c>
    </row>
    <row r="9620" spans="1:10" x14ac:dyDescent="0.25">
      <c r="A9620">
        <v>5054605</v>
      </c>
      <c r="B9620" t="s">
        <v>10190</v>
      </c>
      <c r="C9620" t="str">
        <f>"9781580135528"</f>
        <v>9781580135528</v>
      </c>
      <c r="D9620" t="str">
        <f>"9780761346746"</f>
        <v>9780761346746</v>
      </c>
      <c r="E9620" t="s">
        <v>10104</v>
      </c>
      <c r="F9620" t="s">
        <v>10104</v>
      </c>
      <c r="G9620" s="1">
        <v>40148</v>
      </c>
      <c r="H9620" s="1">
        <v>43027</v>
      </c>
      <c r="I9620" t="s">
        <v>12</v>
      </c>
      <c r="J9620" t="s">
        <v>20390</v>
      </c>
    </row>
    <row r="9621" spans="1:10" x14ac:dyDescent="0.25">
      <c r="A9621">
        <v>5054606</v>
      </c>
      <c r="B9621" t="s">
        <v>10191</v>
      </c>
      <c r="C9621" t="str">
        <f>"9781580135498"</f>
        <v>9781580135498</v>
      </c>
      <c r="D9621" t="str">
        <f>"9780761346753"</f>
        <v>9780761346753</v>
      </c>
      <c r="E9621" t="s">
        <v>10104</v>
      </c>
      <c r="F9621" t="s">
        <v>10104</v>
      </c>
      <c r="G9621" s="1">
        <v>40148</v>
      </c>
      <c r="H9621" s="1">
        <v>43027</v>
      </c>
      <c r="I9621" t="s">
        <v>12</v>
      </c>
      <c r="J9621" t="s">
        <v>20391</v>
      </c>
    </row>
    <row r="9622" spans="1:10" x14ac:dyDescent="0.25">
      <c r="A9622">
        <v>5054607</v>
      </c>
      <c r="B9622" t="s">
        <v>10192</v>
      </c>
      <c r="C9622" t="str">
        <f>"9780822569985"</f>
        <v>9780822569985</v>
      </c>
      <c r="D9622" t="str">
        <f>"9780761346814"</f>
        <v>9780761346814</v>
      </c>
      <c r="E9622" t="s">
        <v>10104</v>
      </c>
      <c r="F9622" t="s">
        <v>10104</v>
      </c>
      <c r="G9622" s="1">
        <v>39783</v>
      </c>
      <c r="H9622" s="1">
        <v>43024</v>
      </c>
      <c r="I9622" t="s">
        <v>12</v>
      </c>
      <c r="J9622" t="s">
        <v>20392</v>
      </c>
    </row>
    <row r="9623" spans="1:10" x14ac:dyDescent="0.25">
      <c r="A9623">
        <v>5055868</v>
      </c>
      <c r="B9623" t="s">
        <v>10193</v>
      </c>
      <c r="C9623" t="str">
        <f>""</f>
        <v/>
      </c>
      <c r="D9623" t="str">
        <f>"9781280474569"</f>
        <v>9781280474569</v>
      </c>
      <c r="E9623" t="s">
        <v>10077</v>
      </c>
      <c r="F9623" t="s">
        <v>10077</v>
      </c>
      <c r="G9623" s="1">
        <v>38353</v>
      </c>
      <c r="H9623" s="1">
        <v>43070</v>
      </c>
      <c r="I9623" t="s">
        <v>12</v>
      </c>
      <c r="J9623" t="s">
        <v>20393</v>
      </c>
    </row>
    <row r="9624" spans="1:10" x14ac:dyDescent="0.25">
      <c r="A9624">
        <v>5055872</v>
      </c>
      <c r="B9624" t="s">
        <v>10194</v>
      </c>
      <c r="C9624" t="str">
        <f>""</f>
        <v/>
      </c>
      <c r="D9624" t="str">
        <f>"9781280809699"</f>
        <v>9781280809699</v>
      </c>
      <c r="E9624" t="s">
        <v>10077</v>
      </c>
      <c r="F9624" t="s">
        <v>10077</v>
      </c>
      <c r="G9624" s="1">
        <v>39083</v>
      </c>
      <c r="H9624" s="1">
        <v>43070</v>
      </c>
      <c r="I9624" t="s">
        <v>12</v>
      </c>
      <c r="J9624" t="s">
        <v>20394</v>
      </c>
    </row>
    <row r="9625" spans="1:10" x14ac:dyDescent="0.25">
      <c r="A9625">
        <v>5055892</v>
      </c>
      <c r="B9625" t="s">
        <v>10195</v>
      </c>
      <c r="C9625" t="str">
        <f>""</f>
        <v/>
      </c>
      <c r="D9625" t="str">
        <f>"9781280756498"</f>
        <v>9781280756498</v>
      </c>
      <c r="E9625" t="s">
        <v>10077</v>
      </c>
      <c r="F9625" t="s">
        <v>10077</v>
      </c>
      <c r="G9625" s="1">
        <v>39083</v>
      </c>
      <c r="H9625" s="1">
        <v>43070</v>
      </c>
      <c r="I9625" t="s">
        <v>12</v>
      </c>
      <c r="J9625" t="s">
        <v>20395</v>
      </c>
    </row>
    <row r="9626" spans="1:10" x14ac:dyDescent="0.25">
      <c r="A9626">
        <v>5055895</v>
      </c>
      <c r="B9626" t="s">
        <v>10196</v>
      </c>
      <c r="C9626" t="str">
        <f>""</f>
        <v/>
      </c>
      <c r="D9626" t="str">
        <f>"9781281000064"</f>
        <v>9781281000064</v>
      </c>
      <c r="E9626" t="s">
        <v>10077</v>
      </c>
      <c r="F9626" t="s">
        <v>10077</v>
      </c>
      <c r="G9626" s="1">
        <v>39083</v>
      </c>
      <c r="H9626" s="1">
        <v>43070</v>
      </c>
      <c r="I9626" t="s">
        <v>12</v>
      </c>
      <c r="J9626" t="s">
        <v>20396</v>
      </c>
    </row>
    <row r="9627" spans="1:10" x14ac:dyDescent="0.25">
      <c r="A9627">
        <v>5055897</v>
      </c>
      <c r="B9627" t="s">
        <v>10197</v>
      </c>
      <c r="C9627" t="str">
        <f>""</f>
        <v/>
      </c>
      <c r="D9627" t="str">
        <f>"9781280946936"</f>
        <v>9781280946936</v>
      </c>
      <c r="E9627" t="s">
        <v>10077</v>
      </c>
      <c r="F9627" t="s">
        <v>10077</v>
      </c>
      <c r="G9627" s="1">
        <v>39083</v>
      </c>
      <c r="H9627" s="1">
        <v>43070</v>
      </c>
      <c r="I9627" t="s">
        <v>12</v>
      </c>
      <c r="J9627" t="s">
        <v>20397</v>
      </c>
    </row>
    <row r="9628" spans="1:10" x14ac:dyDescent="0.25">
      <c r="A9628">
        <v>5055902</v>
      </c>
      <c r="B9628" t="s">
        <v>10198</v>
      </c>
      <c r="C9628" t="str">
        <f>""</f>
        <v/>
      </c>
      <c r="D9628" t="str">
        <f>"9781280474828"</f>
        <v>9781280474828</v>
      </c>
      <c r="E9628" t="s">
        <v>10077</v>
      </c>
      <c r="F9628" t="s">
        <v>10077</v>
      </c>
      <c r="G9628" s="1">
        <v>38718</v>
      </c>
      <c r="H9628" s="1">
        <v>43070</v>
      </c>
      <c r="I9628" t="s">
        <v>12</v>
      </c>
      <c r="J9628" t="s">
        <v>20398</v>
      </c>
    </row>
    <row r="9629" spans="1:10" x14ac:dyDescent="0.25">
      <c r="A9629">
        <v>5055903</v>
      </c>
      <c r="B9629" t="s">
        <v>10199</v>
      </c>
      <c r="C9629" t="str">
        <f>""</f>
        <v/>
      </c>
      <c r="D9629" t="str">
        <f>"9781280710094"</f>
        <v>9781280710094</v>
      </c>
      <c r="E9629" t="s">
        <v>10077</v>
      </c>
      <c r="F9629" t="s">
        <v>10077</v>
      </c>
      <c r="G9629" s="1">
        <v>38718</v>
      </c>
      <c r="H9629" s="1">
        <v>43070</v>
      </c>
      <c r="I9629" t="s">
        <v>12</v>
      </c>
      <c r="J9629" t="s">
        <v>20399</v>
      </c>
    </row>
    <row r="9630" spans="1:10" x14ac:dyDescent="0.25">
      <c r="A9630">
        <v>5055908</v>
      </c>
      <c r="B9630" t="s">
        <v>10200</v>
      </c>
      <c r="C9630" t="str">
        <f>""</f>
        <v/>
      </c>
      <c r="D9630" t="str">
        <f>"9781280911712"</f>
        <v>9781280911712</v>
      </c>
      <c r="E9630" t="s">
        <v>10077</v>
      </c>
      <c r="F9630" t="s">
        <v>10077</v>
      </c>
      <c r="G9630" s="1">
        <v>39083</v>
      </c>
      <c r="H9630" s="1">
        <v>43070</v>
      </c>
      <c r="I9630" t="s">
        <v>12</v>
      </c>
      <c r="J9630" t="s">
        <v>20400</v>
      </c>
    </row>
    <row r="9631" spans="1:10" x14ac:dyDescent="0.25">
      <c r="A9631">
        <v>5055910</v>
      </c>
      <c r="B9631" t="s">
        <v>10201</v>
      </c>
      <c r="C9631" t="str">
        <f>""</f>
        <v/>
      </c>
      <c r="D9631" t="str">
        <f>"9781281151469"</f>
        <v>9781281151469</v>
      </c>
      <c r="E9631" t="s">
        <v>10077</v>
      </c>
      <c r="F9631" t="s">
        <v>10077</v>
      </c>
      <c r="G9631" s="1">
        <v>39414</v>
      </c>
      <c r="H9631" s="1">
        <v>43070</v>
      </c>
      <c r="I9631" t="s">
        <v>12</v>
      </c>
      <c r="J9631" t="s">
        <v>20401</v>
      </c>
    </row>
    <row r="9632" spans="1:10" x14ac:dyDescent="0.25">
      <c r="A9632">
        <v>5055918</v>
      </c>
      <c r="B9632" t="s">
        <v>10202</v>
      </c>
      <c r="C9632" t="str">
        <f>""</f>
        <v/>
      </c>
      <c r="D9632" t="str">
        <f>"9781280474330"</f>
        <v>9781280474330</v>
      </c>
      <c r="E9632" t="s">
        <v>10077</v>
      </c>
      <c r="F9632" t="s">
        <v>10077</v>
      </c>
      <c r="G9632" s="1">
        <v>38353</v>
      </c>
      <c r="H9632" s="1">
        <v>43070</v>
      </c>
      <c r="I9632" t="s">
        <v>12</v>
      </c>
      <c r="J9632" t="s">
        <v>20402</v>
      </c>
    </row>
    <row r="9633" spans="1:10" x14ac:dyDescent="0.25">
      <c r="A9633">
        <v>5055922</v>
      </c>
      <c r="B9633" t="s">
        <v>10203</v>
      </c>
      <c r="C9633" t="str">
        <f>""</f>
        <v/>
      </c>
      <c r="D9633" t="str">
        <f>"9781280839634"</f>
        <v>9781280839634</v>
      </c>
      <c r="E9633" t="s">
        <v>10077</v>
      </c>
      <c r="F9633" t="s">
        <v>10077</v>
      </c>
      <c r="G9633" s="1">
        <v>39083</v>
      </c>
      <c r="H9633" s="1">
        <v>43070</v>
      </c>
      <c r="I9633" t="s">
        <v>12</v>
      </c>
      <c r="J9633" t="s">
        <v>20403</v>
      </c>
    </row>
    <row r="9634" spans="1:10" x14ac:dyDescent="0.25">
      <c r="A9634">
        <v>5055925</v>
      </c>
      <c r="B9634" t="s">
        <v>10204</v>
      </c>
      <c r="C9634" t="str">
        <f>""</f>
        <v/>
      </c>
      <c r="D9634" t="str">
        <f>"9781280710100"</f>
        <v>9781280710100</v>
      </c>
      <c r="E9634" t="s">
        <v>10077</v>
      </c>
      <c r="F9634" t="s">
        <v>10077</v>
      </c>
      <c r="G9634" s="1">
        <v>38718</v>
      </c>
      <c r="H9634" s="1">
        <v>43070</v>
      </c>
      <c r="I9634" t="s">
        <v>12</v>
      </c>
      <c r="J9634" t="s">
        <v>20404</v>
      </c>
    </row>
    <row r="9635" spans="1:10" x14ac:dyDescent="0.25">
      <c r="A9635">
        <v>5055928</v>
      </c>
      <c r="B9635" t="s">
        <v>10205</v>
      </c>
      <c r="C9635" t="str">
        <f>""</f>
        <v/>
      </c>
      <c r="D9635" t="str">
        <f>"9781280474101"</f>
        <v>9781280474101</v>
      </c>
      <c r="E9635" t="s">
        <v>10077</v>
      </c>
      <c r="F9635" t="s">
        <v>10077</v>
      </c>
      <c r="G9635" s="1">
        <v>37987</v>
      </c>
      <c r="H9635" s="1">
        <v>43070</v>
      </c>
      <c r="I9635" t="s">
        <v>12</v>
      </c>
      <c r="J9635" t="s">
        <v>20405</v>
      </c>
    </row>
    <row r="9636" spans="1:10" x14ac:dyDescent="0.25">
      <c r="A9636">
        <v>5055933</v>
      </c>
      <c r="B9636" t="s">
        <v>10206</v>
      </c>
      <c r="C9636" t="str">
        <f>""</f>
        <v/>
      </c>
      <c r="D9636" t="str">
        <f>"9781280474422"</f>
        <v>9781280474422</v>
      </c>
      <c r="E9636" t="s">
        <v>10077</v>
      </c>
      <c r="F9636" t="s">
        <v>10077</v>
      </c>
      <c r="G9636" s="1">
        <v>38353</v>
      </c>
      <c r="H9636" s="1">
        <v>43070</v>
      </c>
      <c r="I9636" t="s">
        <v>12</v>
      </c>
      <c r="J9636" t="s">
        <v>20406</v>
      </c>
    </row>
    <row r="9637" spans="1:10" x14ac:dyDescent="0.25">
      <c r="A9637">
        <v>5055934</v>
      </c>
      <c r="B9637" t="s">
        <v>10207</v>
      </c>
      <c r="C9637" t="str">
        <f>""</f>
        <v/>
      </c>
      <c r="D9637" t="str">
        <f>"9781280710193"</f>
        <v>9781280710193</v>
      </c>
      <c r="E9637" t="s">
        <v>10077</v>
      </c>
      <c r="F9637" t="s">
        <v>10077</v>
      </c>
      <c r="G9637" s="1">
        <v>38718</v>
      </c>
      <c r="H9637" s="1">
        <v>43070</v>
      </c>
      <c r="I9637" t="s">
        <v>12</v>
      </c>
      <c r="J9637" t="s">
        <v>20407</v>
      </c>
    </row>
    <row r="9638" spans="1:10" x14ac:dyDescent="0.25">
      <c r="A9638">
        <v>5055935</v>
      </c>
      <c r="B9638" t="s">
        <v>10208</v>
      </c>
      <c r="C9638" t="str">
        <f>""</f>
        <v/>
      </c>
      <c r="D9638" t="str">
        <f>"9781280806803"</f>
        <v>9781280806803</v>
      </c>
      <c r="E9638" t="s">
        <v>10077</v>
      </c>
      <c r="F9638" t="s">
        <v>10077</v>
      </c>
      <c r="G9638" s="1">
        <v>39083</v>
      </c>
      <c r="H9638" s="1">
        <v>43070</v>
      </c>
      <c r="I9638" t="s">
        <v>12</v>
      </c>
      <c r="J9638" t="s">
        <v>20408</v>
      </c>
    </row>
    <row r="9639" spans="1:10" x14ac:dyDescent="0.25">
      <c r="A9639">
        <v>5055940</v>
      </c>
      <c r="B9639" t="s">
        <v>10209</v>
      </c>
      <c r="C9639" t="str">
        <f>""</f>
        <v/>
      </c>
      <c r="D9639" t="str">
        <f>"9781280911668"</f>
        <v>9781280911668</v>
      </c>
      <c r="E9639" t="s">
        <v>10077</v>
      </c>
      <c r="F9639" t="s">
        <v>10077</v>
      </c>
      <c r="G9639" s="1">
        <v>39083</v>
      </c>
      <c r="H9639" s="1">
        <v>43070</v>
      </c>
      <c r="I9639" t="s">
        <v>12</v>
      </c>
      <c r="J9639" t="s">
        <v>20409</v>
      </c>
    </row>
    <row r="9640" spans="1:10" x14ac:dyDescent="0.25">
      <c r="A9640">
        <v>5055951</v>
      </c>
      <c r="B9640" t="s">
        <v>10210</v>
      </c>
      <c r="C9640" t="str">
        <f>""</f>
        <v/>
      </c>
      <c r="D9640" t="str">
        <f>"9781280806872"</f>
        <v>9781280806872</v>
      </c>
      <c r="E9640" t="s">
        <v>10077</v>
      </c>
      <c r="F9640" t="s">
        <v>10077</v>
      </c>
      <c r="G9640" s="1">
        <v>39083</v>
      </c>
      <c r="H9640" s="1">
        <v>43070</v>
      </c>
      <c r="I9640" t="s">
        <v>12</v>
      </c>
      <c r="J9640" t="s">
        <v>20410</v>
      </c>
    </row>
    <row r="9641" spans="1:10" x14ac:dyDescent="0.25">
      <c r="A9641">
        <v>5055958</v>
      </c>
      <c r="B9641" t="s">
        <v>10211</v>
      </c>
      <c r="C9641" t="str">
        <f>""</f>
        <v/>
      </c>
      <c r="D9641" t="str">
        <f>"9781280806858"</f>
        <v>9781280806858</v>
      </c>
      <c r="E9641" t="s">
        <v>10077</v>
      </c>
      <c r="F9641" t="s">
        <v>10077</v>
      </c>
      <c r="G9641" s="1">
        <v>39083</v>
      </c>
      <c r="H9641" s="1">
        <v>43070</v>
      </c>
      <c r="I9641" t="s">
        <v>12</v>
      </c>
      <c r="J9641" t="s">
        <v>20411</v>
      </c>
    </row>
    <row r="9642" spans="1:10" x14ac:dyDescent="0.25">
      <c r="A9642">
        <v>5055959</v>
      </c>
      <c r="B9642" t="s">
        <v>10212</v>
      </c>
      <c r="C9642" t="str">
        <f>""</f>
        <v/>
      </c>
      <c r="D9642" t="str">
        <f>"9781280604560"</f>
        <v>9781280604560</v>
      </c>
      <c r="E9642" t="s">
        <v>10077</v>
      </c>
      <c r="F9642" t="s">
        <v>10077</v>
      </c>
      <c r="G9642" s="1">
        <v>38718</v>
      </c>
      <c r="H9642" s="1">
        <v>43070</v>
      </c>
      <c r="I9642" t="s">
        <v>12</v>
      </c>
      <c r="J9642" t="s">
        <v>20412</v>
      </c>
    </row>
    <row r="9643" spans="1:10" x14ac:dyDescent="0.25">
      <c r="A9643">
        <v>5055960</v>
      </c>
      <c r="B9643" t="s">
        <v>10213</v>
      </c>
      <c r="C9643" t="str">
        <f>""</f>
        <v/>
      </c>
      <c r="D9643" t="str">
        <f>"9781280946929"</f>
        <v>9781280946929</v>
      </c>
      <c r="E9643" t="s">
        <v>10077</v>
      </c>
      <c r="F9643" t="s">
        <v>10077</v>
      </c>
      <c r="G9643" s="1">
        <v>39083</v>
      </c>
      <c r="H9643" s="1">
        <v>43070</v>
      </c>
      <c r="I9643" t="s">
        <v>12</v>
      </c>
      <c r="J9643" t="s">
        <v>20413</v>
      </c>
    </row>
    <row r="9644" spans="1:10" x14ac:dyDescent="0.25">
      <c r="A9644">
        <v>5055968</v>
      </c>
      <c r="B9644" t="s">
        <v>10214</v>
      </c>
      <c r="C9644" t="str">
        <f>""</f>
        <v/>
      </c>
      <c r="D9644" t="str">
        <f>"9781280946967"</f>
        <v>9781280946967</v>
      </c>
      <c r="E9644" t="s">
        <v>10077</v>
      </c>
      <c r="F9644" t="s">
        <v>10077</v>
      </c>
      <c r="G9644" s="1">
        <v>39083</v>
      </c>
      <c r="H9644" s="1">
        <v>43070</v>
      </c>
      <c r="I9644" t="s">
        <v>12</v>
      </c>
      <c r="J9644" t="s">
        <v>20414</v>
      </c>
    </row>
    <row r="9645" spans="1:10" x14ac:dyDescent="0.25">
      <c r="A9645">
        <v>5055971</v>
      </c>
      <c r="B9645" t="s">
        <v>10215</v>
      </c>
      <c r="C9645" t="str">
        <f>""</f>
        <v/>
      </c>
      <c r="D9645" t="str">
        <f>"9781280806773"</f>
        <v>9781280806773</v>
      </c>
      <c r="E9645" t="s">
        <v>10077</v>
      </c>
      <c r="F9645" t="s">
        <v>10077</v>
      </c>
      <c r="G9645" s="1">
        <v>39083</v>
      </c>
      <c r="H9645" s="1">
        <v>43070</v>
      </c>
      <c r="I9645" t="s">
        <v>12</v>
      </c>
      <c r="J9645" t="s">
        <v>20415</v>
      </c>
    </row>
    <row r="9646" spans="1:10" x14ac:dyDescent="0.25">
      <c r="A9646">
        <v>5055977</v>
      </c>
      <c r="B9646" t="s">
        <v>10216</v>
      </c>
      <c r="C9646" t="str">
        <f>""</f>
        <v/>
      </c>
      <c r="D9646" t="str">
        <f>"9781280604546"</f>
        <v>9781280604546</v>
      </c>
      <c r="E9646" t="s">
        <v>10077</v>
      </c>
      <c r="F9646" t="s">
        <v>10077</v>
      </c>
      <c r="G9646" s="1">
        <v>38718</v>
      </c>
      <c r="H9646" s="1">
        <v>43070</v>
      </c>
      <c r="I9646" t="s">
        <v>12</v>
      </c>
      <c r="J9646" t="s">
        <v>20416</v>
      </c>
    </row>
    <row r="9647" spans="1:10" x14ac:dyDescent="0.25">
      <c r="A9647">
        <v>5055978</v>
      </c>
      <c r="B9647" t="s">
        <v>10217</v>
      </c>
      <c r="C9647" t="str">
        <f>""</f>
        <v/>
      </c>
      <c r="D9647" t="str">
        <f>"9781280911675"</f>
        <v>9781280911675</v>
      </c>
      <c r="E9647" t="s">
        <v>10077</v>
      </c>
      <c r="F9647" t="s">
        <v>10077</v>
      </c>
      <c r="G9647" s="1">
        <v>39083</v>
      </c>
      <c r="H9647" s="1">
        <v>43070</v>
      </c>
      <c r="I9647" t="s">
        <v>12</v>
      </c>
      <c r="J9647" t="s">
        <v>20417</v>
      </c>
    </row>
    <row r="9648" spans="1:10" x14ac:dyDescent="0.25">
      <c r="A9648">
        <v>5055986</v>
      </c>
      <c r="B9648" t="s">
        <v>10218</v>
      </c>
      <c r="C9648" t="str">
        <f>""</f>
        <v/>
      </c>
      <c r="D9648" t="str">
        <f>"9781280911736"</f>
        <v>9781280911736</v>
      </c>
      <c r="E9648" t="s">
        <v>10077</v>
      </c>
      <c r="F9648" t="s">
        <v>10077</v>
      </c>
      <c r="G9648" s="1">
        <v>39083</v>
      </c>
      <c r="H9648" s="1">
        <v>43070</v>
      </c>
      <c r="I9648" t="s">
        <v>12</v>
      </c>
      <c r="J9648" t="s">
        <v>20418</v>
      </c>
    </row>
    <row r="9649" spans="1:10" x14ac:dyDescent="0.25">
      <c r="A9649">
        <v>5055987</v>
      </c>
      <c r="B9649" t="s">
        <v>10219</v>
      </c>
      <c r="C9649" t="str">
        <f>""</f>
        <v/>
      </c>
      <c r="D9649" t="str">
        <f>"9781280728587"</f>
        <v>9781280728587</v>
      </c>
      <c r="E9649" t="s">
        <v>10077</v>
      </c>
      <c r="F9649" t="s">
        <v>10077</v>
      </c>
      <c r="G9649" s="1">
        <v>39083</v>
      </c>
      <c r="H9649" s="1">
        <v>43070</v>
      </c>
      <c r="I9649" t="s">
        <v>12</v>
      </c>
      <c r="J9649" t="s">
        <v>20419</v>
      </c>
    </row>
    <row r="9650" spans="1:10" x14ac:dyDescent="0.25">
      <c r="A9650">
        <v>5055988</v>
      </c>
      <c r="B9650" t="s">
        <v>10220</v>
      </c>
      <c r="C9650" t="str">
        <f>""</f>
        <v/>
      </c>
      <c r="D9650" t="str">
        <f>"9781280474842"</f>
        <v>9781280474842</v>
      </c>
      <c r="E9650" t="s">
        <v>10077</v>
      </c>
      <c r="F9650" t="s">
        <v>10077</v>
      </c>
      <c r="G9650" s="1">
        <v>38718</v>
      </c>
      <c r="H9650" s="1">
        <v>43070</v>
      </c>
      <c r="I9650" t="s">
        <v>12</v>
      </c>
      <c r="J9650" t="s">
        <v>20420</v>
      </c>
    </row>
    <row r="9651" spans="1:10" x14ac:dyDescent="0.25">
      <c r="A9651">
        <v>5055990</v>
      </c>
      <c r="B9651" t="s">
        <v>10221</v>
      </c>
      <c r="C9651" t="str">
        <f>""</f>
        <v/>
      </c>
      <c r="D9651" t="str">
        <f>"9781280756450"</f>
        <v>9781280756450</v>
      </c>
      <c r="E9651" t="s">
        <v>10077</v>
      </c>
      <c r="F9651" t="s">
        <v>10077</v>
      </c>
      <c r="G9651" s="1">
        <v>39083</v>
      </c>
      <c r="H9651" s="1">
        <v>43070</v>
      </c>
      <c r="I9651" t="s">
        <v>12</v>
      </c>
      <c r="J9651" t="s">
        <v>20421</v>
      </c>
    </row>
    <row r="9652" spans="1:10" x14ac:dyDescent="0.25">
      <c r="A9652">
        <v>5055995</v>
      </c>
      <c r="B9652" t="s">
        <v>10222</v>
      </c>
      <c r="C9652" t="str">
        <f>""</f>
        <v/>
      </c>
      <c r="D9652" t="str">
        <f>"9781280710131"</f>
        <v>9781280710131</v>
      </c>
      <c r="E9652" t="s">
        <v>10077</v>
      </c>
      <c r="F9652" t="s">
        <v>10077</v>
      </c>
      <c r="G9652" s="1">
        <v>38718</v>
      </c>
      <c r="H9652" s="1">
        <v>43070</v>
      </c>
      <c r="I9652" t="s">
        <v>12</v>
      </c>
      <c r="J9652" t="s">
        <v>20422</v>
      </c>
    </row>
    <row r="9653" spans="1:10" x14ac:dyDescent="0.25">
      <c r="A9653">
        <v>5055996</v>
      </c>
      <c r="B9653" t="s">
        <v>10223</v>
      </c>
      <c r="C9653" t="str">
        <f>""</f>
        <v/>
      </c>
      <c r="D9653" t="str">
        <f>"9781280710124"</f>
        <v>9781280710124</v>
      </c>
      <c r="E9653" t="s">
        <v>10077</v>
      </c>
      <c r="F9653" t="s">
        <v>10077</v>
      </c>
      <c r="G9653" s="1">
        <v>38718</v>
      </c>
      <c r="H9653" s="1">
        <v>43070</v>
      </c>
      <c r="I9653" t="s">
        <v>12</v>
      </c>
      <c r="J9653" t="s">
        <v>20423</v>
      </c>
    </row>
    <row r="9654" spans="1:10" x14ac:dyDescent="0.25">
      <c r="A9654">
        <v>5065461</v>
      </c>
      <c r="B9654" t="s">
        <v>10224</v>
      </c>
      <c r="C9654" t="str">
        <f>"9781933251431"</f>
        <v>9781933251431</v>
      </c>
      <c r="D9654" t="str">
        <f>"9781281311955"</f>
        <v>9781281311955</v>
      </c>
      <c r="E9654" t="s">
        <v>10225</v>
      </c>
      <c r="F9654" t="s">
        <v>10226</v>
      </c>
      <c r="G9654" s="1">
        <v>39448</v>
      </c>
      <c r="H9654" s="1">
        <v>43025</v>
      </c>
      <c r="I9654" t="s">
        <v>12</v>
      </c>
      <c r="J9654" t="s">
        <v>20424</v>
      </c>
    </row>
    <row r="9655" spans="1:10" x14ac:dyDescent="0.25">
      <c r="A9655">
        <v>5066301</v>
      </c>
      <c r="B9655" t="s">
        <v>10227</v>
      </c>
      <c r="C9655" t="str">
        <f>"9781426407444"</f>
        <v>9781426407444</v>
      </c>
      <c r="D9655" t="str">
        <f>"9781281749758"</f>
        <v>9781281749758</v>
      </c>
      <c r="E9655" t="s">
        <v>10228</v>
      </c>
      <c r="F9655" t="s">
        <v>10228</v>
      </c>
      <c r="G9655" s="1">
        <v>39366</v>
      </c>
      <c r="H9655" s="1">
        <v>1</v>
      </c>
      <c r="I9655" t="s">
        <v>12</v>
      </c>
      <c r="J9655" t="s">
        <v>20425</v>
      </c>
    </row>
    <row r="9656" spans="1:10" x14ac:dyDescent="0.25">
      <c r="A9656">
        <v>5066459</v>
      </c>
      <c r="B9656" t="s">
        <v>10229</v>
      </c>
      <c r="C9656" t="str">
        <f>"9781426407642"</f>
        <v>9781426407642</v>
      </c>
      <c r="D9656" t="str">
        <f>"9781281749932"</f>
        <v>9781281749932</v>
      </c>
      <c r="E9656" t="s">
        <v>10228</v>
      </c>
      <c r="F9656" t="s">
        <v>10228</v>
      </c>
      <c r="G9656" s="1">
        <v>39366</v>
      </c>
      <c r="H9656" s="1">
        <v>43025</v>
      </c>
      <c r="I9656" t="s">
        <v>12</v>
      </c>
      <c r="J9656" t="s">
        <v>20426</v>
      </c>
    </row>
    <row r="9657" spans="1:10" x14ac:dyDescent="0.25">
      <c r="A9657">
        <v>5066509</v>
      </c>
      <c r="B9657" t="s">
        <v>10230</v>
      </c>
      <c r="C9657" t="str">
        <f>"9781426414657"</f>
        <v>9781426414657</v>
      </c>
      <c r="D9657" t="str">
        <f>"9781281749956"</f>
        <v>9781281749956</v>
      </c>
      <c r="E9657" t="s">
        <v>10228</v>
      </c>
      <c r="F9657" t="s">
        <v>10228</v>
      </c>
      <c r="G9657" s="1">
        <v>39597</v>
      </c>
      <c r="H9657" s="1">
        <v>43025</v>
      </c>
      <c r="I9657" t="s">
        <v>12</v>
      </c>
      <c r="J9657" t="s">
        <v>20427</v>
      </c>
    </row>
    <row r="9658" spans="1:10" x14ac:dyDescent="0.25">
      <c r="A9658">
        <v>5066883</v>
      </c>
      <c r="B9658" t="s">
        <v>10231</v>
      </c>
      <c r="C9658" t="str">
        <f>"9780978116255"</f>
        <v>9780978116255</v>
      </c>
      <c r="D9658" t="str">
        <f>"9780978116262"</f>
        <v>9780978116262</v>
      </c>
      <c r="E9658" t="s">
        <v>10232</v>
      </c>
      <c r="F9658" t="s">
        <v>10232</v>
      </c>
      <c r="G9658" s="1">
        <v>39245</v>
      </c>
      <c r="H9658" s="1">
        <v>43024</v>
      </c>
      <c r="I9658" t="s">
        <v>12</v>
      </c>
      <c r="J9658" t="s">
        <v>20428</v>
      </c>
    </row>
    <row r="9659" spans="1:10" x14ac:dyDescent="0.25">
      <c r="A9659">
        <v>5066985</v>
      </c>
      <c r="B9659" t="s">
        <v>10233</v>
      </c>
      <c r="C9659" t="str">
        <f>""</f>
        <v/>
      </c>
      <c r="D9659" t="str">
        <f>"9781280709302"</f>
        <v>9781280709302</v>
      </c>
      <c r="E9659" t="s">
        <v>10234</v>
      </c>
      <c r="F9659" t="s">
        <v>10234</v>
      </c>
      <c r="G9659" s="1">
        <v>38718</v>
      </c>
      <c r="H9659" s="1">
        <v>43025</v>
      </c>
      <c r="I9659" t="s">
        <v>12</v>
      </c>
      <c r="J9659" t="s">
        <v>20429</v>
      </c>
    </row>
    <row r="9660" spans="1:10" x14ac:dyDescent="0.25">
      <c r="A9660">
        <v>5067435</v>
      </c>
      <c r="B9660" t="s">
        <v>10235</v>
      </c>
      <c r="C9660" t="str">
        <f>"9781426407598"</f>
        <v>9781426407598</v>
      </c>
      <c r="D9660" t="str">
        <f>"9781281749888"</f>
        <v>9781281749888</v>
      </c>
      <c r="E9660" t="s">
        <v>10228</v>
      </c>
      <c r="F9660" t="s">
        <v>10228</v>
      </c>
      <c r="G9660" s="1">
        <v>39597</v>
      </c>
      <c r="H9660" s="1">
        <v>43025</v>
      </c>
      <c r="I9660" t="s">
        <v>12</v>
      </c>
      <c r="J9660" t="s">
        <v>20430</v>
      </c>
    </row>
    <row r="9661" spans="1:10" x14ac:dyDescent="0.25">
      <c r="A9661">
        <v>5067440</v>
      </c>
      <c r="B9661" t="s">
        <v>10236</v>
      </c>
      <c r="C9661" t="str">
        <f>"9781426407062"</f>
        <v>9781426407062</v>
      </c>
      <c r="D9661" t="str">
        <f>"9781281749680"</f>
        <v>9781281749680</v>
      </c>
      <c r="E9661" t="s">
        <v>10228</v>
      </c>
      <c r="F9661" t="s">
        <v>10228</v>
      </c>
      <c r="G9661" s="1">
        <v>39597</v>
      </c>
      <c r="H9661" s="1">
        <v>43025</v>
      </c>
      <c r="I9661" t="s">
        <v>12</v>
      </c>
      <c r="J9661" t="s">
        <v>20431</v>
      </c>
    </row>
    <row r="9662" spans="1:10" x14ac:dyDescent="0.25">
      <c r="A9662">
        <v>5067441</v>
      </c>
      <c r="B9662" t="s">
        <v>10237</v>
      </c>
      <c r="C9662" t="str">
        <f>"9781426407499"</f>
        <v>9781426407499</v>
      </c>
      <c r="D9662" t="str">
        <f>"9781281749796"</f>
        <v>9781281749796</v>
      </c>
      <c r="E9662" t="s">
        <v>10228</v>
      </c>
      <c r="F9662" t="s">
        <v>10228</v>
      </c>
      <c r="G9662" s="1">
        <v>39597</v>
      </c>
      <c r="H9662" s="1">
        <v>43025</v>
      </c>
      <c r="I9662" t="s">
        <v>12</v>
      </c>
      <c r="J9662" t="s">
        <v>20432</v>
      </c>
    </row>
    <row r="9663" spans="1:10" x14ac:dyDescent="0.25">
      <c r="A9663">
        <v>5067492</v>
      </c>
      <c r="B9663" t="s">
        <v>10238</v>
      </c>
      <c r="C9663" t="str">
        <f>"9781563437410"</f>
        <v>9781563437410</v>
      </c>
      <c r="D9663" t="str">
        <f>"9781563438189"</f>
        <v>9781563438189</v>
      </c>
      <c r="E9663" t="s">
        <v>10239</v>
      </c>
      <c r="F9663" t="s">
        <v>10239</v>
      </c>
      <c r="G9663" s="1">
        <v>37773</v>
      </c>
      <c r="H9663" s="1">
        <v>43024</v>
      </c>
      <c r="I9663" t="s">
        <v>12</v>
      </c>
      <c r="J9663" t="s">
        <v>20433</v>
      </c>
    </row>
    <row r="9664" spans="1:10" x14ac:dyDescent="0.25">
      <c r="A9664">
        <v>5067682</v>
      </c>
      <c r="B9664" t="s">
        <v>10240</v>
      </c>
      <c r="C9664" t="str">
        <f>"9781563437885"</f>
        <v>9781563437885</v>
      </c>
      <c r="D9664" t="str">
        <f>"9781563438240"</f>
        <v>9781563438240</v>
      </c>
      <c r="E9664" t="s">
        <v>10239</v>
      </c>
      <c r="F9664" t="s">
        <v>10239</v>
      </c>
      <c r="G9664" s="1">
        <v>38991</v>
      </c>
      <c r="H9664" s="1">
        <v>43024</v>
      </c>
      <c r="I9664" t="s">
        <v>12</v>
      </c>
      <c r="J9664" t="s">
        <v>20434</v>
      </c>
    </row>
    <row r="9665" spans="1:10" x14ac:dyDescent="0.25">
      <c r="A9665">
        <v>5067749</v>
      </c>
      <c r="B9665" t="s">
        <v>10241</v>
      </c>
      <c r="C9665" t="str">
        <f>"9781842432334"</f>
        <v>9781842432334</v>
      </c>
      <c r="D9665" t="str">
        <f>"9781848396029"</f>
        <v>9781848396029</v>
      </c>
      <c r="E9665" t="s">
        <v>2244</v>
      </c>
      <c r="F9665" t="s">
        <v>2244</v>
      </c>
      <c r="G9665" s="1">
        <v>40092</v>
      </c>
      <c r="H9665" s="1">
        <v>43024</v>
      </c>
      <c r="I9665" t="s">
        <v>12</v>
      </c>
      <c r="J9665" t="s">
        <v>20435</v>
      </c>
    </row>
    <row r="9666" spans="1:10" x14ac:dyDescent="0.25">
      <c r="A9666">
        <v>5068292</v>
      </c>
      <c r="B9666" t="s">
        <v>10242</v>
      </c>
      <c r="C9666" t="str">
        <f>"9780906522448"</f>
        <v>9780906522448</v>
      </c>
      <c r="D9666" t="str">
        <f>"9780906522479"</f>
        <v>9780906522479</v>
      </c>
      <c r="E9666" t="s">
        <v>10243</v>
      </c>
      <c r="F9666" t="s">
        <v>10243</v>
      </c>
      <c r="G9666" s="1">
        <v>39875</v>
      </c>
      <c r="H9666" s="1">
        <v>43025</v>
      </c>
      <c r="I9666" t="s">
        <v>12</v>
      </c>
      <c r="J9666" t="s">
        <v>20436</v>
      </c>
    </row>
    <row r="9667" spans="1:10" x14ac:dyDescent="0.25">
      <c r="A9667">
        <v>5068543</v>
      </c>
      <c r="B9667" t="s">
        <v>10244</v>
      </c>
      <c r="C9667" t="str">
        <f>"9781426441189"</f>
        <v>9781426441189</v>
      </c>
      <c r="D9667" t="str">
        <f>"9781281750051"</f>
        <v>9781281750051</v>
      </c>
      <c r="E9667" t="s">
        <v>10228</v>
      </c>
      <c r="F9667" t="s">
        <v>10228</v>
      </c>
      <c r="G9667" s="1">
        <v>39366</v>
      </c>
      <c r="H9667" s="1">
        <v>43025</v>
      </c>
      <c r="I9667" t="s">
        <v>12</v>
      </c>
      <c r="J9667" t="s">
        <v>20437</v>
      </c>
    </row>
    <row r="9668" spans="1:10" x14ac:dyDescent="0.25">
      <c r="A9668">
        <v>5068649</v>
      </c>
      <c r="B9668" t="s">
        <v>10245</v>
      </c>
      <c r="C9668" t="str">
        <f>"9781426407550"</f>
        <v>9781426407550</v>
      </c>
      <c r="D9668" t="str">
        <f>"9781281749840"</f>
        <v>9781281749840</v>
      </c>
      <c r="E9668" t="s">
        <v>10228</v>
      </c>
      <c r="F9668" t="s">
        <v>10228</v>
      </c>
      <c r="G9668" s="1">
        <v>39597</v>
      </c>
      <c r="H9668" s="1">
        <v>43025</v>
      </c>
      <c r="I9668" t="s">
        <v>12</v>
      </c>
      <c r="J9668" t="s">
        <v>20438</v>
      </c>
    </row>
    <row r="9669" spans="1:10" x14ac:dyDescent="0.25">
      <c r="A9669">
        <v>5069142</v>
      </c>
      <c r="B9669" t="s">
        <v>10246</v>
      </c>
      <c r="C9669" t="str">
        <f>"9781426407604"</f>
        <v>9781426407604</v>
      </c>
      <c r="D9669" t="str">
        <f>"9781281749895"</f>
        <v>9781281749895</v>
      </c>
      <c r="E9669" t="s">
        <v>10228</v>
      </c>
      <c r="F9669" t="s">
        <v>10228</v>
      </c>
      <c r="G9669" s="1">
        <v>39366</v>
      </c>
      <c r="H9669" s="1">
        <v>43025</v>
      </c>
      <c r="I9669" t="s">
        <v>12</v>
      </c>
      <c r="J9669" t="s">
        <v>20439</v>
      </c>
    </row>
    <row r="9670" spans="1:10" x14ac:dyDescent="0.25">
      <c r="A9670">
        <v>5069145</v>
      </c>
      <c r="B9670" t="s">
        <v>10247</v>
      </c>
      <c r="C9670" t="str">
        <f>""</f>
        <v/>
      </c>
      <c r="D9670" t="str">
        <f>"9780955308819"</f>
        <v>9780955308819</v>
      </c>
      <c r="E9670" t="s">
        <v>10248</v>
      </c>
      <c r="F9670" t="s">
        <v>10248</v>
      </c>
      <c r="G9670" s="1">
        <v>38808</v>
      </c>
      <c r="H9670" s="1">
        <v>43024</v>
      </c>
      <c r="I9670" t="s">
        <v>12</v>
      </c>
      <c r="J9670" t="s">
        <v>20440</v>
      </c>
    </row>
    <row r="9671" spans="1:10" x14ac:dyDescent="0.25">
      <c r="A9671">
        <v>5069196</v>
      </c>
      <c r="B9671" t="s">
        <v>10249</v>
      </c>
      <c r="C9671" t="str">
        <f>"9781426407482"</f>
        <v>9781426407482</v>
      </c>
      <c r="D9671" t="str">
        <f>"9781281749789"</f>
        <v>9781281749789</v>
      </c>
      <c r="E9671" t="s">
        <v>10228</v>
      </c>
      <c r="F9671" t="s">
        <v>10228</v>
      </c>
      <c r="G9671" s="1">
        <v>39448</v>
      </c>
      <c r="H9671" s="1">
        <v>43025</v>
      </c>
      <c r="I9671" t="s">
        <v>12</v>
      </c>
      <c r="J9671" t="s">
        <v>20441</v>
      </c>
    </row>
    <row r="9672" spans="1:10" x14ac:dyDescent="0.25">
      <c r="A9672">
        <v>5069322</v>
      </c>
      <c r="B9672" t="s">
        <v>10250</v>
      </c>
      <c r="C9672" t="str">
        <f>"9781426407147"</f>
        <v>9781426407147</v>
      </c>
      <c r="D9672" t="str">
        <f>"9781281749734"</f>
        <v>9781281749734</v>
      </c>
      <c r="E9672" t="s">
        <v>10228</v>
      </c>
      <c r="F9672" t="s">
        <v>10228</v>
      </c>
      <c r="G9672" s="1">
        <v>39597</v>
      </c>
      <c r="H9672" s="1">
        <v>43025</v>
      </c>
      <c r="I9672" t="s">
        <v>12</v>
      </c>
      <c r="J9672" t="s">
        <v>20442</v>
      </c>
    </row>
    <row r="9673" spans="1:10" x14ac:dyDescent="0.25">
      <c r="A9673">
        <v>5069458</v>
      </c>
      <c r="B9673" t="s">
        <v>10251</v>
      </c>
      <c r="C9673" t="str">
        <f>"9781426419713"</f>
        <v>9781426419713</v>
      </c>
      <c r="D9673" t="str">
        <f>"9781281749963"</f>
        <v>9781281749963</v>
      </c>
      <c r="E9673" t="s">
        <v>10228</v>
      </c>
      <c r="F9673" t="s">
        <v>10228</v>
      </c>
      <c r="G9673" s="1">
        <v>39366</v>
      </c>
      <c r="H9673" s="1">
        <v>43025</v>
      </c>
      <c r="I9673" t="s">
        <v>12</v>
      </c>
      <c r="J9673" t="s">
        <v>20443</v>
      </c>
    </row>
    <row r="9674" spans="1:10" x14ac:dyDescent="0.25">
      <c r="A9674">
        <v>5069559</v>
      </c>
      <c r="B9674" t="s">
        <v>10252</v>
      </c>
      <c r="C9674" t="str">
        <f>"9781426407536"</f>
        <v>9781426407536</v>
      </c>
      <c r="D9674" t="str">
        <f>"9781281749833"</f>
        <v>9781281749833</v>
      </c>
      <c r="E9674" t="s">
        <v>10228</v>
      </c>
      <c r="F9674" t="s">
        <v>10228</v>
      </c>
      <c r="G9674" s="1">
        <v>39597</v>
      </c>
      <c r="H9674" s="1">
        <v>43025</v>
      </c>
      <c r="I9674" t="s">
        <v>12</v>
      </c>
      <c r="J9674" t="s">
        <v>20444</v>
      </c>
    </row>
    <row r="9675" spans="1:10" x14ac:dyDescent="0.25">
      <c r="A9675">
        <v>5070075</v>
      </c>
      <c r="B9675" t="s">
        <v>10253</v>
      </c>
      <c r="C9675" t="str">
        <f>"9781426407635"</f>
        <v>9781426407635</v>
      </c>
      <c r="D9675" t="str">
        <f>"9781281749925"</f>
        <v>9781281749925</v>
      </c>
      <c r="E9675" t="s">
        <v>10228</v>
      </c>
      <c r="F9675" t="s">
        <v>10228</v>
      </c>
      <c r="G9675" s="1">
        <v>39597</v>
      </c>
      <c r="H9675" s="1">
        <v>43025</v>
      </c>
      <c r="I9675" t="s">
        <v>12</v>
      </c>
      <c r="J9675" t="s">
        <v>20445</v>
      </c>
    </row>
    <row r="9676" spans="1:10" x14ac:dyDescent="0.25">
      <c r="A9676">
        <v>5070253</v>
      </c>
      <c r="B9676" t="s">
        <v>10254</v>
      </c>
      <c r="C9676" t="str">
        <f>"9781426453977"</f>
        <v>9781426453977</v>
      </c>
      <c r="D9676" t="str">
        <f>"9781281750099"</f>
        <v>9781281750099</v>
      </c>
      <c r="E9676" t="s">
        <v>10228</v>
      </c>
      <c r="F9676" t="s">
        <v>10228</v>
      </c>
      <c r="G9676" s="1">
        <v>39366</v>
      </c>
      <c r="H9676" s="1">
        <v>43025</v>
      </c>
      <c r="I9676" t="s">
        <v>12</v>
      </c>
      <c r="J9676" t="s">
        <v>20446</v>
      </c>
    </row>
    <row r="9677" spans="1:10" x14ac:dyDescent="0.25">
      <c r="A9677">
        <v>5070687</v>
      </c>
      <c r="B9677" t="s">
        <v>10255</v>
      </c>
      <c r="C9677" t="str">
        <f>"9789071301575"</f>
        <v>9789071301575</v>
      </c>
      <c r="D9677" t="str">
        <f>"9789065622235"</f>
        <v>9789065622235</v>
      </c>
      <c r="E9677" t="s">
        <v>10256</v>
      </c>
      <c r="F9677" t="s">
        <v>10256</v>
      </c>
      <c r="G9677" s="1">
        <v>38619</v>
      </c>
      <c r="H9677" s="1">
        <v>43024</v>
      </c>
      <c r="I9677" t="s">
        <v>12</v>
      </c>
      <c r="J9677" t="s">
        <v>20447</v>
      </c>
    </row>
    <row r="9678" spans="1:10" x14ac:dyDescent="0.25">
      <c r="A9678">
        <v>5071189</v>
      </c>
      <c r="B9678" t="s">
        <v>10257</v>
      </c>
      <c r="C9678" t="str">
        <f>"9781843742197"</f>
        <v>9781843742197</v>
      </c>
      <c r="D9678" t="str">
        <f>"9781843744481"</f>
        <v>9781843744481</v>
      </c>
      <c r="E9678" t="s">
        <v>10258</v>
      </c>
      <c r="F9678" t="s">
        <v>10258</v>
      </c>
      <c r="G9678" s="1">
        <v>41773</v>
      </c>
      <c r="H9678" s="1">
        <v>43025</v>
      </c>
      <c r="I9678" t="s">
        <v>12</v>
      </c>
      <c r="J9678" t="s">
        <v>20448</v>
      </c>
    </row>
    <row r="9679" spans="1:10" x14ac:dyDescent="0.25">
      <c r="A9679">
        <v>5071652</v>
      </c>
      <c r="B9679" t="s">
        <v>10259</v>
      </c>
      <c r="C9679" t="str">
        <f>"9781426430046"</f>
        <v>9781426430046</v>
      </c>
      <c r="D9679" t="str">
        <f>"9781281749987"</f>
        <v>9781281749987</v>
      </c>
      <c r="E9679" t="s">
        <v>10228</v>
      </c>
      <c r="F9679" t="s">
        <v>10228</v>
      </c>
      <c r="G9679" s="1">
        <v>39597</v>
      </c>
      <c r="H9679" s="1">
        <v>43025</v>
      </c>
      <c r="I9679" t="s">
        <v>12</v>
      </c>
      <c r="J9679" t="s">
        <v>20449</v>
      </c>
    </row>
    <row r="9680" spans="1:10" x14ac:dyDescent="0.25">
      <c r="A9680">
        <v>5071725</v>
      </c>
      <c r="B9680" t="s">
        <v>10260</v>
      </c>
      <c r="C9680" t="str">
        <f>"9781426464935"</f>
        <v>9781426464935</v>
      </c>
      <c r="D9680" t="str">
        <f>"9781281750129"</f>
        <v>9781281750129</v>
      </c>
      <c r="E9680" t="s">
        <v>10228</v>
      </c>
      <c r="F9680" t="s">
        <v>10228</v>
      </c>
      <c r="G9680" s="1">
        <v>39366</v>
      </c>
      <c r="H9680" s="1">
        <v>43025</v>
      </c>
      <c r="I9680" t="s">
        <v>12</v>
      </c>
      <c r="J9680" t="s">
        <v>20450</v>
      </c>
    </row>
    <row r="9681" spans="1:10" x14ac:dyDescent="0.25">
      <c r="A9681">
        <v>5072701</v>
      </c>
      <c r="B9681" t="s">
        <v>10261</v>
      </c>
      <c r="C9681" t="str">
        <f>"9781426474972"</f>
        <v>9781426474972</v>
      </c>
      <c r="D9681" t="str">
        <f>"9781281750136"</f>
        <v>9781281750136</v>
      </c>
      <c r="E9681" t="s">
        <v>10228</v>
      </c>
      <c r="F9681" t="s">
        <v>10228</v>
      </c>
      <c r="G9681" s="1">
        <v>39448</v>
      </c>
      <c r="H9681" s="1">
        <v>43025</v>
      </c>
      <c r="I9681" t="s">
        <v>12</v>
      </c>
      <c r="J9681" t="s">
        <v>20451</v>
      </c>
    </row>
    <row r="9682" spans="1:10" x14ac:dyDescent="0.25">
      <c r="A9682">
        <v>5072934</v>
      </c>
      <c r="B9682" t="s">
        <v>10262</v>
      </c>
      <c r="C9682" t="str">
        <f>"9781602670068"</f>
        <v>9781602670068</v>
      </c>
      <c r="D9682" t="str">
        <f>"9781281284075"</f>
        <v>9781281284075</v>
      </c>
      <c r="E9682" t="s">
        <v>10263</v>
      </c>
      <c r="F9682" t="s">
        <v>10263</v>
      </c>
      <c r="G9682" s="1">
        <v>39493</v>
      </c>
      <c r="H9682" s="1">
        <v>1</v>
      </c>
      <c r="I9682" t="s">
        <v>12</v>
      </c>
      <c r="J9682" t="s">
        <v>20452</v>
      </c>
    </row>
    <row r="9683" spans="1:10" x14ac:dyDescent="0.25">
      <c r="A9683">
        <v>5072937</v>
      </c>
      <c r="B9683" t="s">
        <v>10264</v>
      </c>
      <c r="C9683" t="str">
        <f>"9781602670044"</f>
        <v>9781602670044</v>
      </c>
      <c r="D9683" t="str">
        <f>"9781281284105"</f>
        <v>9781281284105</v>
      </c>
      <c r="E9683" t="s">
        <v>10263</v>
      </c>
      <c r="F9683" t="s">
        <v>10265</v>
      </c>
      <c r="G9683" s="1">
        <v>39462</v>
      </c>
      <c r="H9683" s="1">
        <v>43025</v>
      </c>
      <c r="I9683" t="s">
        <v>12</v>
      </c>
      <c r="J9683" t="s">
        <v>20453</v>
      </c>
    </row>
    <row r="9684" spans="1:10" x14ac:dyDescent="0.25">
      <c r="A9684">
        <v>5072939</v>
      </c>
      <c r="B9684" t="s">
        <v>10266</v>
      </c>
      <c r="C9684" t="str">
        <f>"9781602670082"</f>
        <v>9781602670082</v>
      </c>
      <c r="D9684" t="str">
        <f>"9781281284129"</f>
        <v>9781281284129</v>
      </c>
      <c r="E9684" t="s">
        <v>10263</v>
      </c>
      <c r="F9684" t="s">
        <v>10265</v>
      </c>
      <c r="G9684" s="1">
        <v>39462</v>
      </c>
      <c r="H9684" s="1">
        <v>43025</v>
      </c>
      <c r="I9684" t="s">
        <v>12</v>
      </c>
      <c r="J9684" t="s">
        <v>20454</v>
      </c>
    </row>
    <row r="9685" spans="1:10" x14ac:dyDescent="0.25">
      <c r="A9685">
        <v>5073724</v>
      </c>
      <c r="B9685" t="s">
        <v>10267</v>
      </c>
      <c r="C9685" t="str">
        <f>"9781426407109"</f>
        <v>9781426407109</v>
      </c>
      <c r="D9685" t="str">
        <f>"9781281749703"</f>
        <v>9781281749703</v>
      </c>
      <c r="E9685" t="s">
        <v>10228</v>
      </c>
      <c r="F9685" t="s">
        <v>10228</v>
      </c>
      <c r="G9685" s="1">
        <v>39597</v>
      </c>
      <c r="H9685" s="1">
        <v>1</v>
      </c>
      <c r="I9685" t="s">
        <v>12</v>
      </c>
      <c r="J9685" t="s">
        <v>20455</v>
      </c>
    </row>
    <row r="9686" spans="1:10" x14ac:dyDescent="0.25">
      <c r="A9686">
        <v>5073805</v>
      </c>
      <c r="B9686" t="s">
        <v>10268</v>
      </c>
      <c r="C9686" t="str">
        <f>"9789071301681"</f>
        <v>9789071301681</v>
      </c>
      <c r="D9686" t="str">
        <f>"9789065622266"</f>
        <v>9789065622266</v>
      </c>
      <c r="E9686" t="s">
        <v>10256</v>
      </c>
      <c r="F9686" t="s">
        <v>10256</v>
      </c>
      <c r="G9686" s="1">
        <v>38724</v>
      </c>
      <c r="H9686" s="1">
        <v>43025</v>
      </c>
      <c r="I9686" t="s">
        <v>12</v>
      </c>
      <c r="J9686" t="s">
        <v>20456</v>
      </c>
    </row>
    <row r="9687" spans="1:10" x14ac:dyDescent="0.25">
      <c r="A9687">
        <v>5073876</v>
      </c>
      <c r="B9687" t="s">
        <v>10269</v>
      </c>
      <c r="C9687" t="str">
        <f>""</f>
        <v/>
      </c>
      <c r="D9687" t="str">
        <f>"9781281130372"</f>
        <v>9781281130372</v>
      </c>
      <c r="E9687" t="s">
        <v>10270</v>
      </c>
      <c r="F9687" t="s">
        <v>10270</v>
      </c>
      <c r="G9687" s="1">
        <v>39448</v>
      </c>
      <c r="H9687" s="1">
        <v>1</v>
      </c>
      <c r="I9687" t="s">
        <v>12</v>
      </c>
      <c r="J9687" t="s">
        <v>20457</v>
      </c>
    </row>
    <row r="9688" spans="1:10" x14ac:dyDescent="0.25">
      <c r="A9688">
        <v>5073905</v>
      </c>
      <c r="B9688" t="s">
        <v>10271</v>
      </c>
      <c r="C9688" t="str">
        <f>"9780980999501"</f>
        <v>9780980999501</v>
      </c>
      <c r="D9688" t="str">
        <f>"9780980999518"</f>
        <v>9780980999518</v>
      </c>
      <c r="E9688" t="s">
        <v>10232</v>
      </c>
      <c r="F9688" t="s">
        <v>10232</v>
      </c>
      <c r="G9688" s="1">
        <v>39586</v>
      </c>
      <c r="H9688" s="1">
        <v>43026</v>
      </c>
      <c r="I9688" t="s">
        <v>12</v>
      </c>
      <c r="J9688" t="s">
        <v>20458</v>
      </c>
    </row>
    <row r="9689" spans="1:10" x14ac:dyDescent="0.25">
      <c r="A9689">
        <v>5074972</v>
      </c>
      <c r="B9689" t="s">
        <v>10272</v>
      </c>
      <c r="C9689" t="str">
        <f>"9781426428234"</f>
        <v>9781426428234</v>
      </c>
      <c r="D9689" t="str">
        <f>"9781281749970"</f>
        <v>9781281749970</v>
      </c>
      <c r="E9689" t="s">
        <v>10228</v>
      </c>
      <c r="F9689" t="s">
        <v>10228</v>
      </c>
      <c r="G9689" s="1">
        <v>39373</v>
      </c>
      <c r="H9689" s="1">
        <v>1</v>
      </c>
      <c r="I9689" t="s">
        <v>12</v>
      </c>
      <c r="J9689" t="s">
        <v>20459</v>
      </c>
    </row>
    <row r="9690" spans="1:10" x14ac:dyDescent="0.25">
      <c r="A9690">
        <v>5076552</v>
      </c>
      <c r="B9690" t="s">
        <v>10273</v>
      </c>
      <c r="C9690" t="str">
        <f>""</f>
        <v/>
      </c>
      <c r="D9690" t="str">
        <f>"9781280708978"</f>
        <v>9781280708978</v>
      </c>
      <c r="E9690" t="s">
        <v>10234</v>
      </c>
      <c r="F9690" t="s">
        <v>10234</v>
      </c>
      <c r="G9690" s="1">
        <v>37987</v>
      </c>
      <c r="H9690" s="1">
        <v>1</v>
      </c>
      <c r="I9690" t="s">
        <v>12</v>
      </c>
      <c r="J9690" t="s">
        <v>20460</v>
      </c>
    </row>
    <row r="9691" spans="1:10" x14ac:dyDescent="0.25">
      <c r="A9691">
        <v>5076771</v>
      </c>
      <c r="B9691" t="s">
        <v>10274</v>
      </c>
      <c r="C9691" t="str">
        <f>"9781426442254"</f>
        <v>9781426442254</v>
      </c>
      <c r="D9691" t="str">
        <f>"9781281750075"</f>
        <v>9781281750075</v>
      </c>
      <c r="E9691" t="s">
        <v>10228</v>
      </c>
      <c r="F9691" t="s">
        <v>10228</v>
      </c>
      <c r="G9691" s="1">
        <v>39366</v>
      </c>
      <c r="H9691" s="1">
        <v>1</v>
      </c>
      <c r="I9691" t="s">
        <v>12</v>
      </c>
      <c r="J9691" t="s">
        <v>20461</v>
      </c>
    </row>
    <row r="9692" spans="1:10" x14ac:dyDescent="0.25">
      <c r="A9692">
        <v>5076889</v>
      </c>
      <c r="B9692" t="s">
        <v>10275</v>
      </c>
      <c r="C9692" t="str">
        <f>"9781843740728"</f>
        <v>9781843740728</v>
      </c>
      <c r="D9692" t="str">
        <f>"9781843744245"</f>
        <v>9781843744245</v>
      </c>
      <c r="E9692" t="s">
        <v>10258</v>
      </c>
      <c r="F9692" t="s">
        <v>10258</v>
      </c>
      <c r="G9692" s="1">
        <v>41773</v>
      </c>
      <c r="H9692" s="1">
        <v>43025</v>
      </c>
      <c r="I9692" t="s">
        <v>12</v>
      </c>
      <c r="J9692" t="s">
        <v>20462</v>
      </c>
    </row>
    <row r="9693" spans="1:10" x14ac:dyDescent="0.25">
      <c r="A9693">
        <v>5076898</v>
      </c>
      <c r="B9693" t="s">
        <v>10276</v>
      </c>
      <c r="C9693" t="str">
        <f>""</f>
        <v/>
      </c>
      <c r="D9693" t="str">
        <f>"9781280510588"</f>
        <v>9781280510588</v>
      </c>
      <c r="E9693" t="s">
        <v>10277</v>
      </c>
      <c r="F9693" t="s">
        <v>10277</v>
      </c>
      <c r="G9693" s="1">
        <v>38718</v>
      </c>
      <c r="H9693" s="1">
        <v>1</v>
      </c>
      <c r="I9693" t="s">
        <v>12</v>
      </c>
      <c r="J9693" t="s">
        <v>20463</v>
      </c>
    </row>
    <row r="9694" spans="1:10" x14ac:dyDescent="0.25">
      <c r="A9694">
        <v>5077217</v>
      </c>
      <c r="B9694" t="s">
        <v>10278</v>
      </c>
      <c r="C9694" t="str">
        <f>""</f>
        <v/>
      </c>
      <c r="D9694" t="str">
        <f>"9789071301728"</f>
        <v>9789071301728</v>
      </c>
      <c r="E9694" t="s">
        <v>10256</v>
      </c>
      <c r="F9694" t="s">
        <v>10256</v>
      </c>
      <c r="G9694" s="1">
        <v>38718</v>
      </c>
      <c r="H9694" s="1">
        <v>43025</v>
      </c>
      <c r="I9694" t="s">
        <v>12</v>
      </c>
      <c r="J9694" t="s">
        <v>20464</v>
      </c>
    </row>
    <row r="9695" spans="1:10" x14ac:dyDescent="0.25">
      <c r="A9695">
        <v>5077347</v>
      </c>
      <c r="B9695" t="s">
        <v>10279</v>
      </c>
      <c r="C9695" t="str">
        <f>"9781426442186"</f>
        <v>9781426442186</v>
      </c>
      <c r="D9695" t="str">
        <f>"9781281750068"</f>
        <v>9781281750068</v>
      </c>
      <c r="E9695" t="s">
        <v>10228</v>
      </c>
      <c r="F9695" t="s">
        <v>10228</v>
      </c>
      <c r="G9695" s="1">
        <v>39366</v>
      </c>
      <c r="H9695" s="1">
        <v>1</v>
      </c>
      <c r="I9695" t="s">
        <v>12</v>
      </c>
      <c r="J9695" t="s">
        <v>20465</v>
      </c>
    </row>
    <row r="9696" spans="1:10" x14ac:dyDescent="0.25">
      <c r="A9696">
        <v>5077967</v>
      </c>
      <c r="B9696" t="s">
        <v>10280</v>
      </c>
      <c r="C9696" t="str">
        <f>"9781426407581"</f>
        <v>9781426407581</v>
      </c>
      <c r="D9696" t="str">
        <f>"9781281749871"</f>
        <v>9781281749871</v>
      </c>
      <c r="E9696" t="s">
        <v>10228</v>
      </c>
      <c r="F9696" t="s">
        <v>10228</v>
      </c>
      <c r="G9696" s="1">
        <v>39366</v>
      </c>
      <c r="H9696" s="1">
        <v>1</v>
      </c>
      <c r="I9696" t="s">
        <v>12</v>
      </c>
      <c r="J9696" t="s">
        <v>20466</v>
      </c>
    </row>
    <row r="9697" spans="1:10" x14ac:dyDescent="0.25">
      <c r="A9697">
        <v>5078161</v>
      </c>
      <c r="B9697" t="s">
        <v>10281</v>
      </c>
      <c r="C9697" t="str">
        <f>"9780906522349"</f>
        <v>9780906522349</v>
      </c>
      <c r="D9697" t="str">
        <f>"9781281324337"</f>
        <v>9781281324337</v>
      </c>
      <c r="E9697" t="s">
        <v>10243</v>
      </c>
      <c r="F9697" t="s">
        <v>10243</v>
      </c>
      <c r="G9697" s="1">
        <v>39546</v>
      </c>
      <c r="H9697" s="1">
        <v>1</v>
      </c>
      <c r="I9697" t="s">
        <v>12</v>
      </c>
      <c r="J9697" t="s">
        <v>20467</v>
      </c>
    </row>
    <row r="9698" spans="1:10" x14ac:dyDescent="0.25">
      <c r="A9698">
        <v>5078278</v>
      </c>
      <c r="B9698" t="s">
        <v>10282</v>
      </c>
      <c r="C9698" t="str">
        <f>"9781426439162"</f>
        <v>9781426439162</v>
      </c>
      <c r="D9698" t="str">
        <f>"9781281750037"</f>
        <v>9781281750037</v>
      </c>
      <c r="E9698" t="s">
        <v>10228</v>
      </c>
      <c r="F9698" t="s">
        <v>10228</v>
      </c>
      <c r="G9698" s="1">
        <v>39597</v>
      </c>
      <c r="H9698" s="1">
        <v>1</v>
      </c>
      <c r="I9698" t="s">
        <v>12</v>
      </c>
      <c r="J9698" t="s">
        <v>20468</v>
      </c>
    </row>
    <row r="9699" spans="1:10" x14ac:dyDescent="0.25">
      <c r="A9699">
        <v>5078567</v>
      </c>
      <c r="B9699" t="s">
        <v>10283</v>
      </c>
      <c r="C9699" t="str">
        <f>"9789071301438"</f>
        <v>9789071301438</v>
      </c>
      <c r="D9699" t="str">
        <f>"9789065622143"</f>
        <v>9789065622143</v>
      </c>
      <c r="E9699" t="s">
        <v>10256</v>
      </c>
      <c r="F9699" t="s">
        <v>10256</v>
      </c>
      <c r="G9699" s="1">
        <v>38443</v>
      </c>
      <c r="H9699" s="1">
        <v>43025</v>
      </c>
      <c r="I9699" t="s">
        <v>12</v>
      </c>
      <c r="J9699" t="s">
        <v>20469</v>
      </c>
    </row>
    <row r="9700" spans="1:10" x14ac:dyDescent="0.25">
      <c r="A9700">
        <v>5078750</v>
      </c>
      <c r="B9700" t="s">
        <v>10284</v>
      </c>
      <c r="C9700" t="str">
        <f>"9781426407628"</f>
        <v>9781426407628</v>
      </c>
      <c r="D9700" t="str">
        <f>"9781281749918"</f>
        <v>9781281749918</v>
      </c>
      <c r="E9700" t="s">
        <v>10228</v>
      </c>
      <c r="F9700" t="s">
        <v>10228</v>
      </c>
      <c r="G9700" s="1">
        <v>39597</v>
      </c>
      <c r="H9700" s="1">
        <v>1</v>
      </c>
      <c r="I9700" t="s">
        <v>12</v>
      </c>
      <c r="J9700" t="s">
        <v>20470</v>
      </c>
    </row>
    <row r="9701" spans="1:10" x14ac:dyDescent="0.25">
      <c r="A9701">
        <v>5079405</v>
      </c>
      <c r="B9701" t="s">
        <v>10285</v>
      </c>
      <c r="C9701" t="str">
        <f>"9780978537128"</f>
        <v>9780978537128</v>
      </c>
      <c r="D9701" t="str">
        <f>"9780978537104"</f>
        <v>9780978537104</v>
      </c>
      <c r="E9701" t="s">
        <v>10286</v>
      </c>
      <c r="F9701" t="s">
        <v>10286</v>
      </c>
      <c r="G9701" s="1">
        <v>38718</v>
      </c>
      <c r="H9701" s="1">
        <v>43025</v>
      </c>
      <c r="I9701" t="s">
        <v>12</v>
      </c>
      <c r="J9701" t="s">
        <v>20471</v>
      </c>
    </row>
    <row r="9702" spans="1:10" x14ac:dyDescent="0.25">
      <c r="A9702">
        <v>5079689</v>
      </c>
      <c r="B9702" t="s">
        <v>10287</v>
      </c>
      <c r="C9702" t="str">
        <f>"9781426436031"</f>
        <v>9781426436031</v>
      </c>
      <c r="D9702" t="str">
        <f>"9781281750013"</f>
        <v>9781281750013</v>
      </c>
      <c r="E9702" t="s">
        <v>10228</v>
      </c>
      <c r="F9702" t="s">
        <v>10228</v>
      </c>
      <c r="G9702" s="1">
        <v>39597</v>
      </c>
      <c r="H9702" s="1">
        <v>1</v>
      </c>
      <c r="I9702" t="s">
        <v>12</v>
      </c>
      <c r="J9702" t="s">
        <v>20472</v>
      </c>
    </row>
    <row r="9703" spans="1:10" x14ac:dyDescent="0.25">
      <c r="A9703">
        <v>5080658</v>
      </c>
      <c r="B9703" t="s">
        <v>10288</v>
      </c>
      <c r="C9703" t="str">
        <f>""</f>
        <v/>
      </c>
      <c r="D9703" t="str">
        <f>"9781280709432"</f>
        <v>9781280709432</v>
      </c>
      <c r="E9703" t="s">
        <v>10234</v>
      </c>
      <c r="F9703" t="s">
        <v>10234</v>
      </c>
      <c r="G9703" s="1">
        <v>38718</v>
      </c>
      <c r="H9703" s="1">
        <v>1</v>
      </c>
      <c r="I9703" t="s">
        <v>12</v>
      </c>
      <c r="J9703" t="s">
        <v>20473</v>
      </c>
    </row>
    <row r="9704" spans="1:10" x14ac:dyDescent="0.25">
      <c r="A9704">
        <v>5080795</v>
      </c>
      <c r="B9704" t="s">
        <v>10289</v>
      </c>
      <c r="C9704" t="str">
        <f>"9781426407437"</f>
        <v>9781426407437</v>
      </c>
      <c r="D9704" t="str">
        <f>"9781281749741"</f>
        <v>9781281749741</v>
      </c>
      <c r="E9704" t="s">
        <v>10228</v>
      </c>
      <c r="F9704" t="s">
        <v>10228</v>
      </c>
      <c r="G9704" s="1">
        <v>39597</v>
      </c>
      <c r="H9704" s="1">
        <v>1</v>
      </c>
      <c r="I9704" t="s">
        <v>12</v>
      </c>
      <c r="J9704" t="s">
        <v>20474</v>
      </c>
    </row>
    <row r="9705" spans="1:10" x14ac:dyDescent="0.25">
      <c r="A9705">
        <v>5080956</v>
      </c>
      <c r="B9705" t="s">
        <v>10290</v>
      </c>
      <c r="C9705" t="str">
        <f>"9781563431326"</f>
        <v>9781563431326</v>
      </c>
      <c r="D9705" t="str">
        <f>"9781563438608"</f>
        <v>9781563438608</v>
      </c>
      <c r="E9705" t="s">
        <v>10239</v>
      </c>
      <c r="F9705" t="s">
        <v>10239</v>
      </c>
      <c r="G9705" s="1">
        <v>37135</v>
      </c>
      <c r="H9705" s="1">
        <v>43026</v>
      </c>
      <c r="I9705" t="s">
        <v>12</v>
      </c>
      <c r="J9705" t="s">
        <v>20475</v>
      </c>
    </row>
    <row r="9706" spans="1:10" x14ac:dyDescent="0.25">
      <c r="A9706">
        <v>5080957</v>
      </c>
      <c r="B9706" t="s">
        <v>10291</v>
      </c>
      <c r="C9706" t="str">
        <f>"9781563431357"</f>
        <v>9781563431357</v>
      </c>
      <c r="D9706" t="str">
        <f>"9781563438622"</f>
        <v>9781563438622</v>
      </c>
      <c r="E9706" t="s">
        <v>10239</v>
      </c>
      <c r="F9706" t="s">
        <v>10239</v>
      </c>
      <c r="G9706" s="1">
        <v>37135</v>
      </c>
      <c r="H9706" s="1">
        <v>43026</v>
      </c>
      <c r="I9706" t="s">
        <v>12</v>
      </c>
      <c r="J9706" t="s">
        <v>20476</v>
      </c>
    </row>
    <row r="9707" spans="1:10" x14ac:dyDescent="0.25">
      <c r="A9707">
        <v>5080959</v>
      </c>
      <c r="B9707" t="s">
        <v>10292</v>
      </c>
      <c r="C9707" t="str">
        <f>"9781563437809"</f>
        <v>9781563437809</v>
      </c>
      <c r="D9707" t="str">
        <f>"9781563438011"</f>
        <v>9781563438011</v>
      </c>
      <c r="E9707" t="s">
        <v>10239</v>
      </c>
      <c r="F9707" t="s">
        <v>10239</v>
      </c>
      <c r="G9707" s="1">
        <v>38961</v>
      </c>
      <c r="H9707" s="1">
        <v>43026</v>
      </c>
      <c r="I9707" t="s">
        <v>12</v>
      </c>
      <c r="J9707" t="s">
        <v>20477</v>
      </c>
    </row>
    <row r="9708" spans="1:10" x14ac:dyDescent="0.25">
      <c r="A9708">
        <v>5080960</v>
      </c>
      <c r="B9708" t="s">
        <v>10293</v>
      </c>
      <c r="C9708" t="str">
        <f>"9781563437823"</f>
        <v>9781563437823</v>
      </c>
      <c r="D9708" t="str">
        <f>"9781563438042"</f>
        <v>9781563438042</v>
      </c>
      <c r="E9708" t="s">
        <v>10239</v>
      </c>
      <c r="F9708" t="s">
        <v>10239</v>
      </c>
      <c r="G9708" s="1">
        <v>38384</v>
      </c>
      <c r="H9708" s="1">
        <v>43026</v>
      </c>
      <c r="I9708" t="s">
        <v>12</v>
      </c>
      <c r="J9708" t="s">
        <v>20478</v>
      </c>
    </row>
    <row r="9709" spans="1:10" x14ac:dyDescent="0.25">
      <c r="A9709">
        <v>5080963</v>
      </c>
      <c r="B9709" t="s">
        <v>10294</v>
      </c>
      <c r="C9709" t="str">
        <f>"9781563437656"</f>
        <v>9781563437656</v>
      </c>
      <c r="D9709" t="str">
        <f>"9781563438172"</f>
        <v>9781563438172</v>
      </c>
      <c r="E9709" t="s">
        <v>10239</v>
      </c>
      <c r="F9709" t="s">
        <v>10239</v>
      </c>
      <c r="G9709" s="1">
        <v>38473</v>
      </c>
      <c r="H9709" s="1">
        <v>43026</v>
      </c>
      <c r="I9709" t="s">
        <v>12</v>
      </c>
      <c r="J9709" t="s">
        <v>20479</v>
      </c>
    </row>
    <row r="9710" spans="1:10" x14ac:dyDescent="0.25">
      <c r="A9710">
        <v>5080964</v>
      </c>
      <c r="B9710" t="s">
        <v>10295</v>
      </c>
      <c r="C9710" t="str">
        <f>"9781563437670"</f>
        <v>9781563437670</v>
      </c>
      <c r="D9710" t="str">
        <f>"9781563438196"</f>
        <v>9781563438196</v>
      </c>
      <c r="E9710" t="s">
        <v>10239</v>
      </c>
      <c r="F9710" t="s">
        <v>10239</v>
      </c>
      <c r="G9710" s="1">
        <v>37773</v>
      </c>
      <c r="H9710" s="1">
        <v>43026</v>
      </c>
      <c r="I9710" t="s">
        <v>12</v>
      </c>
      <c r="J9710" t="s">
        <v>20480</v>
      </c>
    </row>
    <row r="9711" spans="1:10" x14ac:dyDescent="0.25">
      <c r="A9711">
        <v>5080965</v>
      </c>
      <c r="B9711" t="s">
        <v>10296</v>
      </c>
      <c r="C9711" t="str">
        <f>"9781563438318"</f>
        <v>9781563438318</v>
      </c>
      <c r="D9711" t="str">
        <f>"9781563438431"</f>
        <v>9781563438431</v>
      </c>
      <c r="E9711" t="s">
        <v>10239</v>
      </c>
      <c r="F9711" t="s">
        <v>10239</v>
      </c>
      <c r="G9711" s="1">
        <v>38078</v>
      </c>
      <c r="H9711" s="1">
        <v>43026</v>
      </c>
      <c r="I9711" t="s">
        <v>12</v>
      </c>
      <c r="J9711" t="s">
        <v>20481</v>
      </c>
    </row>
    <row r="9712" spans="1:10" x14ac:dyDescent="0.25">
      <c r="A9712">
        <v>5081293</v>
      </c>
      <c r="B9712" t="s">
        <v>10297</v>
      </c>
      <c r="C9712" t="str">
        <f>"9781426407512"</f>
        <v>9781426407512</v>
      </c>
      <c r="D9712" t="str">
        <f>"9781281749819"</f>
        <v>9781281749819</v>
      </c>
      <c r="E9712" t="s">
        <v>10228</v>
      </c>
      <c r="F9712" t="s">
        <v>10228</v>
      </c>
      <c r="G9712" s="1">
        <v>39597</v>
      </c>
      <c r="H9712" s="1">
        <v>1</v>
      </c>
      <c r="I9712" t="s">
        <v>12</v>
      </c>
      <c r="J9712" t="s">
        <v>20482</v>
      </c>
    </row>
    <row r="9713" spans="1:10" x14ac:dyDescent="0.25">
      <c r="A9713">
        <v>5081764</v>
      </c>
      <c r="B9713" t="s">
        <v>10298</v>
      </c>
      <c r="C9713" t="str">
        <f>"9781843742005"</f>
        <v>9781843742005</v>
      </c>
      <c r="D9713" t="str">
        <f>"9781843744467"</f>
        <v>9781843744467</v>
      </c>
      <c r="E9713" t="s">
        <v>10258</v>
      </c>
      <c r="F9713" t="s">
        <v>10258</v>
      </c>
      <c r="G9713" s="1">
        <v>41773</v>
      </c>
      <c r="H9713" s="1">
        <v>43025</v>
      </c>
      <c r="I9713" t="s">
        <v>12</v>
      </c>
      <c r="J9713" t="s">
        <v>20483</v>
      </c>
    </row>
    <row r="9714" spans="1:10" x14ac:dyDescent="0.25">
      <c r="A9714">
        <v>5081926</v>
      </c>
      <c r="B9714" t="s">
        <v>10299</v>
      </c>
      <c r="C9714" t="str">
        <f>"9789071301582"</f>
        <v>9789071301582</v>
      </c>
      <c r="D9714" t="str">
        <f>"9789065622242"</f>
        <v>9789065622242</v>
      </c>
      <c r="E9714" t="s">
        <v>10256</v>
      </c>
      <c r="F9714" t="s">
        <v>10256</v>
      </c>
      <c r="G9714" s="1">
        <v>38720</v>
      </c>
      <c r="H9714" s="1">
        <v>43025</v>
      </c>
      <c r="I9714" t="s">
        <v>12</v>
      </c>
      <c r="J9714" t="s">
        <v>20484</v>
      </c>
    </row>
    <row r="9715" spans="1:10" x14ac:dyDescent="0.25">
      <c r="A9715">
        <v>5082073</v>
      </c>
      <c r="B9715" t="s">
        <v>10300</v>
      </c>
      <c r="C9715" t="str">
        <f>"9781426407024"</f>
        <v>9781426407024</v>
      </c>
      <c r="D9715" t="str">
        <f>"9781281749666"</f>
        <v>9781281749666</v>
      </c>
      <c r="E9715" t="s">
        <v>10228</v>
      </c>
      <c r="F9715" t="s">
        <v>10228</v>
      </c>
      <c r="G9715" s="1">
        <v>39597</v>
      </c>
      <c r="H9715" s="1">
        <v>1</v>
      </c>
      <c r="I9715" t="s">
        <v>12</v>
      </c>
      <c r="J9715" t="s">
        <v>20485</v>
      </c>
    </row>
    <row r="9716" spans="1:10" x14ac:dyDescent="0.25">
      <c r="A9716">
        <v>5082534</v>
      </c>
      <c r="B9716" t="s">
        <v>10301</v>
      </c>
      <c r="C9716" t="str">
        <f>"9781426414237"</f>
        <v>9781426414237</v>
      </c>
      <c r="D9716" t="str">
        <f>"9781281749949"</f>
        <v>9781281749949</v>
      </c>
      <c r="E9716" t="s">
        <v>10228</v>
      </c>
      <c r="F9716" t="s">
        <v>10228</v>
      </c>
      <c r="G9716" s="1">
        <v>39366</v>
      </c>
      <c r="H9716" s="1">
        <v>1</v>
      </c>
      <c r="I9716" t="s">
        <v>12</v>
      </c>
      <c r="J9716" t="s">
        <v>20486</v>
      </c>
    </row>
    <row r="9717" spans="1:10" x14ac:dyDescent="0.25">
      <c r="A9717">
        <v>5088692</v>
      </c>
      <c r="B9717" t="s">
        <v>10302</v>
      </c>
      <c r="C9717" t="str">
        <f>"9789041198273"</f>
        <v>9789041198273</v>
      </c>
      <c r="D9717" t="str">
        <f>"9781280835780"</f>
        <v>9781280835780</v>
      </c>
      <c r="E9717" t="s">
        <v>10303</v>
      </c>
      <c r="F9717" t="s">
        <v>10303</v>
      </c>
      <c r="G9717" s="1">
        <v>37196</v>
      </c>
      <c r="H9717" s="1">
        <v>43026</v>
      </c>
      <c r="I9717" t="s">
        <v>12</v>
      </c>
      <c r="J9717" t="s">
        <v>20487</v>
      </c>
    </row>
    <row r="9718" spans="1:10" x14ac:dyDescent="0.25">
      <c r="A9718">
        <v>5088977</v>
      </c>
      <c r="B9718" t="s">
        <v>10304</v>
      </c>
      <c r="C9718" t="str">
        <f>"9789041189028"</f>
        <v>9789041189028</v>
      </c>
      <c r="D9718" t="str">
        <f>"9781280835766"</f>
        <v>9781280835766</v>
      </c>
      <c r="E9718" t="s">
        <v>10303</v>
      </c>
      <c r="F9718" t="s">
        <v>10303</v>
      </c>
      <c r="G9718" s="1">
        <v>37710</v>
      </c>
      <c r="H9718" s="1">
        <v>43026</v>
      </c>
      <c r="I9718" t="s">
        <v>12</v>
      </c>
      <c r="J9718" t="s">
        <v>20488</v>
      </c>
    </row>
    <row r="9719" spans="1:10" x14ac:dyDescent="0.25">
      <c r="A9719">
        <v>5089016</v>
      </c>
      <c r="B9719" t="s">
        <v>10305</v>
      </c>
      <c r="C9719" t="str">
        <f>"9789041114259"</f>
        <v>9789041114259</v>
      </c>
      <c r="D9719" t="str">
        <f>"9781280837463"</f>
        <v>9781280837463</v>
      </c>
      <c r="E9719" t="s">
        <v>10303</v>
      </c>
      <c r="F9719" t="s">
        <v>10303</v>
      </c>
      <c r="G9719" s="1">
        <v>37006</v>
      </c>
      <c r="H9719" s="1">
        <v>43026</v>
      </c>
      <c r="I9719" t="s">
        <v>12</v>
      </c>
      <c r="J9719" t="s">
        <v>20489</v>
      </c>
    </row>
    <row r="9720" spans="1:10" x14ac:dyDescent="0.25">
      <c r="A9720">
        <v>5120147</v>
      </c>
      <c r="B9720" t="s">
        <v>10306</v>
      </c>
      <c r="C9720" t="str">
        <f>"9780849372544"</f>
        <v>9780849372544</v>
      </c>
      <c r="D9720" t="str">
        <f>"9781280733314"</f>
        <v>9781280733314</v>
      </c>
      <c r="E9720" t="s">
        <v>144</v>
      </c>
      <c r="F9720" t="s">
        <v>139</v>
      </c>
      <c r="G9720" s="1">
        <v>39070</v>
      </c>
      <c r="H9720" s="1">
        <v>1</v>
      </c>
      <c r="I9720" t="s">
        <v>12</v>
      </c>
      <c r="J9720" t="s">
        <v>20490</v>
      </c>
    </row>
    <row r="9721" spans="1:10" x14ac:dyDescent="0.25">
      <c r="A9721">
        <v>5120156</v>
      </c>
      <c r="B9721" t="s">
        <v>10307</v>
      </c>
      <c r="C9721" t="str">
        <f>"9780748620180"</f>
        <v>9780748620180</v>
      </c>
      <c r="D9721" t="str">
        <f>"9781280553936"</f>
        <v>9781280553936</v>
      </c>
      <c r="E9721" t="s">
        <v>1942</v>
      </c>
      <c r="F9721" t="s">
        <v>1942</v>
      </c>
      <c r="G9721" s="1">
        <v>38856</v>
      </c>
      <c r="H9721" s="1">
        <v>1</v>
      </c>
      <c r="I9721" t="s">
        <v>12</v>
      </c>
      <c r="J9721" t="s">
        <v>20491</v>
      </c>
    </row>
    <row r="9722" spans="1:10" x14ac:dyDescent="0.25">
      <c r="A9722">
        <v>5120157</v>
      </c>
      <c r="B9722" t="s">
        <v>10308</v>
      </c>
      <c r="C9722" t="str">
        <f>"9780748624805"</f>
        <v>9780748624805</v>
      </c>
      <c r="D9722" t="str">
        <f>"9781280538506"</f>
        <v>9781280538506</v>
      </c>
      <c r="E9722" t="s">
        <v>1942</v>
      </c>
      <c r="F9722" t="s">
        <v>1942</v>
      </c>
      <c r="G9722" s="1">
        <v>39052</v>
      </c>
      <c r="H9722" s="1">
        <v>1</v>
      </c>
      <c r="I9722" t="s">
        <v>12</v>
      </c>
      <c r="J9722" t="s">
        <v>20492</v>
      </c>
    </row>
    <row r="9723" spans="1:10" x14ac:dyDescent="0.25">
      <c r="A9723">
        <v>5120159</v>
      </c>
      <c r="B9723" t="s">
        <v>10309</v>
      </c>
      <c r="C9723" t="str">
        <f>"9780748612628"</f>
        <v>9780748612628</v>
      </c>
      <c r="D9723" t="str">
        <f>"9781280553875"</f>
        <v>9781280553875</v>
      </c>
      <c r="E9723" t="s">
        <v>1942</v>
      </c>
      <c r="F9723" t="s">
        <v>1942</v>
      </c>
      <c r="G9723" s="1">
        <v>38789</v>
      </c>
      <c r="H9723" s="1">
        <v>1</v>
      </c>
      <c r="I9723" t="s">
        <v>12</v>
      </c>
      <c r="J9723" t="s">
        <v>20493</v>
      </c>
    </row>
    <row r="9724" spans="1:10" x14ac:dyDescent="0.25">
      <c r="A9724">
        <v>5120161</v>
      </c>
      <c r="B9724" t="s">
        <v>10310</v>
      </c>
      <c r="C9724" t="str">
        <f>"9780748616329"</f>
        <v>9780748616329</v>
      </c>
      <c r="D9724" t="str">
        <f>"9781280553899"</f>
        <v>9781280553899</v>
      </c>
      <c r="E9724" t="s">
        <v>1942</v>
      </c>
      <c r="F9724" t="s">
        <v>1942</v>
      </c>
      <c r="G9724" s="1">
        <v>38838</v>
      </c>
      <c r="H9724" s="1">
        <v>1</v>
      </c>
      <c r="I9724" t="s">
        <v>12</v>
      </c>
      <c r="J9724" t="s">
        <v>20494</v>
      </c>
    </row>
    <row r="9725" spans="1:10" x14ac:dyDescent="0.25">
      <c r="A9725">
        <v>5120163</v>
      </c>
      <c r="B9725" t="s">
        <v>10311</v>
      </c>
      <c r="C9725" t="str">
        <f>"9780748619580"</f>
        <v>9780748619580</v>
      </c>
      <c r="D9725" t="str">
        <f>"9781280553929"</f>
        <v>9781280553929</v>
      </c>
      <c r="E9725" t="s">
        <v>1942</v>
      </c>
      <c r="F9725" t="s">
        <v>1942</v>
      </c>
      <c r="G9725" s="1">
        <v>38636</v>
      </c>
      <c r="H9725" s="1">
        <v>1</v>
      </c>
      <c r="I9725" t="s">
        <v>12</v>
      </c>
      <c r="J9725" t="s">
        <v>20495</v>
      </c>
    </row>
    <row r="9726" spans="1:10" x14ac:dyDescent="0.25">
      <c r="A9726">
        <v>5120485</v>
      </c>
      <c r="B9726" t="s">
        <v>10312</v>
      </c>
      <c r="C9726" t="str">
        <f>"9781593113216"</f>
        <v>9781593113216</v>
      </c>
      <c r="D9726" t="str">
        <f>"9781281362414"</f>
        <v>9781281362414</v>
      </c>
      <c r="E9726" t="s">
        <v>8778</v>
      </c>
      <c r="F9726" t="s">
        <v>9890</v>
      </c>
      <c r="G9726" s="1">
        <v>38384</v>
      </c>
      <c r="H9726" s="1">
        <v>1</v>
      </c>
      <c r="I9726" t="s">
        <v>12</v>
      </c>
      <c r="J9726" t="s">
        <v>20496</v>
      </c>
    </row>
    <row r="9727" spans="1:10" x14ac:dyDescent="0.25">
      <c r="A9727">
        <v>5121565</v>
      </c>
      <c r="B9727" t="s">
        <v>10313</v>
      </c>
      <c r="C9727" t="str">
        <f>"9780195301649"</f>
        <v>9780195301649</v>
      </c>
      <c r="D9727" t="str">
        <f>"9781280907937"</f>
        <v>9781280907937</v>
      </c>
      <c r="E9727" t="s">
        <v>1133</v>
      </c>
      <c r="F9727" t="s">
        <v>5318</v>
      </c>
      <c r="G9727" s="1">
        <v>39052</v>
      </c>
      <c r="H9727" s="1">
        <v>1</v>
      </c>
      <c r="I9727" t="s">
        <v>12</v>
      </c>
      <c r="J9727" t="s">
        <v>20497</v>
      </c>
    </row>
    <row r="9728" spans="1:10" x14ac:dyDescent="0.25">
      <c r="A9728">
        <v>5121570</v>
      </c>
      <c r="B9728" t="s">
        <v>10314</v>
      </c>
      <c r="C9728" t="str">
        <f>"9780199277100"</f>
        <v>9780199277100</v>
      </c>
      <c r="D9728" t="str">
        <f>"9781280905858"</f>
        <v>9781280905858</v>
      </c>
      <c r="E9728" t="s">
        <v>1133</v>
      </c>
      <c r="F9728" t="s">
        <v>5645</v>
      </c>
      <c r="G9728" s="1">
        <v>39037</v>
      </c>
      <c r="H9728" s="1">
        <v>1</v>
      </c>
      <c r="I9728" t="s">
        <v>12</v>
      </c>
      <c r="J9728" t="s">
        <v>20498</v>
      </c>
    </row>
    <row r="9729" spans="1:10" x14ac:dyDescent="0.25">
      <c r="A9729">
        <v>5121575</v>
      </c>
      <c r="B9729" t="s">
        <v>10315</v>
      </c>
      <c r="C9729" t="str">
        <f>"9780199271580"</f>
        <v>9780199271580</v>
      </c>
      <c r="D9729" t="str">
        <f>"9780191556623"</f>
        <v>9780191556623</v>
      </c>
      <c r="E9729" t="s">
        <v>1133</v>
      </c>
      <c r="F9729" t="s">
        <v>1133</v>
      </c>
      <c r="G9729" s="1">
        <v>39783</v>
      </c>
      <c r="H9729" s="1">
        <v>1</v>
      </c>
      <c r="I9729" t="s">
        <v>12</v>
      </c>
      <c r="J9729" t="s">
        <v>20499</v>
      </c>
    </row>
    <row r="9730" spans="1:10" x14ac:dyDescent="0.25">
      <c r="A9730">
        <v>5121578</v>
      </c>
      <c r="B9730" t="s">
        <v>10316</v>
      </c>
      <c r="C9730" t="str">
        <f>"9780198515760"</f>
        <v>9780198515760</v>
      </c>
      <c r="D9730" t="str">
        <f>"9781280752285"</f>
        <v>9781280752285</v>
      </c>
      <c r="E9730" t="s">
        <v>1133</v>
      </c>
      <c r="F9730" t="s">
        <v>5318</v>
      </c>
      <c r="G9730" s="1">
        <v>37994</v>
      </c>
      <c r="H9730" s="1">
        <v>1</v>
      </c>
      <c r="I9730" t="s">
        <v>12</v>
      </c>
      <c r="J9730" t="s">
        <v>20500</v>
      </c>
    </row>
    <row r="9731" spans="1:10" x14ac:dyDescent="0.25">
      <c r="A9731">
        <v>5121579</v>
      </c>
      <c r="B9731" t="s">
        <v>10317</v>
      </c>
      <c r="C9731" t="str">
        <f>"9780195095975"</f>
        <v>9780195095975</v>
      </c>
      <c r="D9731" t="str">
        <f>"9781280533617"</f>
        <v>9781280533617</v>
      </c>
      <c r="E9731" t="s">
        <v>1133</v>
      </c>
      <c r="F9731" t="s">
        <v>5318</v>
      </c>
      <c r="G9731" s="1">
        <v>35152</v>
      </c>
      <c r="H9731" s="1">
        <v>1</v>
      </c>
      <c r="I9731" t="s">
        <v>12</v>
      </c>
      <c r="J9731" t="s">
        <v>20501</v>
      </c>
    </row>
    <row r="9732" spans="1:10" x14ac:dyDescent="0.25">
      <c r="A9732">
        <v>5121583</v>
      </c>
      <c r="B9732" t="s">
        <v>10318</v>
      </c>
      <c r="C9732" t="str">
        <f>"9780195159172"</f>
        <v>9780195159172</v>
      </c>
      <c r="D9732" t="str">
        <f>"9781280914508"</f>
        <v>9781280914508</v>
      </c>
      <c r="E9732" t="s">
        <v>1133</v>
      </c>
      <c r="F9732" t="s">
        <v>5318</v>
      </c>
      <c r="G9732" s="1">
        <v>39059</v>
      </c>
      <c r="H9732" s="1">
        <v>1</v>
      </c>
      <c r="I9732" t="s">
        <v>12</v>
      </c>
      <c r="J9732" t="s">
        <v>20502</v>
      </c>
    </row>
    <row r="9733" spans="1:10" x14ac:dyDescent="0.25">
      <c r="A9733">
        <v>5121620</v>
      </c>
      <c r="B9733" t="s">
        <v>10319</v>
      </c>
      <c r="C9733" t="str">
        <f>"9780863723087"</f>
        <v>9780863723087</v>
      </c>
      <c r="D9733" t="str">
        <f>"9781281356949"</f>
        <v>9781281356949</v>
      </c>
      <c r="E9733" t="s">
        <v>10320</v>
      </c>
      <c r="F9733" t="s">
        <v>10321</v>
      </c>
      <c r="G9733" s="1">
        <v>36161</v>
      </c>
      <c r="H9733" s="1">
        <v>1</v>
      </c>
      <c r="I9733" t="s">
        <v>12</v>
      </c>
      <c r="J9733" t="s">
        <v>20503</v>
      </c>
    </row>
    <row r="9734" spans="1:10" x14ac:dyDescent="0.25">
      <c r="A9734">
        <v>5121626</v>
      </c>
      <c r="B9734" t="s">
        <v>10322</v>
      </c>
      <c r="C9734" t="str">
        <f>"9780863723186"</f>
        <v>9780863723186</v>
      </c>
      <c r="D9734" t="str">
        <f>"9781281357090"</f>
        <v>9781281357090</v>
      </c>
      <c r="E9734" t="s">
        <v>10320</v>
      </c>
      <c r="F9734" t="s">
        <v>10321</v>
      </c>
      <c r="G9734" s="1">
        <v>39173</v>
      </c>
      <c r="H9734" s="1">
        <v>1</v>
      </c>
      <c r="I9734" t="s">
        <v>12</v>
      </c>
      <c r="J9734" t="s">
        <v>20504</v>
      </c>
    </row>
    <row r="9735" spans="1:10" x14ac:dyDescent="0.25">
      <c r="A9735">
        <v>5121638</v>
      </c>
      <c r="B9735" t="s">
        <v>10323</v>
      </c>
      <c r="C9735" t="str">
        <f>"9780863723056"</f>
        <v>9780863723056</v>
      </c>
      <c r="D9735" t="str">
        <f>"9781281356925"</f>
        <v>9781281356925</v>
      </c>
      <c r="E9735" t="s">
        <v>10320</v>
      </c>
      <c r="F9735" t="s">
        <v>10321</v>
      </c>
      <c r="G9735" s="1">
        <v>36161</v>
      </c>
      <c r="H9735" s="1">
        <v>1</v>
      </c>
      <c r="I9735" t="s">
        <v>12</v>
      </c>
      <c r="J9735" t="s">
        <v>20505</v>
      </c>
    </row>
    <row r="9736" spans="1:10" x14ac:dyDescent="0.25">
      <c r="A9736">
        <v>5121690</v>
      </c>
      <c r="B9736" t="s">
        <v>10324</v>
      </c>
      <c r="C9736" t="str">
        <f>"9780415357906"</f>
        <v>9780415357906</v>
      </c>
      <c r="D9736" t="str">
        <f>"9780203003886"</f>
        <v>9780203003886</v>
      </c>
      <c r="E9736" t="s">
        <v>15</v>
      </c>
      <c r="F9736" t="s">
        <v>153</v>
      </c>
      <c r="G9736" s="1">
        <v>38475</v>
      </c>
      <c r="H9736" s="1">
        <v>1</v>
      </c>
      <c r="I9736" t="s">
        <v>12</v>
      </c>
      <c r="J9736" t="s">
        <v>20506</v>
      </c>
    </row>
    <row r="9737" spans="1:10" x14ac:dyDescent="0.25">
      <c r="A9737">
        <v>5121698</v>
      </c>
      <c r="B9737" t="s">
        <v>10325</v>
      </c>
      <c r="C9737" t="str">
        <f>"9780415173551"</f>
        <v>9780415173551</v>
      </c>
      <c r="D9737" t="str">
        <f>"9780203430200"</f>
        <v>9780203430200</v>
      </c>
      <c r="E9737" t="s">
        <v>15</v>
      </c>
      <c r="F9737" t="s">
        <v>153</v>
      </c>
      <c r="G9737" s="1">
        <v>35068</v>
      </c>
      <c r="H9737" s="1">
        <v>1</v>
      </c>
      <c r="I9737" t="s">
        <v>12</v>
      </c>
      <c r="J9737" t="s">
        <v>20507</v>
      </c>
    </row>
    <row r="9738" spans="1:10" x14ac:dyDescent="0.25">
      <c r="A9738">
        <v>5121721</v>
      </c>
      <c r="B9738" t="s">
        <v>10326</v>
      </c>
      <c r="C9738" t="str">
        <f>"9780415356510"</f>
        <v>9780415356510</v>
      </c>
      <c r="D9738" t="str">
        <f>"9780203428665"</f>
        <v>9780203428665</v>
      </c>
      <c r="E9738" t="s">
        <v>15</v>
      </c>
      <c r="F9738" t="s">
        <v>153</v>
      </c>
      <c r="G9738" s="1">
        <v>38464</v>
      </c>
      <c r="H9738" s="1">
        <v>1</v>
      </c>
      <c r="I9738" t="s">
        <v>12</v>
      </c>
      <c r="J9738" t="s">
        <v>20508</v>
      </c>
    </row>
    <row r="9739" spans="1:10" x14ac:dyDescent="0.25">
      <c r="A9739">
        <v>5121726</v>
      </c>
      <c r="B9739" t="s">
        <v>10327</v>
      </c>
      <c r="C9739" t="str">
        <f>"9780415207225"</f>
        <v>9780415207225</v>
      </c>
      <c r="D9739" t="str">
        <f>"9780203996027"</f>
        <v>9780203996027</v>
      </c>
      <c r="E9739" t="s">
        <v>15</v>
      </c>
      <c r="F9739" t="s">
        <v>153</v>
      </c>
      <c r="G9739" s="1">
        <v>37028</v>
      </c>
      <c r="H9739" s="1">
        <v>1</v>
      </c>
      <c r="I9739" t="s">
        <v>12</v>
      </c>
      <c r="J9739" t="s">
        <v>20509</v>
      </c>
    </row>
    <row r="9740" spans="1:10" x14ac:dyDescent="0.25">
      <c r="A9740">
        <v>5121731</v>
      </c>
      <c r="B9740" t="s">
        <v>10328</v>
      </c>
      <c r="C9740" t="str">
        <f>""</f>
        <v/>
      </c>
      <c r="D9740" t="str">
        <f>"9781843146681"</f>
        <v>9781843146681</v>
      </c>
      <c r="E9740" t="s">
        <v>15</v>
      </c>
      <c r="F9740" t="s">
        <v>153</v>
      </c>
      <c r="G9740" s="1">
        <v>41786</v>
      </c>
      <c r="H9740" s="1">
        <v>1</v>
      </c>
      <c r="I9740" t="s">
        <v>12</v>
      </c>
      <c r="J9740" t="s">
        <v>20510</v>
      </c>
    </row>
    <row r="9741" spans="1:10" x14ac:dyDescent="0.25">
      <c r="A9741">
        <v>5121736</v>
      </c>
      <c r="B9741" t="s">
        <v>10329</v>
      </c>
      <c r="C9741" t="str">
        <f>"9780415224390"</f>
        <v>9780415224390</v>
      </c>
      <c r="D9741" t="str">
        <f>"9780203325605"</f>
        <v>9780203325605</v>
      </c>
      <c r="E9741" t="s">
        <v>15</v>
      </c>
      <c r="F9741" t="s">
        <v>153</v>
      </c>
      <c r="G9741" s="1">
        <v>38260</v>
      </c>
      <c r="H9741" s="1">
        <v>1</v>
      </c>
      <c r="I9741" t="s">
        <v>12</v>
      </c>
      <c r="J9741" t="s">
        <v>20511</v>
      </c>
    </row>
    <row r="9742" spans="1:10" x14ac:dyDescent="0.25">
      <c r="A9742">
        <v>5121803</v>
      </c>
      <c r="B9742" t="s">
        <v>10330</v>
      </c>
      <c r="C9742" t="str">
        <f>""</f>
        <v/>
      </c>
      <c r="D9742" t="str">
        <f>"9780203416884"</f>
        <v>9780203416884</v>
      </c>
      <c r="E9742" t="s">
        <v>15</v>
      </c>
      <c r="F9742" t="s">
        <v>153</v>
      </c>
      <c r="G9742" s="1">
        <v>37591</v>
      </c>
      <c r="H9742" s="1">
        <v>1</v>
      </c>
      <c r="I9742" t="s">
        <v>12</v>
      </c>
      <c r="J9742" t="s">
        <v>20512</v>
      </c>
    </row>
    <row r="9743" spans="1:10" x14ac:dyDescent="0.25">
      <c r="A9743">
        <v>5121811</v>
      </c>
      <c r="B9743" t="s">
        <v>10331</v>
      </c>
      <c r="C9743" t="str">
        <f>"9780415110099"</f>
        <v>9780415110099</v>
      </c>
      <c r="D9743" t="str">
        <f>"9780203976302"</f>
        <v>9780203976302</v>
      </c>
      <c r="E9743" t="s">
        <v>15</v>
      </c>
      <c r="F9743" t="s">
        <v>153</v>
      </c>
      <c r="G9743" s="1">
        <v>34638</v>
      </c>
      <c r="H9743" s="1">
        <v>1</v>
      </c>
      <c r="I9743" t="s">
        <v>12</v>
      </c>
      <c r="J9743" t="s">
        <v>20513</v>
      </c>
    </row>
    <row r="9744" spans="1:10" x14ac:dyDescent="0.25">
      <c r="A9744">
        <v>5121895</v>
      </c>
      <c r="B9744" t="s">
        <v>10332</v>
      </c>
      <c r="C9744" t="str">
        <f>"9780415281072"</f>
        <v>9780415281072</v>
      </c>
      <c r="D9744" t="str">
        <f>"9780203346860"</f>
        <v>9780203346860</v>
      </c>
      <c r="E9744" t="s">
        <v>15</v>
      </c>
      <c r="F9744" t="s">
        <v>153</v>
      </c>
      <c r="G9744" s="1">
        <v>38281</v>
      </c>
      <c r="H9744" s="1">
        <v>1</v>
      </c>
      <c r="I9744" t="s">
        <v>12</v>
      </c>
      <c r="J9744" t="s">
        <v>20514</v>
      </c>
    </row>
    <row r="9745" spans="1:10" x14ac:dyDescent="0.25">
      <c r="A9745">
        <v>5121953</v>
      </c>
      <c r="B9745" t="s">
        <v>10333</v>
      </c>
      <c r="C9745" t="str">
        <f>"9780415243605"</f>
        <v>9780415243605</v>
      </c>
      <c r="D9745" t="str">
        <f>"9781134544226"</f>
        <v>9781134544226</v>
      </c>
      <c r="E9745" t="s">
        <v>15</v>
      </c>
      <c r="F9745" t="s">
        <v>16</v>
      </c>
      <c r="G9745" s="1">
        <v>37971</v>
      </c>
      <c r="H9745" s="1">
        <v>1</v>
      </c>
      <c r="I9745" t="s">
        <v>12</v>
      </c>
      <c r="J9745" t="s">
        <v>20515</v>
      </c>
    </row>
    <row r="9746" spans="1:10" x14ac:dyDescent="0.25">
      <c r="A9746">
        <v>5121979</v>
      </c>
      <c r="B9746" t="s">
        <v>10334</v>
      </c>
      <c r="C9746" t="str">
        <f>"9781466519800"</f>
        <v>9781466519800</v>
      </c>
      <c r="D9746" t="str">
        <f>"9780203486856"</f>
        <v>9780203486856</v>
      </c>
      <c r="E9746" t="s">
        <v>15</v>
      </c>
      <c r="F9746" t="s">
        <v>153</v>
      </c>
      <c r="G9746" s="1">
        <v>38705</v>
      </c>
      <c r="H9746" s="1">
        <v>1</v>
      </c>
      <c r="I9746" t="s">
        <v>12</v>
      </c>
      <c r="J9746" t="s">
        <v>20516</v>
      </c>
    </row>
    <row r="9747" spans="1:10" x14ac:dyDescent="0.25">
      <c r="A9747">
        <v>5121987</v>
      </c>
      <c r="B9747" t="s">
        <v>10335</v>
      </c>
      <c r="C9747" t="str">
        <f>"9780754654780"</f>
        <v>9780754654780</v>
      </c>
      <c r="D9747" t="str">
        <f>"9781315592763"</f>
        <v>9781315592763</v>
      </c>
      <c r="E9747" t="s">
        <v>15</v>
      </c>
      <c r="F9747" t="s">
        <v>5544</v>
      </c>
      <c r="G9747" s="1">
        <v>39322</v>
      </c>
      <c r="H9747" s="1">
        <v>1</v>
      </c>
      <c r="I9747" t="s">
        <v>12</v>
      </c>
      <c r="J9747" t="s">
        <v>20517</v>
      </c>
    </row>
    <row r="9748" spans="1:10" x14ac:dyDescent="0.25">
      <c r="A9748">
        <v>5133198</v>
      </c>
      <c r="B9748" t="s">
        <v>10336</v>
      </c>
      <c r="C9748" t="str">
        <f>""</f>
        <v/>
      </c>
      <c r="D9748" t="str">
        <f>"9781280840210"</f>
        <v>9781280840210</v>
      </c>
      <c r="E9748" t="s">
        <v>10337</v>
      </c>
      <c r="F9748" t="s">
        <v>10338</v>
      </c>
      <c r="G9748" s="1">
        <v>38353</v>
      </c>
      <c r="H9748" s="1">
        <v>1</v>
      </c>
      <c r="I9748" t="s">
        <v>12</v>
      </c>
      <c r="J9748" t="s">
        <v>20518</v>
      </c>
    </row>
    <row r="9749" spans="1:10" x14ac:dyDescent="0.25">
      <c r="A9749">
        <v>5134383</v>
      </c>
      <c r="B9749" t="s">
        <v>10339</v>
      </c>
      <c r="C9749" t="str">
        <f>""</f>
        <v/>
      </c>
      <c r="D9749" t="str">
        <f>"9781281075420"</f>
        <v>9781281075420</v>
      </c>
      <c r="E9749" t="s">
        <v>10337</v>
      </c>
      <c r="F9749" t="s">
        <v>10337</v>
      </c>
      <c r="G9749" s="1">
        <v>38718</v>
      </c>
      <c r="H9749" s="1">
        <v>1</v>
      </c>
      <c r="I9749" t="s">
        <v>12</v>
      </c>
      <c r="J9749" t="s">
        <v>20519</v>
      </c>
    </row>
    <row r="9750" spans="1:10" x14ac:dyDescent="0.25">
      <c r="A9750">
        <v>5134452</v>
      </c>
      <c r="B9750" t="s">
        <v>10340</v>
      </c>
      <c r="C9750" t="str">
        <f>""</f>
        <v/>
      </c>
      <c r="D9750" t="str">
        <f>"9781280911859"</f>
        <v>9781280911859</v>
      </c>
      <c r="E9750" t="s">
        <v>10337</v>
      </c>
      <c r="F9750" t="s">
        <v>10341</v>
      </c>
      <c r="G9750" s="1">
        <v>39083</v>
      </c>
      <c r="H9750" s="1">
        <v>1</v>
      </c>
      <c r="I9750" t="s">
        <v>12</v>
      </c>
      <c r="J9750" t="s">
        <v>20520</v>
      </c>
    </row>
    <row r="9751" spans="1:10" x14ac:dyDescent="0.25">
      <c r="A9751">
        <v>5134472</v>
      </c>
      <c r="B9751" t="s">
        <v>10342</v>
      </c>
      <c r="C9751" t="str">
        <f>""</f>
        <v/>
      </c>
      <c r="D9751" t="str">
        <f>"9781281060563"</f>
        <v>9781281060563</v>
      </c>
      <c r="E9751" t="s">
        <v>10337</v>
      </c>
      <c r="F9751" t="s">
        <v>10343</v>
      </c>
      <c r="G9751" s="1">
        <v>39083</v>
      </c>
      <c r="H9751" s="1">
        <v>1</v>
      </c>
      <c r="I9751" t="s">
        <v>12</v>
      </c>
      <c r="J9751" t="s">
        <v>20521</v>
      </c>
    </row>
    <row r="9752" spans="1:10" x14ac:dyDescent="0.25">
      <c r="A9752">
        <v>5134476</v>
      </c>
      <c r="B9752" t="s">
        <v>10344</v>
      </c>
      <c r="C9752" t="str">
        <f>""</f>
        <v/>
      </c>
      <c r="D9752" t="str">
        <f>"9781280848582"</f>
        <v>9781280848582</v>
      </c>
      <c r="E9752" t="s">
        <v>10337</v>
      </c>
      <c r="F9752" t="s">
        <v>10345</v>
      </c>
      <c r="G9752" s="1">
        <v>38718</v>
      </c>
      <c r="H9752" s="1">
        <v>1</v>
      </c>
      <c r="I9752" t="s">
        <v>12</v>
      </c>
      <c r="J9752" t="s">
        <v>20522</v>
      </c>
    </row>
    <row r="9753" spans="1:10" x14ac:dyDescent="0.25">
      <c r="A9753">
        <v>5134495</v>
      </c>
      <c r="B9753" t="s">
        <v>10346</v>
      </c>
      <c r="C9753" t="str">
        <f>""</f>
        <v/>
      </c>
      <c r="D9753" t="str">
        <f>"9781280848513"</f>
        <v>9781280848513</v>
      </c>
      <c r="E9753" t="s">
        <v>10337</v>
      </c>
      <c r="F9753" t="s">
        <v>10345</v>
      </c>
      <c r="G9753" s="1">
        <v>38718</v>
      </c>
      <c r="H9753" s="1">
        <v>43153</v>
      </c>
      <c r="I9753" t="s">
        <v>12</v>
      </c>
      <c r="J9753" t="s">
        <v>20523</v>
      </c>
    </row>
    <row r="9754" spans="1:10" x14ac:dyDescent="0.25">
      <c r="A9754">
        <v>5134497</v>
      </c>
      <c r="B9754" t="s">
        <v>10347</v>
      </c>
      <c r="C9754" t="str">
        <f>""</f>
        <v/>
      </c>
      <c r="D9754" t="str">
        <f>"9781280848544"</f>
        <v>9781280848544</v>
      </c>
      <c r="E9754" t="s">
        <v>10337</v>
      </c>
      <c r="F9754" t="s">
        <v>10348</v>
      </c>
      <c r="G9754" s="1">
        <v>38718</v>
      </c>
      <c r="H9754" s="1">
        <v>1</v>
      </c>
      <c r="I9754" t="s">
        <v>12</v>
      </c>
      <c r="J9754" t="s">
        <v>20524</v>
      </c>
    </row>
    <row r="9755" spans="1:10" x14ac:dyDescent="0.25">
      <c r="A9755">
        <v>5134505</v>
      </c>
      <c r="B9755" t="s">
        <v>10349</v>
      </c>
      <c r="C9755" t="str">
        <f>""</f>
        <v/>
      </c>
      <c r="D9755" t="str">
        <f>"9781281074799"</f>
        <v>9781281074799</v>
      </c>
      <c r="E9755" t="s">
        <v>10337</v>
      </c>
      <c r="F9755" t="s">
        <v>10337</v>
      </c>
      <c r="G9755" s="1">
        <v>38718</v>
      </c>
      <c r="H9755" s="1">
        <v>1</v>
      </c>
      <c r="I9755" t="s">
        <v>12</v>
      </c>
      <c r="J9755" t="s">
        <v>20525</v>
      </c>
    </row>
    <row r="9756" spans="1:10" x14ac:dyDescent="0.25">
      <c r="A9756">
        <v>5134513</v>
      </c>
      <c r="B9756" t="s">
        <v>10350</v>
      </c>
      <c r="C9756" t="str">
        <f>"9780789735713"</f>
        <v>9780789735713</v>
      </c>
      <c r="D9756" t="str">
        <f>"9781281075499"</f>
        <v>9781281075499</v>
      </c>
      <c r="E9756" t="s">
        <v>10337</v>
      </c>
      <c r="F9756" t="s">
        <v>10338</v>
      </c>
      <c r="G9756" s="1">
        <v>39083</v>
      </c>
      <c r="H9756" s="1">
        <v>1</v>
      </c>
      <c r="I9756" t="s">
        <v>12</v>
      </c>
      <c r="J9756" t="s">
        <v>20526</v>
      </c>
    </row>
    <row r="9757" spans="1:10" x14ac:dyDescent="0.25">
      <c r="A9757">
        <v>5134542</v>
      </c>
      <c r="B9757" t="s">
        <v>10351</v>
      </c>
      <c r="C9757" t="str">
        <f>""</f>
        <v/>
      </c>
      <c r="D9757" t="str">
        <f>"9781281060686"</f>
        <v>9781281060686</v>
      </c>
      <c r="E9757" t="s">
        <v>10337</v>
      </c>
      <c r="F9757" t="s">
        <v>10338</v>
      </c>
      <c r="G9757" s="1">
        <v>39083</v>
      </c>
      <c r="H9757" s="1">
        <v>1</v>
      </c>
      <c r="I9757" t="s">
        <v>12</v>
      </c>
      <c r="J9757" t="s">
        <v>20527</v>
      </c>
    </row>
    <row r="9758" spans="1:10" x14ac:dyDescent="0.25">
      <c r="A9758">
        <v>5134552</v>
      </c>
      <c r="B9758" t="s">
        <v>10352</v>
      </c>
      <c r="C9758" t="str">
        <f>""</f>
        <v/>
      </c>
      <c r="D9758" t="str">
        <f>"9781280911880"</f>
        <v>9781280911880</v>
      </c>
      <c r="E9758" t="s">
        <v>10337</v>
      </c>
      <c r="F9758" t="s">
        <v>10343</v>
      </c>
      <c r="G9758" s="1">
        <v>39083</v>
      </c>
      <c r="H9758" s="1">
        <v>1</v>
      </c>
      <c r="I9758" t="s">
        <v>12</v>
      </c>
      <c r="J9758" t="s">
        <v>20528</v>
      </c>
    </row>
    <row r="9759" spans="1:10" x14ac:dyDescent="0.25">
      <c r="A9759">
        <v>5134590</v>
      </c>
      <c r="B9759" t="s">
        <v>10353</v>
      </c>
      <c r="C9759" t="str">
        <f>""</f>
        <v/>
      </c>
      <c r="D9759" t="str">
        <f>"9781280840166"</f>
        <v>9781280840166</v>
      </c>
      <c r="E9759" t="s">
        <v>10337</v>
      </c>
      <c r="F9759" t="s">
        <v>10338</v>
      </c>
      <c r="G9759" s="1">
        <v>37987</v>
      </c>
      <c r="H9759" s="1">
        <v>1</v>
      </c>
      <c r="I9759" t="s">
        <v>12</v>
      </c>
      <c r="J9759" t="s">
        <v>20529</v>
      </c>
    </row>
    <row r="9760" spans="1:10" x14ac:dyDescent="0.25">
      <c r="A9760">
        <v>5134608</v>
      </c>
      <c r="B9760" t="s">
        <v>10354</v>
      </c>
      <c r="C9760" t="str">
        <f>""</f>
        <v/>
      </c>
      <c r="D9760" t="str">
        <f>"9781281060556"</f>
        <v>9781281060556</v>
      </c>
      <c r="E9760" t="s">
        <v>10337</v>
      </c>
      <c r="F9760" t="s">
        <v>10355</v>
      </c>
      <c r="G9760" s="1">
        <v>39083</v>
      </c>
      <c r="H9760" s="1">
        <v>1</v>
      </c>
      <c r="I9760" t="s">
        <v>12</v>
      </c>
      <c r="J9760" t="s">
        <v>20530</v>
      </c>
    </row>
    <row r="9761" spans="1:10" x14ac:dyDescent="0.25">
      <c r="A9761">
        <v>5134612</v>
      </c>
      <c r="B9761" t="s">
        <v>10356</v>
      </c>
      <c r="C9761" t="str">
        <f>""</f>
        <v/>
      </c>
      <c r="D9761" t="str">
        <f>"9781280911927"</f>
        <v>9781280911927</v>
      </c>
      <c r="E9761" t="s">
        <v>10337</v>
      </c>
      <c r="F9761" t="s">
        <v>10357</v>
      </c>
      <c r="G9761" s="1">
        <v>39083</v>
      </c>
      <c r="H9761" s="1">
        <v>1</v>
      </c>
      <c r="I9761" t="s">
        <v>12</v>
      </c>
      <c r="J9761" t="s">
        <v>20531</v>
      </c>
    </row>
    <row r="9762" spans="1:10" x14ac:dyDescent="0.25">
      <c r="A9762">
        <v>5134614</v>
      </c>
      <c r="B9762" t="s">
        <v>10358</v>
      </c>
      <c r="C9762" t="str">
        <f>""</f>
        <v/>
      </c>
      <c r="D9762" t="str">
        <f>"9781280755651"</f>
        <v>9781280755651</v>
      </c>
      <c r="E9762" t="s">
        <v>10337</v>
      </c>
      <c r="F9762" t="s">
        <v>10341</v>
      </c>
      <c r="G9762" s="1">
        <v>38121</v>
      </c>
      <c r="H9762" s="1">
        <v>1</v>
      </c>
      <c r="I9762" t="s">
        <v>12</v>
      </c>
      <c r="J9762" t="s">
        <v>20532</v>
      </c>
    </row>
    <row r="9763" spans="1:10" x14ac:dyDescent="0.25">
      <c r="A9763">
        <v>5134617</v>
      </c>
      <c r="B9763" t="s">
        <v>10359</v>
      </c>
      <c r="C9763" t="str">
        <f>""</f>
        <v/>
      </c>
      <c r="D9763" t="str">
        <f>"9781280851780"</f>
        <v>9781280851780</v>
      </c>
      <c r="E9763" t="s">
        <v>10337</v>
      </c>
      <c r="F9763" t="s">
        <v>10338</v>
      </c>
      <c r="G9763" s="1">
        <v>38265</v>
      </c>
      <c r="H9763" s="1">
        <v>1</v>
      </c>
      <c r="I9763" t="s">
        <v>12</v>
      </c>
      <c r="J9763" t="s">
        <v>20533</v>
      </c>
    </row>
    <row r="9764" spans="1:10" x14ac:dyDescent="0.25">
      <c r="A9764">
        <v>5134647</v>
      </c>
      <c r="B9764" t="s">
        <v>10360</v>
      </c>
      <c r="C9764" t="str">
        <f>""</f>
        <v/>
      </c>
      <c r="D9764" t="str">
        <f>"9781281060730"</f>
        <v>9781281060730</v>
      </c>
      <c r="E9764" t="s">
        <v>10337</v>
      </c>
      <c r="F9764" t="s">
        <v>10338</v>
      </c>
      <c r="G9764" s="1">
        <v>39083</v>
      </c>
      <c r="H9764" s="1">
        <v>43153</v>
      </c>
      <c r="I9764" t="s">
        <v>12</v>
      </c>
      <c r="J9764" t="s">
        <v>20534</v>
      </c>
    </row>
    <row r="9765" spans="1:10" x14ac:dyDescent="0.25">
      <c r="A9765">
        <v>5134670</v>
      </c>
      <c r="B9765" t="s">
        <v>10361</v>
      </c>
      <c r="C9765" t="str">
        <f>""</f>
        <v/>
      </c>
      <c r="D9765" t="str">
        <f>"9781280840074"</f>
        <v>9781280840074</v>
      </c>
      <c r="E9765" t="s">
        <v>10337</v>
      </c>
      <c r="F9765" t="s">
        <v>10338</v>
      </c>
      <c r="G9765" s="1">
        <v>38065</v>
      </c>
      <c r="H9765" s="1">
        <v>1</v>
      </c>
      <c r="I9765" t="s">
        <v>12</v>
      </c>
      <c r="J9765" t="s">
        <v>20535</v>
      </c>
    </row>
    <row r="9766" spans="1:10" x14ac:dyDescent="0.25">
      <c r="A9766">
        <v>5134676</v>
      </c>
      <c r="B9766" t="s">
        <v>10362</v>
      </c>
      <c r="C9766" t="str">
        <f>""</f>
        <v/>
      </c>
      <c r="D9766" t="str">
        <f>"9781281074782"</f>
        <v>9781281074782</v>
      </c>
      <c r="E9766" t="s">
        <v>10337</v>
      </c>
      <c r="F9766" t="s">
        <v>10337</v>
      </c>
      <c r="G9766" s="1">
        <v>38718</v>
      </c>
      <c r="H9766" s="1">
        <v>1</v>
      </c>
      <c r="I9766" t="s">
        <v>12</v>
      </c>
      <c r="J9766" t="s">
        <v>20536</v>
      </c>
    </row>
    <row r="9767" spans="1:10" x14ac:dyDescent="0.25">
      <c r="A9767">
        <v>5134681</v>
      </c>
      <c r="B9767" t="s">
        <v>10363</v>
      </c>
      <c r="C9767" t="str">
        <f>""</f>
        <v/>
      </c>
      <c r="D9767" t="str">
        <f>"9781280911903"</f>
        <v>9781280911903</v>
      </c>
      <c r="E9767" t="s">
        <v>10337</v>
      </c>
      <c r="F9767" t="s">
        <v>10355</v>
      </c>
      <c r="G9767" s="1">
        <v>39083</v>
      </c>
      <c r="H9767" s="1">
        <v>1</v>
      </c>
      <c r="I9767" t="s">
        <v>12</v>
      </c>
      <c r="J9767" t="s">
        <v>20537</v>
      </c>
    </row>
    <row r="9768" spans="1:10" x14ac:dyDescent="0.25">
      <c r="A9768">
        <v>5134708</v>
      </c>
      <c r="B9768" t="s">
        <v>10364</v>
      </c>
      <c r="C9768" t="str">
        <f>""</f>
        <v/>
      </c>
      <c r="D9768" t="str">
        <f>"9781281060693"</f>
        <v>9781281060693</v>
      </c>
      <c r="E9768" t="s">
        <v>10337</v>
      </c>
      <c r="F9768" t="s">
        <v>10338</v>
      </c>
      <c r="G9768" s="1">
        <v>39083</v>
      </c>
      <c r="H9768" s="1">
        <v>1</v>
      </c>
      <c r="I9768" t="s">
        <v>12</v>
      </c>
      <c r="J9768" t="s">
        <v>20538</v>
      </c>
    </row>
    <row r="9769" spans="1:10" x14ac:dyDescent="0.25">
      <c r="A9769">
        <v>5134760</v>
      </c>
      <c r="B9769" t="s">
        <v>10365</v>
      </c>
      <c r="C9769" t="str">
        <f>""</f>
        <v/>
      </c>
      <c r="D9769" t="str">
        <f>"9781280911965"</f>
        <v>9781280911965</v>
      </c>
      <c r="E9769" t="s">
        <v>10337</v>
      </c>
      <c r="F9769" t="s">
        <v>10345</v>
      </c>
      <c r="G9769" s="1">
        <v>39083</v>
      </c>
      <c r="H9769" s="1">
        <v>1</v>
      </c>
      <c r="I9769" t="s">
        <v>12</v>
      </c>
      <c r="J9769" t="s">
        <v>20539</v>
      </c>
    </row>
    <row r="9770" spans="1:10" x14ac:dyDescent="0.25">
      <c r="A9770">
        <v>5134783</v>
      </c>
      <c r="B9770" t="s">
        <v>10366</v>
      </c>
      <c r="C9770" t="str">
        <f>""</f>
        <v/>
      </c>
      <c r="D9770" t="str">
        <f>"9781281060716"</f>
        <v>9781281060716</v>
      </c>
      <c r="E9770" t="s">
        <v>10337</v>
      </c>
      <c r="F9770" t="s">
        <v>10338</v>
      </c>
      <c r="G9770" s="1">
        <v>39083</v>
      </c>
      <c r="H9770" s="1">
        <v>1</v>
      </c>
      <c r="I9770" t="s">
        <v>12</v>
      </c>
      <c r="J9770" t="s">
        <v>20540</v>
      </c>
    </row>
    <row r="9771" spans="1:10" x14ac:dyDescent="0.25">
      <c r="A9771">
        <v>5134793</v>
      </c>
      <c r="B9771" t="s">
        <v>10367</v>
      </c>
      <c r="C9771" t="str">
        <f>""</f>
        <v/>
      </c>
      <c r="D9771" t="str">
        <f>"9781281075222"</f>
        <v>9781281075222</v>
      </c>
      <c r="E9771" t="s">
        <v>10337</v>
      </c>
      <c r="F9771" t="s">
        <v>10337</v>
      </c>
      <c r="G9771" s="1">
        <v>37257</v>
      </c>
      <c r="H9771" s="1">
        <v>1</v>
      </c>
      <c r="I9771" t="s">
        <v>12</v>
      </c>
      <c r="J9771" t="s">
        <v>20541</v>
      </c>
    </row>
    <row r="9772" spans="1:10" x14ac:dyDescent="0.25">
      <c r="A9772">
        <v>5134827</v>
      </c>
      <c r="B9772" t="s">
        <v>10368</v>
      </c>
      <c r="C9772" t="str">
        <f>""</f>
        <v/>
      </c>
      <c r="D9772" t="str">
        <f>"9781281074812"</f>
        <v>9781281074812</v>
      </c>
      <c r="E9772" t="s">
        <v>10337</v>
      </c>
      <c r="F9772" t="s">
        <v>10337</v>
      </c>
      <c r="G9772" s="1">
        <v>38718</v>
      </c>
      <c r="H9772" s="1">
        <v>1</v>
      </c>
      <c r="I9772" t="s">
        <v>12</v>
      </c>
      <c r="J9772" t="s">
        <v>20542</v>
      </c>
    </row>
    <row r="9773" spans="1:10" x14ac:dyDescent="0.25">
      <c r="A9773">
        <v>5134851</v>
      </c>
      <c r="B9773" t="s">
        <v>10369</v>
      </c>
      <c r="C9773" t="str">
        <f>""</f>
        <v/>
      </c>
      <c r="D9773" t="str">
        <f>"9781280911934"</f>
        <v>9781280911934</v>
      </c>
      <c r="E9773" t="s">
        <v>10337</v>
      </c>
      <c r="F9773" t="s">
        <v>10343</v>
      </c>
      <c r="G9773" s="1">
        <v>39083</v>
      </c>
      <c r="H9773" s="1">
        <v>1</v>
      </c>
      <c r="I9773" t="s">
        <v>12</v>
      </c>
      <c r="J9773" t="s">
        <v>20543</v>
      </c>
    </row>
    <row r="9774" spans="1:10" x14ac:dyDescent="0.25">
      <c r="A9774">
        <v>5134856</v>
      </c>
      <c r="B9774" t="s">
        <v>10370</v>
      </c>
      <c r="C9774" t="str">
        <f>""</f>
        <v/>
      </c>
      <c r="D9774" t="str">
        <f>"9781281060600"</f>
        <v>9781281060600</v>
      </c>
      <c r="E9774" t="s">
        <v>10337</v>
      </c>
      <c r="F9774" t="s">
        <v>10343</v>
      </c>
      <c r="G9774" s="1">
        <v>39079</v>
      </c>
      <c r="H9774" s="1">
        <v>1</v>
      </c>
      <c r="I9774" t="s">
        <v>12</v>
      </c>
      <c r="J9774" t="s">
        <v>20544</v>
      </c>
    </row>
    <row r="9775" spans="1:10" x14ac:dyDescent="0.25">
      <c r="A9775">
        <v>5134871</v>
      </c>
      <c r="B9775" t="s">
        <v>10371</v>
      </c>
      <c r="C9775" t="str">
        <f>""</f>
        <v/>
      </c>
      <c r="D9775" t="str">
        <f>"9781280911958"</f>
        <v>9781280911958</v>
      </c>
      <c r="E9775" t="s">
        <v>10337</v>
      </c>
      <c r="F9775" t="s">
        <v>10345</v>
      </c>
      <c r="G9775" s="1">
        <v>39083</v>
      </c>
      <c r="H9775" s="1">
        <v>1</v>
      </c>
      <c r="I9775" t="s">
        <v>12</v>
      </c>
      <c r="J9775" t="s">
        <v>20545</v>
      </c>
    </row>
    <row r="9776" spans="1:10" x14ac:dyDescent="0.25">
      <c r="A9776">
        <v>5134904</v>
      </c>
      <c r="B9776" t="s">
        <v>10372</v>
      </c>
      <c r="C9776" t="str">
        <f>""</f>
        <v/>
      </c>
      <c r="D9776" t="str">
        <f>"9781281074959"</f>
        <v>9781281074959</v>
      </c>
      <c r="E9776" t="s">
        <v>10337</v>
      </c>
      <c r="F9776" t="s">
        <v>10337</v>
      </c>
      <c r="G9776" s="1">
        <v>36526</v>
      </c>
      <c r="H9776" s="1">
        <v>1</v>
      </c>
      <c r="I9776" t="s">
        <v>12</v>
      </c>
      <c r="J9776" t="s">
        <v>20546</v>
      </c>
    </row>
    <row r="9777" spans="1:10" x14ac:dyDescent="0.25">
      <c r="A9777">
        <v>5134923</v>
      </c>
      <c r="B9777" t="s">
        <v>10373</v>
      </c>
      <c r="C9777" t="str">
        <f>""</f>
        <v/>
      </c>
      <c r="D9777" t="str">
        <f>"9781281060518"</f>
        <v>9781281060518</v>
      </c>
      <c r="E9777" t="s">
        <v>10337</v>
      </c>
      <c r="F9777" t="s">
        <v>10374</v>
      </c>
      <c r="G9777" s="1">
        <v>39083</v>
      </c>
      <c r="H9777" s="1">
        <v>1</v>
      </c>
      <c r="I9777" t="s">
        <v>12</v>
      </c>
      <c r="J9777" t="s">
        <v>20547</v>
      </c>
    </row>
    <row r="9778" spans="1:10" x14ac:dyDescent="0.25">
      <c r="A9778">
        <v>5134929</v>
      </c>
      <c r="B9778" t="s">
        <v>10375</v>
      </c>
      <c r="C9778" t="str">
        <f>""</f>
        <v/>
      </c>
      <c r="D9778" t="str">
        <f>"9781280755729"</f>
        <v>9781280755729</v>
      </c>
      <c r="E9778" t="s">
        <v>10337</v>
      </c>
      <c r="F9778" t="s">
        <v>10341</v>
      </c>
      <c r="G9778" s="1">
        <v>38353</v>
      </c>
      <c r="H9778" s="1">
        <v>1</v>
      </c>
      <c r="I9778" t="s">
        <v>12</v>
      </c>
      <c r="J9778" t="s">
        <v>20548</v>
      </c>
    </row>
    <row r="9779" spans="1:10" x14ac:dyDescent="0.25">
      <c r="A9779">
        <v>5134947</v>
      </c>
      <c r="B9779" t="s">
        <v>10376</v>
      </c>
      <c r="C9779" t="str">
        <f>""</f>
        <v/>
      </c>
      <c r="D9779" t="str">
        <f>"9781280848698"</f>
        <v>9781280848698</v>
      </c>
      <c r="E9779" t="s">
        <v>10337</v>
      </c>
      <c r="F9779" t="s">
        <v>10338</v>
      </c>
      <c r="G9779" s="1">
        <v>38718</v>
      </c>
      <c r="H9779" s="1">
        <v>1</v>
      </c>
      <c r="I9779" t="s">
        <v>12</v>
      </c>
      <c r="J9779" t="s">
        <v>20549</v>
      </c>
    </row>
    <row r="9780" spans="1:10" x14ac:dyDescent="0.25">
      <c r="A9780">
        <v>5135001</v>
      </c>
      <c r="B9780" t="s">
        <v>10377</v>
      </c>
      <c r="C9780" t="str">
        <f>""</f>
        <v/>
      </c>
      <c r="D9780" t="str">
        <f>"9781281084705"</f>
        <v>9781281084705</v>
      </c>
      <c r="E9780" t="s">
        <v>10337</v>
      </c>
      <c r="F9780" t="s">
        <v>10337</v>
      </c>
      <c r="G9780" s="1">
        <v>37987</v>
      </c>
      <c r="H9780" s="1">
        <v>1</v>
      </c>
      <c r="I9780" t="s">
        <v>12</v>
      </c>
      <c r="J9780" t="s">
        <v>20550</v>
      </c>
    </row>
    <row r="9781" spans="1:10" x14ac:dyDescent="0.25">
      <c r="A9781">
        <v>5135007</v>
      </c>
      <c r="B9781" t="s">
        <v>10378</v>
      </c>
      <c r="C9781" t="str">
        <f>""</f>
        <v/>
      </c>
      <c r="D9781" t="str">
        <f>"9781280911989"</f>
        <v>9781280911989</v>
      </c>
      <c r="E9781" t="s">
        <v>10337</v>
      </c>
      <c r="F9781" t="s">
        <v>10345</v>
      </c>
      <c r="G9781" s="1">
        <v>39083</v>
      </c>
      <c r="H9781" s="1">
        <v>43153</v>
      </c>
      <c r="I9781" t="s">
        <v>12</v>
      </c>
      <c r="J9781" t="s">
        <v>20551</v>
      </c>
    </row>
    <row r="9782" spans="1:10" x14ac:dyDescent="0.25">
      <c r="A9782">
        <v>5135014</v>
      </c>
      <c r="B9782" t="s">
        <v>10379</v>
      </c>
      <c r="C9782" t="str">
        <f>""</f>
        <v/>
      </c>
      <c r="D9782" t="str">
        <f>"9781280848278"</f>
        <v>9781280848278</v>
      </c>
      <c r="E9782" t="s">
        <v>10337</v>
      </c>
      <c r="F9782" t="s">
        <v>10341</v>
      </c>
      <c r="G9782" s="1">
        <v>39083</v>
      </c>
      <c r="H9782" s="1">
        <v>1</v>
      </c>
      <c r="I9782" t="s">
        <v>12</v>
      </c>
      <c r="J9782" t="s">
        <v>20552</v>
      </c>
    </row>
    <row r="9783" spans="1:10" x14ac:dyDescent="0.25">
      <c r="A9783">
        <v>5135029</v>
      </c>
      <c r="B9783" t="s">
        <v>10380</v>
      </c>
      <c r="C9783" t="str">
        <f>""</f>
        <v/>
      </c>
      <c r="D9783" t="str">
        <f>"9781280840050"</f>
        <v>9781280840050</v>
      </c>
      <c r="E9783" t="s">
        <v>10337</v>
      </c>
      <c r="F9783" t="s">
        <v>10338</v>
      </c>
      <c r="G9783" s="1">
        <v>37987</v>
      </c>
      <c r="H9783" s="1">
        <v>1</v>
      </c>
      <c r="I9783" t="s">
        <v>12</v>
      </c>
      <c r="J9783" t="s">
        <v>20553</v>
      </c>
    </row>
    <row r="9784" spans="1:10" x14ac:dyDescent="0.25">
      <c r="A9784">
        <v>5135038</v>
      </c>
      <c r="B9784" t="s">
        <v>10381</v>
      </c>
      <c r="C9784" t="str">
        <f>""</f>
        <v/>
      </c>
      <c r="D9784" t="str">
        <f>"9781281083920"</f>
        <v>9781281083920</v>
      </c>
      <c r="E9784" t="s">
        <v>10337</v>
      </c>
      <c r="F9784" t="s">
        <v>10337</v>
      </c>
      <c r="G9784" s="1">
        <v>37257</v>
      </c>
      <c r="H9784" s="1">
        <v>1</v>
      </c>
      <c r="I9784" t="s">
        <v>12</v>
      </c>
      <c r="J9784" t="s">
        <v>20554</v>
      </c>
    </row>
    <row r="9785" spans="1:10" x14ac:dyDescent="0.25">
      <c r="A9785">
        <v>5135072</v>
      </c>
      <c r="B9785" t="s">
        <v>10382</v>
      </c>
      <c r="C9785" t="str">
        <f>""</f>
        <v/>
      </c>
      <c r="D9785" t="str">
        <f>"9781281060655"</f>
        <v>9781281060655</v>
      </c>
      <c r="E9785" t="s">
        <v>10337</v>
      </c>
      <c r="F9785" t="s">
        <v>10345</v>
      </c>
      <c r="G9785" s="1">
        <v>39083</v>
      </c>
      <c r="H9785" s="1">
        <v>1</v>
      </c>
      <c r="I9785" t="s">
        <v>12</v>
      </c>
      <c r="J9785" t="s">
        <v>20555</v>
      </c>
    </row>
    <row r="9786" spans="1:10" x14ac:dyDescent="0.25">
      <c r="A9786">
        <v>5135134</v>
      </c>
      <c r="B9786" t="s">
        <v>10383</v>
      </c>
      <c r="C9786" t="str">
        <f>""</f>
        <v/>
      </c>
      <c r="D9786" t="str">
        <f>"9781280851797"</f>
        <v>9781280851797</v>
      </c>
      <c r="E9786" t="s">
        <v>10337</v>
      </c>
      <c r="F9786" t="s">
        <v>10338</v>
      </c>
      <c r="G9786" s="1">
        <v>38265</v>
      </c>
      <c r="H9786" s="1">
        <v>1</v>
      </c>
      <c r="I9786" t="s">
        <v>12</v>
      </c>
      <c r="J9786" t="s">
        <v>20556</v>
      </c>
    </row>
    <row r="9787" spans="1:10" x14ac:dyDescent="0.25">
      <c r="A9787">
        <v>5135136</v>
      </c>
      <c r="B9787" t="s">
        <v>10384</v>
      </c>
      <c r="C9787" t="str">
        <f>""</f>
        <v/>
      </c>
      <c r="D9787" t="str">
        <f>"9781281060808"</f>
        <v>9781281060808</v>
      </c>
      <c r="E9787" t="s">
        <v>10337</v>
      </c>
      <c r="F9787" t="s">
        <v>10338</v>
      </c>
      <c r="G9787" s="1">
        <v>39083</v>
      </c>
      <c r="H9787" s="1">
        <v>1</v>
      </c>
      <c r="I9787" t="s">
        <v>12</v>
      </c>
      <c r="J9787" t="s">
        <v>20557</v>
      </c>
    </row>
    <row r="9788" spans="1:10" x14ac:dyDescent="0.25">
      <c r="A9788">
        <v>5135138</v>
      </c>
      <c r="B9788" t="s">
        <v>10385</v>
      </c>
      <c r="C9788" t="str">
        <f>"9780789736017"</f>
        <v>9780789736017</v>
      </c>
      <c r="D9788" t="str">
        <f>"9781281075529"</f>
        <v>9781281075529</v>
      </c>
      <c r="E9788" t="s">
        <v>10337</v>
      </c>
      <c r="F9788" t="s">
        <v>10338</v>
      </c>
      <c r="G9788" s="1">
        <v>39083</v>
      </c>
      <c r="H9788" s="1">
        <v>1</v>
      </c>
      <c r="I9788" t="s">
        <v>12</v>
      </c>
      <c r="J9788" t="s">
        <v>20558</v>
      </c>
    </row>
    <row r="9789" spans="1:10" x14ac:dyDescent="0.25">
      <c r="A9789">
        <v>5135171</v>
      </c>
      <c r="B9789" t="s">
        <v>10386</v>
      </c>
      <c r="C9789" t="str">
        <f>""</f>
        <v/>
      </c>
      <c r="D9789" t="str">
        <f>"9781281060860"</f>
        <v>9781281060860</v>
      </c>
      <c r="E9789" t="s">
        <v>10337</v>
      </c>
      <c r="F9789" t="s">
        <v>10338</v>
      </c>
      <c r="G9789" s="1">
        <v>39136</v>
      </c>
      <c r="H9789" s="1">
        <v>1</v>
      </c>
      <c r="I9789" t="s">
        <v>12</v>
      </c>
      <c r="J9789" t="s">
        <v>20559</v>
      </c>
    </row>
    <row r="9790" spans="1:10" x14ac:dyDescent="0.25">
      <c r="A9790">
        <v>5135172</v>
      </c>
      <c r="B9790" t="s">
        <v>10387</v>
      </c>
      <c r="C9790" t="str">
        <f>""</f>
        <v/>
      </c>
      <c r="D9790" t="str">
        <f>"9781281060877"</f>
        <v>9781281060877</v>
      </c>
      <c r="E9790" t="s">
        <v>10337</v>
      </c>
      <c r="F9790" t="s">
        <v>10338</v>
      </c>
      <c r="G9790" s="1">
        <v>39083</v>
      </c>
      <c r="H9790" s="1">
        <v>1</v>
      </c>
      <c r="I9790" t="s">
        <v>12</v>
      </c>
      <c r="J9790" t="s">
        <v>20560</v>
      </c>
    </row>
    <row r="9791" spans="1:10" x14ac:dyDescent="0.25">
      <c r="A9791">
        <v>5135173</v>
      </c>
      <c r="B9791" t="s">
        <v>10388</v>
      </c>
      <c r="C9791" t="str">
        <f>"9780789736406"</f>
        <v>9780789736406</v>
      </c>
      <c r="D9791" t="str">
        <f>"9781281060907"</f>
        <v>9781281060907</v>
      </c>
      <c r="E9791" t="s">
        <v>10337</v>
      </c>
      <c r="F9791" t="s">
        <v>10338</v>
      </c>
      <c r="G9791" s="1">
        <v>39069</v>
      </c>
      <c r="H9791" s="1">
        <v>1</v>
      </c>
      <c r="I9791" t="s">
        <v>12</v>
      </c>
      <c r="J9791" t="s">
        <v>20561</v>
      </c>
    </row>
    <row r="9792" spans="1:10" x14ac:dyDescent="0.25">
      <c r="A9792">
        <v>5135174</v>
      </c>
      <c r="B9792" t="s">
        <v>10389</v>
      </c>
      <c r="C9792" t="str">
        <f>"9780789736437"</f>
        <v>9780789736437</v>
      </c>
      <c r="D9792" t="str">
        <f>"9781281060914"</f>
        <v>9781281060914</v>
      </c>
      <c r="E9792" t="s">
        <v>10337</v>
      </c>
      <c r="F9792" t="s">
        <v>10338</v>
      </c>
      <c r="G9792" s="1">
        <v>39083</v>
      </c>
      <c r="H9792" s="1">
        <v>1</v>
      </c>
      <c r="I9792" t="s">
        <v>12</v>
      </c>
      <c r="J9792" t="s">
        <v>20562</v>
      </c>
    </row>
    <row r="9793" spans="1:10" x14ac:dyDescent="0.25">
      <c r="A9793">
        <v>5135175</v>
      </c>
      <c r="B9793" t="s">
        <v>10390</v>
      </c>
      <c r="C9793" t="str">
        <f>"9780789736413"</f>
        <v>9780789736413</v>
      </c>
      <c r="D9793" t="str">
        <f>"9781281075567"</f>
        <v>9781281075567</v>
      </c>
      <c r="E9793" t="s">
        <v>10337</v>
      </c>
      <c r="F9793" t="s">
        <v>10338</v>
      </c>
      <c r="G9793" s="1">
        <v>39081</v>
      </c>
      <c r="H9793" s="1">
        <v>1</v>
      </c>
      <c r="I9793" t="s">
        <v>12</v>
      </c>
      <c r="J9793" t="s">
        <v>20563</v>
      </c>
    </row>
    <row r="9794" spans="1:10" x14ac:dyDescent="0.25">
      <c r="A9794">
        <v>5135218</v>
      </c>
      <c r="B9794" t="s">
        <v>10391</v>
      </c>
      <c r="C9794" t="str">
        <f>""</f>
        <v/>
      </c>
      <c r="D9794" t="str">
        <f>"9781280911873"</f>
        <v>9781280911873</v>
      </c>
      <c r="E9794" t="s">
        <v>10337</v>
      </c>
      <c r="F9794" t="s">
        <v>10343</v>
      </c>
      <c r="G9794" s="1">
        <v>39083</v>
      </c>
      <c r="H9794" s="1">
        <v>1</v>
      </c>
      <c r="I9794" t="s">
        <v>12</v>
      </c>
      <c r="J9794" t="s">
        <v>20564</v>
      </c>
    </row>
    <row r="9795" spans="1:10" x14ac:dyDescent="0.25">
      <c r="A9795">
        <v>5135255</v>
      </c>
      <c r="B9795" t="s">
        <v>10392</v>
      </c>
      <c r="C9795" t="str">
        <f>""</f>
        <v/>
      </c>
      <c r="D9795" t="str">
        <f>"9781280911910"</f>
        <v>9781280911910</v>
      </c>
      <c r="E9795" t="s">
        <v>10337</v>
      </c>
      <c r="F9795" t="s">
        <v>10357</v>
      </c>
      <c r="G9795" s="1">
        <v>39083</v>
      </c>
      <c r="H9795" s="1">
        <v>1</v>
      </c>
      <c r="I9795" t="s">
        <v>12</v>
      </c>
      <c r="J9795" t="s">
        <v>20565</v>
      </c>
    </row>
    <row r="9796" spans="1:10" x14ac:dyDescent="0.25">
      <c r="A9796">
        <v>5135273</v>
      </c>
      <c r="B9796" t="s">
        <v>10393</v>
      </c>
      <c r="C9796" t="str">
        <f>""</f>
        <v/>
      </c>
      <c r="D9796" t="str">
        <f>"9781280862748"</f>
        <v>9781280862748</v>
      </c>
      <c r="E9796" t="s">
        <v>10337</v>
      </c>
      <c r="F9796" t="s">
        <v>10338</v>
      </c>
      <c r="G9796" s="1">
        <v>38353</v>
      </c>
      <c r="H9796" s="1">
        <v>1</v>
      </c>
      <c r="I9796" t="s">
        <v>12</v>
      </c>
      <c r="J9796" t="s">
        <v>20566</v>
      </c>
    </row>
    <row r="9797" spans="1:10" x14ac:dyDescent="0.25">
      <c r="A9797">
        <v>5135278</v>
      </c>
      <c r="B9797" t="s">
        <v>10394</v>
      </c>
      <c r="C9797" t="str">
        <f>""</f>
        <v/>
      </c>
      <c r="D9797" t="str">
        <f>"9781280912023"</f>
        <v>9781280912023</v>
      </c>
      <c r="E9797" t="s">
        <v>10337</v>
      </c>
      <c r="F9797" t="s">
        <v>10338</v>
      </c>
      <c r="G9797" s="1">
        <v>39083</v>
      </c>
      <c r="H9797" s="1">
        <v>1</v>
      </c>
      <c r="I9797" t="s">
        <v>12</v>
      </c>
      <c r="J9797" t="s">
        <v>20567</v>
      </c>
    </row>
    <row r="9798" spans="1:10" x14ac:dyDescent="0.25">
      <c r="A9798">
        <v>5135295</v>
      </c>
      <c r="B9798" t="s">
        <v>10395</v>
      </c>
      <c r="C9798" t="str">
        <f>"9780321492388"</f>
        <v>9780321492388</v>
      </c>
      <c r="D9798" t="str">
        <f>"9781281068873"</f>
        <v>9781281068873</v>
      </c>
      <c r="E9798" t="s">
        <v>10337</v>
      </c>
      <c r="F9798" t="s">
        <v>10343</v>
      </c>
      <c r="G9798" s="1">
        <v>39083</v>
      </c>
      <c r="H9798" s="1">
        <v>1</v>
      </c>
      <c r="I9798" t="s">
        <v>12</v>
      </c>
      <c r="J9798" t="s">
        <v>20568</v>
      </c>
    </row>
    <row r="9799" spans="1:10" x14ac:dyDescent="0.25">
      <c r="A9799">
        <v>5135296</v>
      </c>
      <c r="B9799" t="s">
        <v>10396</v>
      </c>
      <c r="C9799" t="str">
        <f>""</f>
        <v/>
      </c>
      <c r="D9799" t="str">
        <f>"9781280851728"</f>
        <v>9781280851728</v>
      </c>
      <c r="E9799" t="s">
        <v>10337</v>
      </c>
      <c r="F9799" t="s">
        <v>10338</v>
      </c>
      <c r="G9799" s="1">
        <v>37987</v>
      </c>
      <c r="H9799" s="1">
        <v>1</v>
      </c>
      <c r="I9799" t="s">
        <v>12</v>
      </c>
      <c r="J9799" t="s">
        <v>20569</v>
      </c>
    </row>
    <row r="9800" spans="1:10" x14ac:dyDescent="0.25">
      <c r="A9800">
        <v>5135301</v>
      </c>
      <c r="B9800" t="s">
        <v>10397</v>
      </c>
      <c r="C9800" t="str">
        <f>""</f>
        <v/>
      </c>
      <c r="D9800" t="str">
        <f>"9781280848889"</f>
        <v>9781280848889</v>
      </c>
      <c r="E9800" t="s">
        <v>10337</v>
      </c>
      <c r="F9800" t="s">
        <v>10345</v>
      </c>
      <c r="G9800" s="1">
        <v>39083</v>
      </c>
      <c r="H9800" s="1">
        <v>1</v>
      </c>
      <c r="I9800" t="s">
        <v>12</v>
      </c>
      <c r="J9800" t="s">
        <v>20570</v>
      </c>
    </row>
    <row r="9801" spans="1:10" x14ac:dyDescent="0.25">
      <c r="A9801">
        <v>5135346</v>
      </c>
      <c r="B9801" t="s">
        <v>10398</v>
      </c>
      <c r="C9801" t="str">
        <f>""</f>
        <v/>
      </c>
      <c r="D9801" t="str">
        <f>"9781281074744"</f>
        <v>9781281074744</v>
      </c>
      <c r="E9801" t="s">
        <v>10337</v>
      </c>
      <c r="F9801" t="s">
        <v>10337</v>
      </c>
      <c r="G9801" s="1">
        <v>38718</v>
      </c>
      <c r="H9801" s="1">
        <v>1</v>
      </c>
      <c r="I9801" t="s">
        <v>12</v>
      </c>
      <c r="J9801" t="s">
        <v>20571</v>
      </c>
    </row>
    <row r="9802" spans="1:10" x14ac:dyDescent="0.25">
      <c r="A9802">
        <v>5135354</v>
      </c>
      <c r="B9802" t="s">
        <v>10399</v>
      </c>
      <c r="C9802" t="str">
        <f>""</f>
        <v/>
      </c>
      <c r="D9802" t="str">
        <f>"9781280840623"</f>
        <v>9781280840623</v>
      </c>
      <c r="E9802" t="s">
        <v>10337</v>
      </c>
      <c r="F9802" t="s">
        <v>10338</v>
      </c>
      <c r="G9802" s="1">
        <v>38687</v>
      </c>
      <c r="H9802" s="1">
        <v>1</v>
      </c>
      <c r="I9802" t="s">
        <v>12</v>
      </c>
      <c r="J9802" t="s">
        <v>20572</v>
      </c>
    </row>
    <row r="9803" spans="1:10" x14ac:dyDescent="0.25">
      <c r="A9803">
        <v>5135357</v>
      </c>
      <c r="B9803" t="s">
        <v>10400</v>
      </c>
      <c r="C9803" t="str">
        <f>""</f>
        <v/>
      </c>
      <c r="D9803" t="str">
        <f>"9781280840302"</f>
        <v>9781280840302</v>
      </c>
      <c r="E9803" t="s">
        <v>10337</v>
      </c>
      <c r="F9803" t="s">
        <v>10338</v>
      </c>
      <c r="G9803" s="1">
        <v>38353</v>
      </c>
      <c r="H9803" s="1">
        <v>1</v>
      </c>
      <c r="I9803" t="s">
        <v>12</v>
      </c>
      <c r="J9803" t="s">
        <v>20573</v>
      </c>
    </row>
    <row r="9804" spans="1:10" x14ac:dyDescent="0.25">
      <c r="A9804">
        <v>5135372</v>
      </c>
      <c r="B9804" t="s">
        <v>10401</v>
      </c>
      <c r="C9804" t="str">
        <f>""</f>
        <v/>
      </c>
      <c r="D9804" t="str">
        <f>"9781280848407"</f>
        <v>9781280848407</v>
      </c>
      <c r="E9804" t="s">
        <v>10337</v>
      </c>
      <c r="F9804" t="s">
        <v>10357</v>
      </c>
      <c r="G9804" s="1">
        <v>39083</v>
      </c>
      <c r="H9804" s="1">
        <v>1</v>
      </c>
      <c r="I9804" t="s">
        <v>12</v>
      </c>
      <c r="J9804" t="s">
        <v>20574</v>
      </c>
    </row>
    <row r="9805" spans="1:10" x14ac:dyDescent="0.25">
      <c r="A9805">
        <v>5135416</v>
      </c>
      <c r="B9805" t="s">
        <v>10402</v>
      </c>
      <c r="C9805" t="str">
        <f>""</f>
        <v/>
      </c>
      <c r="D9805" t="str">
        <f>"9781280848438"</f>
        <v>9781280848438</v>
      </c>
      <c r="E9805" t="s">
        <v>10337</v>
      </c>
      <c r="F9805" t="s">
        <v>10357</v>
      </c>
      <c r="G9805" s="1">
        <v>39083</v>
      </c>
      <c r="H9805" s="1">
        <v>1</v>
      </c>
      <c r="I9805" t="s">
        <v>12</v>
      </c>
      <c r="J9805" t="s">
        <v>20575</v>
      </c>
    </row>
    <row r="9806" spans="1:10" x14ac:dyDescent="0.25">
      <c r="A9806">
        <v>5135437</v>
      </c>
      <c r="B9806" t="s">
        <v>10403</v>
      </c>
      <c r="C9806" t="str">
        <f>"9780672328947"</f>
        <v>9780672328947</v>
      </c>
      <c r="D9806" t="str">
        <f>"9781281074843"</f>
        <v>9781281074843</v>
      </c>
      <c r="E9806" t="s">
        <v>10337</v>
      </c>
      <c r="F9806" t="s">
        <v>10345</v>
      </c>
      <c r="G9806" s="1">
        <v>39083</v>
      </c>
      <c r="H9806" s="1">
        <v>1</v>
      </c>
      <c r="I9806" t="s">
        <v>12</v>
      </c>
      <c r="J9806" t="s">
        <v>20576</v>
      </c>
    </row>
    <row r="9807" spans="1:10" x14ac:dyDescent="0.25">
      <c r="A9807">
        <v>5135439</v>
      </c>
      <c r="B9807" t="s">
        <v>10404</v>
      </c>
      <c r="C9807" t="str">
        <f>""</f>
        <v/>
      </c>
      <c r="D9807" t="str">
        <f>"9781281083548"</f>
        <v>9781281083548</v>
      </c>
      <c r="E9807" t="s">
        <v>10337</v>
      </c>
      <c r="F9807" t="s">
        <v>10337</v>
      </c>
      <c r="G9807" s="1">
        <v>37987</v>
      </c>
      <c r="H9807" s="1">
        <v>1</v>
      </c>
      <c r="I9807" t="s">
        <v>12</v>
      </c>
      <c r="J9807" t="s">
        <v>20577</v>
      </c>
    </row>
    <row r="9808" spans="1:10" x14ac:dyDescent="0.25">
      <c r="A9808">
        <v>5135445</v>
      </c>
      <c r="B9808" t="s">
        <v>10405</v>
      </c>
      <c r="C9808" t="str">
        <f>"9780672327827"</f>
        <v>9780672327827</v>
      </c>
      <c r="D9808" t="str">
        <f>"9781281074737"</f>
        <v>9781281074737</v>
      </c>
      <c r="E9808" t="s">
        <v>10337</v>
      </c>
      <c r="F9808" t="s">
        <v>10345</v>
      </c>
      <c r="G9808" s="1">
        <v>39083</v>
      </c>
      <c r="H9808" s="1">
        <v>1</v>
      </c>
      <c r="I9808" t="s">
        <v>12</v>
      </c>
      <c r="J9808" t="s">
        <v>20578</v>
      </c>
    </row>
    <row r="9809" spans="1:10" x14ac:dyDescent="0.25">
      <c r="A9809">
        <v>5135448</v>
      </c>
      <c r="B9809" t="s">
        <v>10406</v>
      </c>
      <c r="C9809" t="str">
        <f>""</f>
        <v/>
      </c>
      <c r="D9809" t="str">
        <f>"9781280848629"</f>
        <v>9781280848629</v>
      </c>
      <c r="E9809" t="s">
        <v>10337</v>
      </c>
      <c r="F9809" t="s">
        <v>10345</v>
      </c>
      <c r="G9809" s="1">
        <v>39083</v>
      </c>
      <c r="H9809" s="1">
        <v>1</v>
      </c>
      <c r="I9809" t="s">
        <v>12</v>
      </c>
      <c r="J9809" t="s">
        <v>20579</v>
      </c>
    </row>
    <row r="9810" spans="1:10" x14ac:dyDescent="0.25">
      <c r="A9810">
        <v>5135450</v>
      </c>
      <c r="B9810" t="s">
        <v>10407</v>
      </c>
      <c r="C9810" t="str">
        <f>""</f>
        <v/>
      </c>
      <c r="D9810" t="str">
        <f>"9781280840265"</f>
        <v>9781280840265</v>
      </c>
      <c r="E9810" t="s">
        <v>10337</v>
      </c>
      <c r="F9810" t="s">
        <v>10338</v>
      </c>
      <c r="G9810" s="1">
        <v>38353</v>
      </c>
      <c r="H9810" s="1">
        <v>1</v>
      </c>
      <c r="I9810" t="s">
        <v>12</v>
      </c>
      <c r="J9810" t="s">
        <v>20580</v>
      </c>
    </row>
    <row r="9811" spans="1:10" x14ac:dyDescent="0.25">
      <c r="A9811">
        <v>5135454</v>
      </c>
      <c r="B9811" t="s">
        <v>10408</v>
      </c>
      <c r="C9811" t="str">
        <f>""</f>
        <v/>
      </c>
      <c r="D9811" t="str">
        <f>"9781280912054"</f>
        <v>9781280912054</v>
      </c>
      <c r="E9811" t="s">
        <v>10337</v>
      </c>
      <c r="F9811" t="s">
        <v>10337</v>
      </c>
      <c r="G9811" s="1">
        <v>39083</v>
      </c>
      <c r="H9811" s="1">
        <v>1</v>
      </c>
      <c r="I9811" t="s">
        <v>12</v>
      </c>
      <c r="J9811" t="s">
        <v>20581</v>
      </c>
    </row>
    <row r="9812" spans="1:10" x14ac:dyDescent="0.25">
      <c r="A9812">
        <v>5135482</v>
      </c>
      <c r="B9812" t="s">
        <v>10409</v>
      </c>
      <c r="C9812" t="str">
        <f>""</f>
        <v/>
      </c>
      <c r="D9812" t="str">
        <f>"9781281084613"</f>
        <v>9781281084613</v>
      </c>
      <c r="E9812" t="s">
        <v>10337</v>
      </c>
      <c r="F9812" t="s">
        <v>10337</v>
      </c>
      <c r="G9812" s="1">
        <v>37257</v>
      </c>
      <c r="H9812" s="1">
        <v>1</v>
      </c>
      <c r="I9812" t="s">
        <v>12</v>
      </c>
      <c r="J9812" t="s">
        <v>20582</v>
      </c>
    </row>
    <row r="9813" spans="1:10" x14ac:dyDescent="0.25">
      <c r="A9813">
        <v>5135492</v>
      </c>
      <c r="B9813" t="s">
        <v>10410</v>
      </c>
      <c r="C9813" t="str">
        <f>"9780789736734"</f>
        <v>9780789736734</v>
      </c>
      <c r="D9813" t="str">
        <f>"9781281075659"</f>
        <v>9781281075659</v>
      </c>
      <c r="E9813" t="s">
        <v>10337</v>
      </c>
      <c r="F9813" t="s">
        <v>10338</v>
      </c>
      <c r="G9813" s="1">
        <v>39083</v>
      </c>
      <c r="H9813" s="1">
        <v>1</v>
      </c>
      <c r="I9813" t="s">
        <v>12</v>
      </c>
      <c r="J9813" t="s">
        <v>20583</v>
      </c>
    </row>
    <row r="9814" spans="1:10" x14ac:dyDescent="0.25">
      <c r="A9814">
        <v>5135496</v>
      </c>
      <c r="B9814" t="s">
        <v>10411</v>
      </c>
      <c r="C9814" t="str">
        <f>""</f>
        <v/>
      </c>
      <c r="D9814" t="str">
        <f>"9781280848834"</f>
        <v>9781280848834</v>
      </c>
      <c r="E9814" t="s">
        <v>10337</v>
      </c>
      <c r="F9814" t="s">
        <v>10338</v>
      </c>
      <c r="G9814" s="1">
        <v>38718</v>
      </c>
      <c r="H9814" s="1">
        <v>1</v>
      </c>
      <c r="I9814" t="s">
        <v>12</v>
      </c>
      <c r="J9814" t="s">
        <v>20584</v>
      </c>
    </row>
    <row r="9815" spans="1:10" x14ac:dyDescent="0.25">
      <c r="A9815">
        <v>5135497</v>
      </c>
      <c r="B9815" t="s">
        <v>10412</v>
      </c>
      <c r="C9815" t="str">
        <f>""</f>
        <v/>
      </c>
      <c r="D9815" t="str">
        <f>"9781280912115"</f>
        <v>9781280912115</v>
      </c>
      <c r="E9815" t="s">
        <v>10337</v>
      </c>
      <c r="F9815" t="s">
        <v>10338</v>
      </c>
      <c r="G9815" s="1">
        <v>39083</v>
      </c>
      <c r="H9815" s="1">
        <v>1</v>
      </c>
      <c r="I9815" t="s">
        <v>12</v>
      </c>
      <c r="J9815" t="s">
        <v>20585</v>
      </c>
    </row>
    <row r="9816" spans="1:10" x14ac:dyDescent="0.25">
      <c r="A9816">
        <v>5135498</v>
      </c>
      <c r="B9816" t="s">
        <v>10413</v>
      </c>
      <c r="C9816" t="str">
        <f>""</f>
        <v/>
      </c>
      <c r="D9816" t="str">
        <f>"9781281060921"</f>
        <v>9781281060921</v>
      </c>
      <c r="E9816" t="s">
        <v>10337</v>
      </c>
      <c r="F9816" t="s">
        <v>10338</v>
      </c>
      <c r="G9816" s="1">
        <v>39083</v>
      </c>
      <c r="H9816" s="1">
        <v>1</v>
      </c>
      <c r="I9816" t="s">
        <v>12</v>
      </c>
      <c r="J9816" t="s">
        <v>20586</v>
      </c>
    </row>
    <row r="9817" spans="1:10" x14ac:dyDescent="0.25">
      <c r="A9817">
        <v>5135519</v>
      </c>
      <c r="B9817" t="s">
        <v>10414</v>
      </c>
      <c r="C9817" t="str">
        <f>"9780789736277"</f>
        <v>9780789736277</v>
      </c>
      <c r="D9817" t="str">
        <f>"9781281075543"</f>
        <v>9781281075543</v>
      </c>
      <c r="E9817" t="s">
        <v>10337</v>
      </c>
      <c r="F9817" t="s">
        <v>10338</v>
      </c>
      <c r="G9817" s="1">
        <v>39083</v>
      </c>
      <c r="H9817" s="1">
        <v>1</v>
      </c>
      <c r="I9817" t="s">
        <v>12</v>
      </c>
      <c r="J9817" t="s">
        <v>20587</v>
      </c>
    </row>
    <row r="9818" spans="1:10" x14ac:dyDescent="0.25">
      <c r="A9818">
        <v>5135535</v>
      </c>
      <c r="B9818" t="s">
        <v>10415</v>
      </c>
      <c r="C9818" t="str">
        <f>""</f>
        <v/>
      </c>
      <c r="D9818" t="str">
        <f>"9781281060884"</f>
        <v>9781281060884</v>
      </c>
      <c r="E9818" t="s">
        <v>10337</v>
      </c>
      <c r="F9818" t="s">
        <v>10337</v>
      </c>
      <c r="G9818" s="1">
        <v>39083</v>
      </c>
      <c r="H9818" s="1">
        <v>1</v>
      </c>
      <c r="I9818" t="s">
        <v>12</v>
      </c>
      <c r="J9818" t="s">
        <v>20588</v>
      </c>
    </row>
    <row r="9819" spans="1:10" x14ac:dyDescent="0.25">
      <c r="A9819">
        <v>5135545</v>
      </c>
      <c r="B9819" t="s">
        <v>10416</v>
      </c>
      <c r="C9819" t="str">
        <f>""</f>
        <v/>
      </c>
      <c r="D9819" t="str">
        <f>"9781281060709"</f>
        <v>9781281060709</v>
      </c>
      <c r="E9819" t="s">
        <v>10337</v>
      </c>
      <c r="F9819" t="s">
        <v>10338</v>
      </c>
      <c r="G9819" s="1">
        <v>39083</v>
      </c>
      <c r="H9819" s="1">
        <v>1</v>
      </c>
      <c r="I9819" t="s">
        <v>12</v>
      </c>
      <c r="J9819" t="s">
        <v>20589</v>
      </c>
    </row>
    <row r="9820" spans="1:10" x14ac:dyDescent="0.25">
      <c r="A9820">
        <v>5135551</v>
      </c>
      <c r="B9820" t="s">
        <v>10417</v>
      </c>
      <c r="C9820" t="str">
        <f>""</f>
        <v/>
      </c>
      <c r="D9820" t="str">
        <f>"9781281084408"</f>
        <v>9781281084408</v>
      </c>
      <c r="E9820" t="s">
        <v>10337</v>
      </c>
      <c r="F9820" t="s">
        <v>10337</v>
      </c>
      <c r="G9820" s="1">
        <v>37257</v>
      </c>
      <c r="H9820" s="1">
        <v>1</v>
      </c>
      <c r="I9820" t="s">
        <v>12</v>
      </c>
      <c r="J9820" t="s">
        <v>20590</v>
      </c>
    </row>
    <row r="9821" spans="1:10" x14ac:dyDescent="0.25">
      <c r="A9821">
        <v>5135568</v>
      </c>
      <c r="B9821" t="s">
        <v>10418</v>
      </c>
      <c r="C9821" t="str">
        <f>"9780672328916"</f>
        <v>9780672328916</v>
      </c>
      <c r="D9821" t="str">
        <f>"9781281074836"</f>
        <v>9781281074836</v>
      </c>
      <c r="E9821" t="s">
        <v>10337</v>
      </c>
      <c r="F9821" t="s">
        <v>10345</v>
      </c>
      <c r="G9821" s="1">
        <v>39052</v>
      </c>
      <c r="H9821" s="1">
        <v>1</v>
      </c>
      <c r="I9821" t="s">
        <v>12</v>
      </c>
      <c r="J9821" t="s">
        <v>20591</v>
      </c>
    </row>
    <row r="9822" spans="1:10" x14ac:dyDescent="0.25">
      <c r="A9822">
        <v>5135575</v>
      </c>
      <c r="B9822" t="s">
        <v>10419</v>
      </c>
      <c r="C9822" t="str">
        <f>""</f>
        <v/>
      </c>
      <c r="D9822" t="str">
        <f>"9781281060617"</f>
        <v>9781281060617</v>
      </c>
      <c r="E9822" t="s">
        <v>10337</v>
      </c>
      <c r="F9822" t="s">
        <v>10343</v>
      </c>
      <c r="G9822" s="1">
        <v>39083</v>
      </c>
      <c r="H9822" s="1">
        <v>1</v>
      </c>
      <c r="I9822" t="s">
        <v>12</v>
      </c>
      <c r="J9822" t="s">
        <v>20592</v>
      </c>
    </row>
    <row r="9823" spans="1:10" x14ac:dyDescent="0.25">
      <c r="A9823">
        <v>5135605</v>
      </c>
      <c r="B9823" t="s">
        <v>10420</v>
      </c>
      <c r="C9823" t="str">
        <f>"9780789735768"</f>
        <v>9780789735768</v>
      </c>
      <c r="D9823" t="str">
        <f>"9781281075505"</f>
        <v>9781281075505</v>
      </c>
      <c r="E9823" t="s">
        <v>10337</v>
      </c>
      <c r="F9823" t="s">
        <v>10338</v>
      </c>
      <c r="G9823" s="1">
        <v>39080</v>
      </c>
      <c r="H9823" s="1">
        <v>1</v>
      </c>
      <c r="I9823" t="s">
        <v>12</v>
      </c>
      <c r="J9823" t="s">
        <v>20593</v>
      </c>
    </row>
    <row r="9824" spans="1:10" x14ac:dyDescent="0.25">
      <c r="A9824">
        <v>5135614</v>
      </c>
      <c r="B9824" t="s">
        <v>10421</v>
      </c>
      <c r="C9824" t="str">
        <f>""</f>
        <v/>
      </c>
      <c r="D9824" t="str">
        <f>"9781280755569"</f>
        <v>9781280755569</v>
      </c>
      <c r="E9824" t="s">
        <v>10337</v>
      </c>
      <c r="F9824" t="s">
        <v>10422</v>
      </c>
      <c r="G9824" s="1">
        <v>38428</v>
      </c>
      <c r="H9824" s="1">
        <v>1</v>
      </c>
      <c r="I9824" t="s">
        <v>12</v>
      </c>
      <c r="J9824" t="s">
        <v>20594</v>
      </c>
    </row>
    <row r="9825" spans="1:10" x14ac:dyDescent="0.25">
      <c r="A9825">
        <v>5135618</v>
      </c>
      <c r="B9825" t="s">
        <v>10423</v>
      </c>
      <c r="C9825" t="str">
        <f>""</f>
        <v/>
      </c>
      <c r="D9825" t="str">
        <f>"9781281068262"</f>
        <v>9781281068262</v>
      </c>
      <c r="E9825" t="s">
        <v>10337</v>
      </c>
      <c r="F9825" t="s">
        <v>10337</v>
      </c>
      <c r="G9825" s="1">
        <v>38718</v>
      </c>
      <c r="H9825" s="1">
        <v>1</v>
      </c>
      <c r="I9825" t="s">
        <v>12</v>
      </c>
      <c r="J9825" t="s">
        <v>20595</v>
      </c>
    </row>
    <row r="9826" spans="1:10" x14ac:dyDescent="0.25">
      <c r="A9826">
        <v>5135669</v>
      </c>
      <c r="B9826" t="s">
        <v>10424</v>
      </c>
      <c r="C9826" t="str">
        <f>""</f>
        <v/>
      </c>
      <c r="D9826" t="str">
        <f>"9781280911972"</f>
        <v>9781280911972</v>
      </c>
      <c r="E9826" t="s">
        <v>10337</v>
      </c>
      <c r="F9826" t="s">
        <v>10345</v>
      </c>
      <c r="G9826" s="1">
        <v>39083</v>
      </c>
      <c r="H9826" s="1">
        <v>1</v>
      </c>
      <c r="I9826" t="s">
        <v>12</v>
      </c>
      <c r="J9826" t="s">
        <v>20596</v>
      </c>
    </row>
    <row r="9827" spans="1:10" x14ac:dyDescent="0.25">
      <c r="A9827">
        <v>5135709</v>
      </c>
      <c r="B9827" t="s">
        <v>10425</v>
      </c>
      <c r="C9827" t="str">
        <f>"9780789736512"</f>
        <v>9780789736512</v>
      </c>
      <c r="D9827" t="str">
        <f>"9781281075574"</f>
        <v>9781281075574</v>
      </c>
      <c r="E9827" t="s">
        <v>10337</v>
      </c>
      <c r="F9827" t="s">
        <v>10338</v>
      </c>
      <c r="G9827" s="1">
        <v>39083</v>
      </c>
      <c r="H9827" s="1">
        <v>1</v>
      </c>
      <c r="I9827" t="s">
        <v>12</v>
      </c>
      <c r="J9827" t="s">
        <v>20597</v>
      </c>
    </row>
    <row r="9828" spans="1:10" x14ac:dyDescent="0.25">
      <c r="A9828">
        <v>5135715</v>
      </c>
      <c r="B9828" t="s">
        <v>10426</v>
      </c>
      <c r="C9828" t="str">
        <f>""</f>
        <v/>
      </c>
      <c r="D9828" t="str">
        <f>"9781280848766"</f>
        <v>9781280848766</v>
      </c>
      <c r="E9828" t="s">
        <v>10337</v>
      </c>
      <c r="F9828" t="s">
        <v>10345</v>
      </c>
      <c r="G9828" s="1">
        <v>39083</v>
      </c>
      <c r="H9828" s="1">
        <v>1</v>
      </c>
      <c r="I9828" t="s">
        <v>12</v>
      </c>
      <c r="J9828" t="s">
        <v>20598</v>
      </c>
    </row>
    <row r="9829" spans="1:10" x14ac:dyDescent="0.25">
      <c r="A9829">
        <v>5135719</v>
      </c>
      <c r="B9829" t="s">
        <v>10427</v>
      </c>
      <c r="C9829" t="str">
        <f>""</f>
        <v/>
      </c>
      <c r="D9829" t="str">
        <f>"9781280755873"</f>
        <v>9781280755873</v>
      </c>
      <c r="E9829" t="s">
        <v>10337</v>
      </c>
      <c r="F9829" t="s">
        <v>10338</v>
      </c>
      <c r="G9829" s="1">
        <v>38353</v>
      </c>
      <c r="H9829" s="1">
        <v>1</v>
      </c>
      <c r="I9829" t="s">
        <v>12</v>
      </c>
      <c r="J9829" t="s">
        <v>20599</v>
      </c>
    </row>
    <row r="9830" spans="1:10" x14ac:dyDescent="0.25">
      <c r="A9830">
        <v>5135747</v>
      </c>
      <c r="B9830" t="s">
        <v>10428</v>
      </c>
      <c r="C9830" t="str">
        <f>""</f>
        <v/>
      </c>
      <c r="D9830" t="str">
        <f>"9781280848391"</f>
        <v>9781280848391</v>
      </c>
      <c r="E9830" t="s">
        <v>10337</v>
      </c>
      <c r="F9830" t="s">
        <v>10343</v>
      </c>
      <c r="G9830" s="1">
        <v>39083</v>
      </c>
      <c r="H9830" s="1">
        <v>1</v>
      </c>
      <c r="I9830" t="s">
        <v>12</v>
      </c>
      <c r="J9830" t="s">
        <v>20600</v>
      </c>
    </row>
    <row r="9831" spans="1:10" x14ac:dyDescent="0.25">
      <c r="A9831">
        <v>5135765</v>
      </c>
      <c r="B9831" t="s">
        <v>10429</v>
      </c>
      <c r="C9831" t="str">
        <f>""</f>
        <v/>
      </c>
      <c r="D9831" t="str">
        <f>"9781280840319"</f>
        <v>9781280840319</v>
      </c>
      <c r="E9831" t="s">
        <v>10337</v>
      </c>
      <c r="F9831" t="s">
        <v>10338</v>
      </c>
      <c r="G9831" s="1">
        <v>38353</v>
      </c>
      <c r="H9831" s="1">
        <v>1</v>
      </c>
      <c r="I9831" t="s">
        <v>12</v>
      </c>
      <c r="J9831" t="s">
        <v>20601</v>
      </c>
    </row>
    <row r="9832" spans="1:10" x14ac:dyDescent="0.25">
      <c r="A9832">
        <v>5135767</v>
      </c>
      <c r="B9832" t="s">
        <v>10430</v>
      </c>
      <c r="C9832" t="str">
        <f>""</f>
        <v/>
      </c>
      <c r="D9832" t="str">
        <f>"9781281060631"</f>
        <v>9781281060631</v>
      </c>
      <c r="E9832" t="s">
        <v>10337</v>
      </c>
      <c r="F9832" t="s">
        <v>10343</v>
      </c>
      <c r="G9832" s="1">
        <v>39083</v>
      </c>
      <c r="H9832" s="1">
        <v>1</v>
      </c>
      <c r="I9832" t="s">
        <v>12</v>
      </c>
      <c r="J9832" t="s">
        <v>20602</v>
      </c>
    </row>
    <row r="9833" spans="1:10" x14ac:dyDescent="0.25">
      <c r="A9833">
        <v>5135834</v>
      </c>
      <c r="B9833" t="s">
        <v>10431</v>
      </c>
      <c r="C9833" t="str">
        <f>""</f>
        <v/>
      </c>
      <c r="D9833" t="str">
        <f>"9781280912030"</f>
        <v>9781280912030</v>
      </c>
      <c r="E9833" t="s">
        <v>10337</v>
      </c>
      <c r="F9833" t="s">
        <v>10338</v>
      </c>
      <c r="G9833" s="1">
        <v>39083</v>
      </c>
      <c r="H9833" s="1">
        <v>1</v>
      </c>
      <c r="I9833" t="s">
        <v>12</v>
      </c>
      <c r="J9833" t="s">
        <v>20603</v>
      </c>
    </row>
    <row r="9834" spans="1:10" x14ac:dyDescent="0.25">
      <c r="A9834">
        <v>5135840</v>
      </c>
      <c r="B9834" t="s">
        <v>10432</v>
      </c>
      <c r="C9834" t="str">
        <f>""</f>
        <v/>
      </c>
      <c r="D9834" t="str">
        <f>"9781280848520"</f>
        <v>9781280848520</v>
      </c>
      <c r="E9834" t="s">
        <v>10337</v>
      </c>
      <c r="F9834" t="s">
        <v>10345</v>
      </c>
      <c r="G9834" s="1">
        <v>39083</v>
      </c>
      <c r="H9834" s="1">
        <v>1</v>
      </c>
      <c r="I9834" t="s">
        <v>12</v>
      </c>
      <c r="J9834" t="s">
        <v>20604</v>
      </c>
    </row>
    <row r="9835" spans="1:10" x14ac:dyDescent="0.25">
      <c r="A9835">
        <v>5135844</v>
      </c>
      <c r="B9835" t="s">
        <v>10433</v>
      </c>
      <c r="C9835" t="str">
        <f>""</f>
        <v/>
      </c>
      <c r="D9835" t="str">
        <f>"9781280912108"</f>
        <v>9781280912108</v>
      </c>
      <c r="E9835" t="s">
        <v>10337</v>
      </c>
      <c r="F9835" t="s">
        <v>10338</v>
      </c>
      <c r="G9835" s="1">
        <v>39083</v>
      </c>
      <c r="H9835" s="1">
        <v>1</v>
      </c>
      <c r="I9835" t="s">
        <v>12</v>
      </c>
      <c r="J9835" t="s">
        <v>20605</v>
      </c>
    </row>
    <row r="9836" spans="1:10" x14ac:dyDescent="0.25">
      <c r="A9836">
        <v>5135879</v>
      </c>
      <c r="B9836" t="s">
        <v>10434</v>
      </c>
      <c r="C9836" t="str">
        <f>""</f>
        <v/>
      </c>
      <c r="D9836" t="str">
        <f>"9781280755583"</f>
        <v>9781280755583</v>
      </c>
      <c r="E9836" t="s">
        <v>10337</v>
      </c>
      <c r="F9836" t="s">
        <v>10435</v>
      </c>
      <c r="G9836" s="1">
        <v>38363</v>
      </c>
      <c r="H9836" s="1">
        <v>1</v>
      </c>
      <c r="I9836" t="s">
        <v>12</v>
      </c>
      <c r="J9836" t="s">
        <v>20606</v>
      </c>
    </row>
    <row r="9837" spans="1:10" x14ac:dyDescent="0.25">
      <c r="A9837">
        <v>5135947</v>
      </c>
      <c r="B9837" t="s">
        <v>10436</v>
      </c>
      <c r="C9837" t="str">
        <f>""</f>
        <v/>
      </c>
      <c r="D9837" t="str">
        <f>"9781280911897"</f>
        <v>9781280911897</v>
      </c>
      <c r="E9837" t="s">
        <v>10337</v>
      </c>
      <c r="F9837" t="s">
        <v>10355</v>
      </c>
      <c r="G9837" s="1">
        <v>39083</v>
      </c>
      <c r="H9837" s="1">
        <v>1</v>
      </c>
      <c r="I9837" t="s">
        <v>12</v>
      </c>
      <c r="J9837" t="s">
        <v>20607</v>
      </c>
    </row>
    <row r="9838" spans="1:10" x14ac:dyDescent="0.25">
      <c r="A9838">
        <v>5135952</v>
      </c>
      <c r="B9838" t="s">
        <v>10437</v>
      </c>
      <c r="C9838" t="str">
        <f>""</f>
        <v/>
      </c>
      <c r="D9838" t="str">
        <f>"9781280840289"</f>
        <v>9781280840289</v>
      </c>
      <c r="E9838" t="s">
        <v>10337</v>
      </c>
      <c r="F9838" t="s">
        <v>10345</v>
      </c>
      <c r="G9838" s="1">
        <v>38353</v>
      </c>
      <c r="H9838" s="1">
        <v>1</v>
      </c>
      <c r="I9838" t="s">
        <v>12</v>
      </c>
      <c r="J9838" t="s">
        <v>20608</v>
      </c>
    </row>
    <row r="9839" spans="1:10" x14ac:dyDescent="0.25">
      <c r="A9839">
        <v>5135995</v>
      </c>
      <c r="B9839" t="s">
        <v>10438</v>
      </c>
      <c r="C9839" t="str">
        <f>"9780672322778"</f>
        <v>9780672322778</v>
      </c>
      <c r="D9839" t="str">
        <f>"9781280968853"</f>
        <v>9781280968853</v>
      </c>
      <c r="E9839" t="s">
        <v>10337</v>
      </c>
      <c r="F9839" t="s">
        <v>10345</v>
      </c>
      <c r="G9839" s="1">
        <v>37202</v>
      </c>
      <c r="H9839" s="1">
        <v>1</v>
      </c>
      <c r="I9839" t="s">
        <v>12</v>
      </c>
      <c r="J9839" t="s">
        <v>20609</v>
      </c>
    </row>
    <row r="9840" spans="1:10" x14ac:dyDescent="0.25">
      <c r="A9840">
        <v>5136016</v>
      </c>
      <c r="B9840" t="s">
        <v>10439</v>
      </c>
      <c r="C9840" t="str">
        <f>""</f>
        <v/>
      </c>
      <c r="D9840" t="str">
        <f>"9781280840456"</f>
        <v>9781280840456</v>
      </c>
      <c r="E9840" t="s">
        <v>10337</v>
      </c>
      <c r="F9840" t="s">
        <v>10338</v>
      </c>
      <c r="G9840" s="1">
        <v>38082</v>
      </c>
      <c r="H9840" s="1">
        <v>1</v>
      </c>
      <c r="I9840" t="s">
        <v>12</v>
      </c>
      <c r="J9840" t="s">
        <v>20610</v>
      </c>
    </row>
    <row r="9841" spans="1:10" x14ac:dyDescent="0.25">
      <c r="A9841">
        <v>5136053</v>
      </c>
      <c r="B9841" t="s">
        <v>10440</v>
      </c>
      <c r="C9841" t="str">
        <f>""</f>
        <v/>
      </c>
      <c r="D9841" t="str">
        <f>"9781280840098"</f>
        <v>9781280840098</v>
      </c>
      <c r="E9841" t="s">
        <v>10337</v>
      </c>
      <c r="F9841" t="s">
        <v>10338</v>
      </c>
      <c r="G9841" s="1">
        <v>38353</v>
      </c>
      <c r="H9841" s="1">
        <v>1</v>
      </c>
      <c r="I9841" t="s">
        <v>12</v>
      </c>
      <c r="J9841" t="s">
        <v>20611</v>
      </c>
    </row>
    <row r="9842" spans="1:10" x14ac:dyDescent="0.25">
      <c r="A9842">
        <v>5136086</v>
      </c>
      <c r="B9842" t="s">
        <v>10441</v>
      </c>
      <c r="C9842" t="str">
        <f>""</f>
        <v/>
      </c>
      <c r="D9842" t="str">
        <f>"9781280755477"</f>
        <v>9781280755477</v>
      </c>
      <c r="E9842" t="s">
        <v>10337</v>
      </c>
      <c r="F9842" t="s">
        <v>10435</v>
      </c>
      <c r="G9842" s="1">
        <v>38365</v>
      </c>
      <c r="H9842" s="1">
        <v>1</v>
      </c>
      <c r="I9842" t="s">
        <v>12</v>
      </c>
      <c r="J9842" t="s">
        <v>20612</v>
      </c>
    </row>
    <row r="9843" spans="1:10" x14ac:dyDescent="0.25">
      <c r="A9843">
        <v>5136088</v>
      </c>
      <c r="B9843" t="s">
        <v>10442</v>
      </c>
      <c r="C9843" t="str">
        <f>""</f>
        <v/>
      </c>
      <c r="D9843" t="str">
        <f>"9781280755750"</f>
        <v>9781280755750</v>
      </c>
      <c r="E9843" t="s">
        <v>10337</v>
      </c>
      <c r="F9843" t="s">
        <v>10422</v>
      </c>
      <c r="G9843" s="1">
        <v>38511</v>
      </c>
      <c r="H9843" s="1">
        <v>1</v>
      </c>
      <c r="I9843" t="s">
        <v>12</v>
      </c>
      <c r="J9843" t="s">
        <v>20613</v>
      </c>
    </row>
    <row r="9844" spans="1:10" x14ac:dyDescent="0.25">
      <c r="A9844">
        <v>5136098</v>
      </c>
      <c r="B9844" t="s">
        <v>10443</v>
      </c>
      <c r="C9844" t="str">
        <f>""</f>
        <v/>
      </c>
      <c r="D9844" t="str">
        <f>"9781280848728"</f>
        <v>9781280848728</v>
      </c>
      <c r="E9844" t="s">
        <v>10337</v>
      </c>
      <c r="F9844" t="s">
        <v>10345</v>
      </c>
      <c r="G9844" s="1">
        <v>38718</v>
      </c>
      <c r="H9844" s="1">
        <v>1</v>
      </c>
      <c r="I9844" t="s">
        <v>12</v>
      </c>
      <c r="J9844" t="s">
        <v>20614</v>
      </c>
    </row>
    <row r="9845" spans="1:10" x14ac:dyDescent="0.25">
      <c r="A9845">
        <v>5136134</v>
      </c>
      <c r="B9845" t="s">
        <v>10444</v>
      </c>
      <c r="C9845" t="str">
        <f>"9780789736086"</f>
        <v>9780789736086</v>
      </c>
      <c r="D9845" t="str">
        <f>"9781281075642"</f>
        <v>9781281075642</v>
      </c>
      <c r="E9845" t="s">
        <v>10337</v>
      </c>
      <c r="F9845" t="s">
        <v>10338</v>
      </c>
      <c r="G9845" s="1">
        <v>39078</v>
      </c>
      <c r="H9845" s="1">
        <v>1</v>
      </c>
      <c r="I9845" t="s">
        <v>12</v>
      </c>
      <c r="J9845" t="s">
        <v>20615</v>
      </c>
    </row>
    <row r="9846" spans="1:10" x14ac:dyDescent="0.25">
      <c r="A9846">
        <v>5136144</v>
      </c>
      <c r="B9846" t="s">
        <v>10445</v>
      </c>
      <c r="C9846" t="str">
        <f>""</f>
        <v/>
      </c>
      <c r="D9846" t="str">
        <f>"9781281060846"</f>
        <v>9781281060846</v>
      </c>
      <c r="E9846" t="s">
        <v>10337</v>
      </c>
      <c r="F9846" t="s">
        <v>10338</v>
      </c>
      <c r="G9846" s="1">
        <v>39083</v>
      </c>
      <c r="H9846" s="1">
        <v>1</v>
      </c>
      <c r="I9846" t="s">
        <v>12</v>
      </c>
      <c r="J9846" t="s">
        <v>20616</v>
      </c>
    </row>
    <row r="9847" spans="1:10" x14ac:dyDescent="0.25">
      <c r="A9847">
        <v>5136157</v>
      </c>
      <c r="B9847" t="s">
        <v>10446</v>
      </c>
      <c r="C9847" t="str">
        <f>""</f>
        <v/>
      </c>
      <c r="D9847" t="str">
        <f>"9781280848452"</f>
        <v>9781280848452</v>
      </c>
      <c r="E9847" t="s">
        <v>10337</v>
      </c>
      <c r="F9847" t="s">
        <v>10343</v>
      </c>
      <c r="G9847" s="1">
        <v>39083</v>
      </c>
      <c r="H9847" s="1">
        <v>1</v>
      </c>
      <c r="I9847" t="s">
        <v>12</v>
      </c>
      <c r="J9847" t="s">
        <v>20617</v>
      </c>
    </row>
    <row r="9848" spans="1:10" x14ac:dyDescent="0.25">
      <c r="A9848">
        <v>5136159</v>
      </c>
      <c r="B9848" t="s">
        <v>10447</v>
      </c>
      <c r="C9848" t="str">
        <f>""</f>
        <v/>
      </c>
      <c r="D9848" t="str">
        <f>"9781280912016"</f>
        <v>9781280912016</v>
      </c>
      <c r="E9848" t="s">
        <v>10337</v>
      </c>
      <c r="F9848" t="s">
        <v>10338</v>
      </c>
      <c r="G9848" s="1">
        <v>39083</v>
      </c>
      <c r="H9848" s="1">
        <v>1</v>
      </c>
      <c r="I9848" t="s">
        <v>12</v>
      </c>
      <c r="J9848" t="s">
        <v>20618</v>
      </c>
    </row>
    <row r="9849" spans="1:10" x14ac:dyDescent="0.25">
      <c r="A9849">
        <v>5136165</v>
      </c>
      <c r="B9849" t="s">
        <v>10448</v>
      </c>
      <c r="C9849" t="str">
        <f>""</f>
        <v/>
      </c>
      <c r="D9849" t="str">
        <f>"9781280755774"</f>
        <v>9781280755774</v>
      </c>
      <c r="E9849" t="s">
        <v>10337</v>
      </c>
      <c r="F9849" t="s">
        <v>10338</v>
      </c>
      <c r="G9849" s="1">
        <v>38353</v>
      </c>
      <c r="H9849" s="1">
        <v>1</v>
      </c>
      <c r="I9849" t="s">
        <v>12</v>
      </c>
      <c r="J9849" t="s">
        <v>20619</v>
      </c>
    </row>
    <row r="9850" spans="1:10" x14ac:dyDescent="0.25">
      <c r="A9850">
        <v>5136275</v>
      </c>
      <c r="B9850" t="s">
        <v>10449</v>
      </c>
      <c r="C9850" t="str">
        <f>""</f>
        <v/>
      </c>
      <c r="D9850" t="str">
        <f>"9781280602702"</f>
        <v>9781280602702</v>
      </c>
      <c r="E9850" t="s">
        <v>10450</v>
      </c>
      <c r="F9850" t="s">
        <v>10451</v>
      </c>
      <c r="G9850" s="1">
        <v>38918</v>
      </c>
      <c r="H9850" s="1">
        <v>43348</v>
      </c>
      <c r="I9850" t="s">
        <v>12</v>
      </c>
      <c r="J9850" t="s">
        <v>20620</v>
      </c>
    </row>
    <row r="9851" spans="1:10" x14ac:dyDescent="0.25">
      <c r="A9851">
        <v>5136332</v>
      </c>
      <c r="B9851" t="s">
        <v>10452</v>
      </c>
      <c r="C9851" t="str">
        <f>""</f>
        <v/>
      </c>
      <c r="D9851" t="str">
        <f>"9781280601590"</f>
        <v>9781280601590</v>
      </c>
      <c r="E9851" t="s">
        <v>10450</v>
      </c>
      <c r="F9851" t="s">
        <v>10453</v>
      </c>
      <c r="G9851" s="1">
        <v>38799</v>
      </c>
      <c r="H9851" s="1">
        <v>43348</v>
      </c>
      <c r="I9851" t="s">
        <v>12</v>
      </c>
      <c r="J9851" t="s">
        <v>20621</v>
      </c>
    </row>
    <row r="9852" spans="1:10" x14ac:dyDescent="0.25">
      <c r="A9852">
        <v>5136465</v>
      </c>
      <c r="B9852" t="s">
        <v>10454</v>
      </c>
      <c r="C9852" t="str">
        <f>"9780273684107"</f>
        <v>9780273684107</v>
      </c>
      <c r="D9852" t="str">
        <f>"9781405871327"</f>
        <v>9781405871327</v>
      </c>
      <c r="E9852" t="s">
        <v>10450</v>
      </c>
      <c r="F9852" t="s">
        <v>10453</v>
      </c>
      <c r="G9852" s="1">
        <v>38265</v>
      </c>
      <c r="H9852" s="1">
        <v>1</v>
      </c>
      <c r="I9852" t="s">
        <v>12</v>
      </c>
      <c r="J9852" t="s">
        <v>20622</v>
      </c>
    </row>
    <row r="9853" spans="1:10" x14ac:dyDescent="0.25">
      <c r="A9853">
        <v>5136510</v>
      </c>
      <c r="B9853" t="s">
        <v>10455</v>
      </c>
      <c r="C9853" t="str">
        <f>""</f>
        <v/>
      </c>
      <c r="D9853" t="str">
        <f>"9781280601910"</f>
        <v>9781280601910</v>
      </c>
      <c r="E9853" t="s">
        <v>10450</v>
      </c>
      <c r="F9853" t="s">
        <v>10453</v>
      </c>
      <c r="G9853" s="1">
        <v>38670</v>
      </c>
      <c r="H9853" s="1">
        <v>43348</v>
      </c>
      <c r="I9853" t="s">
        <v>12</v>
      </c>
      <c r="J9853" t="s">
        <v>20623</v>
      </c>
    </row>
    <row r="9854" spans="1:10" x14ac:dyDescent="0.25">
      <c r="A9854">
        <v>5136599</v>
      </c>
      <c r="B9854" t="s">
        <v>10456</v>
      </c>
      <c r="C9854" t="str">
        <f>"9780273683551"</f>
        <v>9780273683551</v>
      </c>
      <c r="D9854" t="str">
        <f>"9781280601255"</f>
        <v>9781280601255</v>
      </c>
      <c r="E9854" t="s">
        <v>10450</v>
      </c>
      <c r="F9854" t="s">
        <v>10453</v>
      </c>
      <c r="G9854" s="1">
        <v>38254</v>
      </c>
      <c r="H9854" s="1">
        <v>43220</v>
      </c>
      <c r="I9854" t="s">
        <v>12</v>
      </c>
      <c r="J9854" t="s">
        <v>20624</v>
      </c>
    </row>
    <row r="9855" spans="1:10" x14ac:dyDescent="0.25">
      <c r="A9855">
        <v>5136605</v>
      </c>
      <c r="B9855" t="s">
        <v>10457</v>
      </c>
      <c r="C9855" t="str">
        <f>"9780273687658"</f>
        <v>9780273687658</v>
      </c>
      <c r="D9855" t="str">
        <f>"9781405871600"</f>
        <v>9781405871600</v>
      </c>
      <c r="E9855" t="s">
        <v>10450</v>
      </c>
      <c r="F9855" t="s">
        <v>10451</v>
      </c>
      <c r="G9855" s="1">
        <v>38540</v>
      </c>
      <c r="H9855" s="1">
        <v>1</v>
      </c>
      <c r="I9855" t="s">
        <v>12</v>
      </c>
      <c r="J9855" t="s">
        <v>20625</v>
      </c>
    </row>
    <row r="9856" spans="1:10" x14ac:dyDescent="0.25">
      <c r="A9856">
        <v>5136631</v>
      </c>
      <c r="B9856" t="s">
        <v>10458</v>
      </c>
      <c r="C9856" t="str">
        <f>"9780273681496"</f>
        <v>9780273681496</v>
      </c>
      <c r="D9856" t="str">
        <f>"9781280601057"</f>
        <v>9781280601057</v>
      </c>
      <c r="E9856" t="s">
        <v>10450</v>
      </c>
      <c r="F9856" t="s">
        <v>10453</v>
      </c>
      <c r="G9856" s="1">
        <v>38449</v>
      </c>
      <c r="H9856" s="1">
        <v>43220</v>
      </c>
      <c r="I9856" t="s">
        <v>12</v>
      </c>
      <c r="J9856" t="s">
        <v>20626</v>
      </c>
    </row>
    <row r="9857" spans="1:10" x14ac:dyDescent="0.25">
      <c r="A9857">
        <v>5136979</v>
      </c>
      <c r="B9857" t="s">
        <v>10459</v>
      </c>
      <c r="C9857" t="str">
        <f>"9780273694946"</f>
        <v>9780273694946</v>
      </c>
      <c r="D9857" t="str">
        <f>"9781405871860"</f>
        <v>9781405871860</v>
      </c>
      <c r="E9857" t="s">
        <v>10450</v>
      </c>
      <c r="F9857" t="s">
        <v>10453</v>
      </c>
      <c r="G9857" s="1">
        <v>38534</v>
      </c>
      <c r="H9857" s="1">
        <v>1</v>
      </c>
      <c r="I9857" t="s">
        <v>12</v>
      </c>
      <c r="J9857" t="s">
        <v>20627</v>
      </c>
    </row>
    <row r="9858" spans="1:10" x14ac:dyDescent="0.25">
      <c r="A9858">
        <v>5137439</v>
      </c>
      <c r="B9858" t="s">
        <v>10460</v>
      </c>
      <c r="C9858" t="str">
        <f>"9780273681571"</f>
        <v>9780273681571</v>
      </c>
      <c r="D9858" t="str">
        <f>"9781405871075"</f>
        <v>9781405871075</v>
      </c>
      <c r="E9858" t="s">
        <v>10450</v>
      </c>
      <c r="F9858" t="s">
        <v>10453</v>
      </c>
      <c r="G9858" s="1">
        <v>38657</v>
      </c>
      <c r="H9858" s="1">
        <v>1</v>
      </c>
      <c r="I9858" t="s">
        <v>12</v>
      </c>
      <c r="J9858" t="s">
        <v>20628</v>
      </c>
    </row>
    <row r="9859" spans="1:10" x14ac:dyDescent="0.25">
      <c r="A9859">
        <v>5137711</v>
      </c>
      <c r="B9859" t="s">
        <v>10461</v>
      </c>
      <c r="C9859" t="str">
        <f>"9780273702535"</f>
        <v>9780273702535</v>
      </c>
      <c r="D9859" t="str">
        <f>"9781405872010"</f>
        <v>9781405872010</v>
      </c>
      <c r="E9859" t="s">
        <v>10450</v>
      </c>
      <c r="F9859" t="s">
        <v>10453</v>
      </c>
      <c r="G9859" s="1">
        <v>38688</v>
      </c>
      <c r="H9859" s="1">
        <v>1</v>
      </c>
      <c r="I9859" t="s">
        <v>12</v>
      </c>
      <c r="J9859" t="s">
        <v>20629</v>
      </c>
    </row>
    <row r="9860" spans="1:10" x14ac:dyDescent="0.25">
      <c r="A9860">
        <v>5138201</v>
      </c>
      <c r="B9860" t="s">
        <v>10462</v>
      </c>
      <c r="C9860" t="str">
        <f>"9780273693192"</f>
        <v>9780273693192</v>
      </c>
      <c r="D9860" t="str">
        <f>"9781405871754"</f>
        <v>9781405871754</v>
      </c>
      <c r="E9860" t="s">
        <v>10450</v>
      </c>
      <c r="F9860" t="s">
        <v>10453</v>
      </c>
      <c r="G9860" s="1">
        <v>38737</v>
      </c>
      <c r="H9860" s="1">
        <v>1</v>
      </c>
      <c r="I9860" t="s">
        <v>12</v>
      </c>
      <c r="J9860" t="s">
        <v>20630</v>
      </c>
    </row>
    <row r="9861" spans="1:10" x14ac:dyDescent="0.25">
      <c r="A9861">
        <v>5138732</v>
      </c>
      <c r="B9861" t="s">
        <v>10463</v>
      </c>
      <c r="C9861" t="str">
        <f>"9780273646358"</f>
        <v>9780273646358</v>
      </c>
      <c r="D9861" t="str">
        <f>"9781405870207"</f>
        <v>9781405870207</v>
      </c>
      <c r="E9861" t="s">
        <v>10450</v>
      </c>
      <c r="F9861" t="s">
        <v>10453</v>
      </c>
      <c r="G9861" s="1">
        <v>38848</v>
      </c>
      <c r="H9861" s="1">
        <v>1</v>
      </c>
      <c r="I9861" t="s">
        <v>12</v>
      </c>
      <c r="J9861" t="s">
        <v>20631</v>
      </c>
    </row>
    <row r="9862" spans="1:10" x14ac:dyDescent="0.25">
      <c r="A9862">
        <v>5139224</v>
      </c>
      <c r="B9862" t="s">
        <v>10464</v>
      </c>
      <c r="C9862" t="str">
        <f>""</f>
        <v/>
      </c>
      <c r="D9862" t="str">
        <f>"9781280601712"</f>
        <v>9781280601712</v>
      </c>
      <c r="E9862" t="s">
        <v>10450</v>
      </c>
      <c r="F9862" t="s">
        <v>10450</v>
      </c>
      <c r="G9862" s="1">
        <v>38353</v>
      </c>
      <c r="H9862" s="1">
        <v>43348</v>
      </c>
      <c r="I9862" t="s">
        <v>12</v>
      </c>
      <c r="J9862" t="s">
        <v>20632</v>
      </c>
    </row>
    <row r="9863" spans="1:10" x14ac:dyDescent="0.25">
      <c r="A9863">
        <v>5139234</v>
      </c>
      <c r="B9863" t="s">
        <v>10465</v>
      </c>
      <c r="C9863" t="str">
        <f>"9780273688679"</f>
        <v>9780273688679</v>
      </c>
      <c r="D9863" t="str">
        <f>"9781280245176"</f>
        <v>9781280245176</v>
      </c>
      <c r="E9863" t="s">
        <v>10450</v>
      </c>
      <c r="F9863" t="s">
        <v>10450</v>
      </c>
      <c r="G9863" s="1">
        <v>38353</v>
      </c>
      <c r="H9863" s="1">
        <v>43220</v>
      </c>
      <c r="I9863" t="s">
        <v>12</v>
      </c>
      <c r="J9863" t="s">
        <v>20633</v>
      </c>
    </row>
    <row r="9864" spans="1:10" x14ac:dyDescent="0.25">
      <c r="A9864">
        <v>5139235</v>
      </c>
      <c r="B9864" t="s">
        <v>10466</v>
      </c>
      <c r="C9864" t="str">
        <f>"9781405801102"</f>
        <v>9781405801102</v>
      </c>
      <c r="D9864" t="str">
        <f>"9781280601705"</f>
        <v>9781280601705</v>
      </c>
      <c r="E9864" t="s">
        <v>10450</v>
      </c>
      <c r="F9864" t="s">
        <v>10450</v>
      </c>
      <c r="G9864" s="1">
        <v>38353</v>
      </c>
      <c r="H9864" s="1">
        <v>43220</v>
      </c>
      <c r="I9864" t="s">
        <v>12</v>
      </c>
      <c r="J9864" t="s">
        <v>20634</v>
      </c>
    </row>
    <row r="9865" spans="1:10" x14ac:dyDescent="0.25">
      <c r="A9865">
        <v>5139236</v>
      </c>
      <c r="B9865" t="s">
        <v>10467</v>
      </c>
      <c r="C9865" t="str">
        <f>"9780273702443"</f>
        <v>9780273702443</v>
      </c>
      <c r="D9865" t="str">
        <f>"9781280602078"</f>
        <v>9781280602078</v>
      </c>
      <c r="E9865" t="s">
        <v>10450</v>
      </c>
      <c r="F9865" t="s">
        <v>10450</v>
      </c>
      <c r="G9865" s="1">
        <v>38718</v>
      </c>
      <c r="H9865" s="1">
        <v>43220</v>
      </c>
      <c r="I9865" t="s">
        <v>12</v>
      </c>
      <c r="J9865" t="s">
        <v>20635</v>
      </c>
    </row>
    <row r="9866" spans="1:10" x14ac:dyDescent="0.25">
      <c r="A9866">
        <v>5139267</v>
      </c>
      <c r="B9866" t="s">
        <v>10468</v>
      </c>
      <c r="C9866" t="str">
        <f>"9780273693581"</f>
        <v>9780273693581</v>
      </c>
      <c r="D9866" t="str">
        <f>"9781280601804"</f>
        <v>9781280601804</v>
      </c>
      <c r="E9866" t="s">
        <v>10450</v>
      </c>
      <c r="F9866" t="s">
        <v>10450</v>
      </c>
      <c r="G9866" s="1">
        <v>38353</v>
      </c>
      <c r="H9866" s="1">
        <v>43220</v>
      </c>
      <c r="I9866" t="s">
        <v>12</v>
      </c>
      <c r="J9866" t="s">
        <v>20636</v>
      </c>
    </row>
    <row r="9867" spans="1:10" x14ac:dyDescent="0.25">
      <c r="A9867">
        <v>5139277</v>
      </c>
      <c r="B9867" t="s">
        <v>10469</v>
      </c>
      <c r="C9867" t="str">
        <f>"9780273703600"</f>
        <v>9780273703600</v>
      </c>
      <c r="D9867" t="str">
        <f>"9781280602122"</f>
        <v>9781280602122</v>
      </c>
      <c r="E9867" t="s">
        <v>10450</v>
      </c>
      <c r="F9867" t="s">
        <v>10450</v>
      </c>
      <c r="G9867" s="1">
        <v>38718</v>
      </c>
      <c r="H9867" s="1">
        <v>43220</v>
      </c>
      <c r="I9867" t="s">
        <v>12</v>
      </c>
      <c r="J9867" t="s">
        <v>20637</v>
      </c>
    </row>
    <row r="9868" spans="1:10" x14ac:dyDescent="0.25">
      <c r="A9868">
        <v>5139298</v>
      </c>
      <c r="B9868" t="s">
        <v>10470</v>
      </c>
      <c r="C9868" t="str">
        <f>""</f>
        <v/>
      </c>
      <c r="D9868" t="str">
        <f>"9781280601873"</f>
        <v>9781280601873</v>
      </c>
      <c r="E9868" t="s">
        <v>10450</v>
      </c>
      <c r="F9868" t="s">
        <v>10450</v>
      </c>
      <c r="G9868" s="1">
        <v>38718</v>
      </c>
      <c r="H9868" s="1">
        <v>43348</v>
      </c>
      <c r="I9868" t="s">
        <v>12</v>
      </c>
      <c r="J9868" t="s">
        <v>20638</v>
      </c>
    </row>
    <row r="9869" spans="1:10" x14ac:dyDescent="0.25">
      <c r="A9869">
        <v>5139305</v>
      </c>
      <c r="B9869" t="s">
        <v>10471</v>
      </c>
      <c r="C9869" t="str">
        <f>""</f>
        <v/>
      </c>
      <c r="D9869" t="str">
        <f>"9781280601088"</f>
        <v>9781280601088</v>
      </c>
      <c r="E9869" t="s">
        <v>10450</v>
      </c>
      <c r="F9869" t="s">
        <v>10450</v>
      </c>
      <c r="G9869" s="1">
        <v>38353</v>
      </c>
      <c r="H9869" s="1">
        <v>43348</v>
      </c>
      <c r="I9869" t="s">
        <v>12</v>
      </c>
      <c r="J9869" t="s">
        <v>20639</v>
      </c>
    </row>
    <row r="9870" spans="1:10" x14ac:dyDescent="0.25">
      <c r="A9870">
        <v>5139336</v>
      </c>
      <c r="B9870" t="s">
        <v>10472</v>
      </c>
      <c r="C9870" t="str">
        <f>""</f>
        <v/>
      </c>
      <c r="D9870" t="str">
        <f>"9781280601736"</f>
        <v>9781280601736</v>
      </c>
      <c r="E9870" t="s">
        <v>10450</v>
      </c>
      <c r="F9870" t="s">
        <v>10450</v>
      </c>
      <c r="G9870" s="1">
        <v>38353</v>
      </c>
      <c r="H9870" s="1">
        <v>1</v>
      </c>
      <c r="I9870" t="s">
        <v>12</v>
      </c>
      <c r="J9870" t="s">
        <v>20640</v>
      </c>
    </row>
    <row r="9871" spans="1:10" x14ac:dyDescent="0.25">
      <c r="A9871">
        <v>5139379</v>
      </c>
      <c r="B9871" t="s">
        <v>10473</v>
      </c>
      <c r="C9871" t="str">
        <f>""</f>
        <v/>
      </c>
      <c r="D9871" t="str">
        <f>"9781280602207"</f>
        <v>9781280602207</v>
      </c>
      <c r="E9871" t="s">
        <v>10450</v>
      </c>
      <c r="F9871" t="s">
        <v>10450</v>
      </c>
      <c r="G9871" s="1">
        <v>38718</v>
      </c>
      <c r="H9871" s="1">
        <v>1</v>
      </c>
      <c r="I9871" t="s">
        <v>12</v>
      </c>
      <c r="J9871" t="s">
        <v>20641</v>
      </c>
    </row>
    <row r="9872" spans="1:10" x14ac:dyDescent="0.25">
      <c r="A9872">
        <v>5139551</v>
      </c>
      <c r="B9872" t="s">
        <v>10474</v>
      </c>
      <c r="C9872" t="str">
        <f>"9780273688228"</f>
        <v>9780273688228</v>
      </c>
      <c r="D9872" t="str">
        <f>"9781280601682"</f>
        <v>9781280601682</v>
      </c>
      <c r="E9872" t="s">
        <v>10450</v>
      </c>
      <c r="F9872" t="s">
        <v>10450</v>
      </c>
      <c r="G9872" s="1">
        <v>38353</v>
      </c>
      <c r="H9872" s="1">
        <v>43220</v>
      </c>
      <c r="I9872" t="s">
        <v>12</v>
      </c>
      <c r="J9872" t="s">
        <v>20642</v>
      </c>
    </row>
    <row r="9873" spans="1:10" x14ac:dyDescent="0.25">
      <c r="A9873">
        <v>5139580</v>
      </c>
      <c r="B9873" t="s">
        <v>10475</v>
      </c>
      <c r="C9873" t="str">
        <f>""</f>
        <v/>
      </c>
      <c r="D9873" t="str">
        <f>"9781280602115"</f>
        <v>9781280602115</v>
      </c>
      <c r="E9873" t="s">
        <v>10450</v>
      </c>
      <c r="F9873" t="s">
        <v>10450</v>
      </c>
      <c r="G9873" s="1">
        <v>38718</v>
      </c>
      <c r="H9873" s="1">
        <v>43348</v>
      </c>
      <c r="I9873" t="s">
        <v>12</v>
      </c>
      <c r="J9873" t="s">
        <v>20643</v>
      </c>
    </row>
    <row r="9874" spans="1:10" x14ac:dyDescent="0.25">
      <c r="A9874">
        <v>5139627</v>
      </c>
      <c r="B9874" t="s">
        <v>10476</v>
      </c>
      <c r="C9874" t="str">
        <f>"9780273681182"</f>
        <v>9780273681182</v>
      </c>
      <c r="D9874" t="str">
        <f>"9781280601033"</f>
        <v>9781280601033</v>
      </c>
      <c r="E9874" t="s">
        <v>10450</v>
      </c>
      <c r="F9874" t="s">
        <v>10450</v>
      </c>
      <c r="G9874" s="1">
        <v>38353</v>
      </c>
      <c r="H9874" s="1">
        <v>43220</v>
      </c>
      <c r="I9874" t="s">
        <v>12</v>
      </c>
      <c r="J9874" t="s">
        <v>20644</v>
      </c>
    </row>
    <row r="9875" spans="1:10" x14ac:dyDescent="0.25">
      <c r="A9875">
        <v>5139639</v>
      </c>
      <c r="B9875" t="s">
        <v>10477</v>
      </c>
      <c r="C9875" t="str">
        <f>""</f>
        <v/>
      </c>
      <c r="D9875" t="str">
        <f>"9781280602771"</f>
        <v>9781280602771</v>
      </c>
      <c r="E9875" t="s">
        <v>10450</v>
      </c>
      <c r="F9875" t="s">
        <v>10450</v>
      </c>
      <c r="G9875" s="1">
        <v>38718</v>
      </c>
      <c r="H9875" s="1">
        <v>1</v>
      </c>
      <c r="I9875" t="s">
        <v>12</v>
      </c>
      <c r="J9875" t="s">
        <v>20645</v>
      </c>
    </row>
    <row r="9876" spans="1:10" x14ac:dyDescent="0.25">
      <c r="A9876">
        <v>5139654</v>
      </c>
      <c r="B9876" t="s">
        <v>10478</v>
      </c>
      <c r="C9876" t="str">
        <f>"9780273663300"</f>
        <v>9780273663300</v>
      </c>
      <c r="D9876" t="str">
        <f>"9781280600661"</f>
        <v>9781280600661</v>
      </c>
      <c r="E9876" t="s">
        <v>10450</v>
      </c>
      <c r="F9876" t="s">
        <v>10450</v>
      </c>
      <c r="G9876" s="1">
        <v>37622</v>
      </c>
      <c r="H9876" s="1">
        <v>1</v>
      </c>
      <c r="I9876" t="s">
        <v>12</v>
      </c>
      <c r="J9876" t="s">
        <v>20646</v>
      </c>
    </row>
    <row r="9877" spans="1:10" x14ac:dyDescent="0.25">
      <c r="A9877">
        <v>5139693</v>
      </c>
      <c r="B9877" t="s">
        <v>10479</v>
      </c>
      <c r="C9877" t="str">
        <f>""</f>
        <v/>
      </c>
      <c r="D9877" t="str">
        <f>"9781280601767"</f>
        <v>9781280601767</v>
      </c>
      <c r="E9877" t="s">
        <v>10450</v>
      </c>
      <c r="F9877" t="s">
        <v>10450</v>
      </c>
      <c r="G9877" s="1">
        <v>38718</v>
      </c>
      <c r="H9877" s="1">
        <v>43348</v>
      </c>
      <c r="I9877" t="s">
        <v>12</v>
      </c>
      <c r="J9877" t="s">
        <v>20647</v>
      </c>
    </row>
    <row r="9878" spans="1:10" x14ac:dyDescent="0.25">
      <c r="A9878">
        <v>5139702</v>
      </c>
      <c r="B9878" t="s">
        <v>10480</v>
      </c>
      <c r="C9878" t="str">
        <f>"9780273686439"</f>
        <v>9780273686439</v>
      </c>
      <c r="D9878" t="str">
        <f>"9781280601507"</f>
        <v>9781280601507</v>
      </c>
      <c r="E9878" t="s">
        <v>10450</v>
      </c>
      <c r="F9878" t="s">
        <v>10450</v>
      </c>
      <c r="G9878" s="1">
        <v>38353</v>
      </c>
      <c r="H9878" s="1">
        <v>43220</v>
      </c>
      <c r="I9878" t="s">
        <v>12</v>
      </c>
      <c r="J9878" t="s">
        <v>20648</v>
      </c>
    </row>
    <row r="9879" spans="1:10" x14ac:dyDescent="0.25">
      <c r="A9879">
        <v>5139714</v>
      </c>
      <c r="B9879" t="s">
        <v>10481</v>
      </c>
      <c r="C9879" t="str">
        <f>""</f>
        <v/>
      </c>
      <c r="D9879" t="str">
        <f>"9781280602054"</f>
        <v>9781280602054</v>
      </c>
      <c r="E9879" t="s">
        <v>10450</v>
      </c>
      <c r="F9879" t="s">
        <v>10450</v>
      </c>
      <c r="G9879" s="1">
        <v>38718</v>
      </c>
      <c r="H9879" s="1">
        <v>43348</v>
      </c>
      <c r="I9879" t="s">
        <v>12</v>
      </c>
      <c r="J9879" t="s">
        <v>20649</v>
      </c>
    </row>
    <row r="9880" spans="1:10" x14ac:dyDescent="0.25">
      <c r="A9880">
        <v>5139715</v>
      </c>
      <c r="B9880" t="s">
        <v>10482</v>
      </c>
      <c r="C9880" t="str">
        <f>"9780273703402"</f>
        <v>9780273703402</v>
      </c>
      <c r="D9880" t="str">
        <f>"9781280602108"</f>
        <v>9781280602108</v>
      </c>
      <c r="E9880" t="s">
        <v>10450</v>
      </c>
      <c r="F9880" t="s">
        <v>10450</v>
      </c>
      <c r="G9880" s="1">
        <v>38718</v>
      </c>
      <c r="H9880" s="1">
        <v>43220</v>
      </c>
      <c r="I9880" t="s">
        <v>12</v>
      </c>
      <c r="J9880" t="s">
        <v>20650</v>
      </c>
    </row>
    <row r="9881" spans="1:10" x14ac:dyDescent="0.25">
      <c r="A9881">
        <v>5139716</v>
      </c>
      <c r="B9881" t="s">
        <v>10483</v>
      </c>
      <c r="C9881" t="str">
        <f>""</f>
        <v/>
      </c>
      <c r="D9881" t="str">
        <f>"9781280602146"</f>
        <v>9781280602146</v>
      </c>
      <c r="E9881" t="s">
        <v>10450</v>
      </c>
      <c r="F9881" t="s">
        <v>10450</v>
      </c>
      <c r="G9881" s="1">
        <v>38718</v>
      </c>
      <c r="H9881" s="1">
        <v>43348</v>
      </c>
      <c r="I9881" t="s">
        <v>12</v>
      </c>
      <c r="J9881" t="s">
        <v>20651</v>
      </c>
    </row>
    <row r="9882" spans="1:10" x14ac:dyDescent="0.25">
      <c r="A9882">
        <v>5139740</v>
      </c>
      <c r="B9882" t="s">
        <v>10484</v>
      </c>
      <c r="C9882" t="str">
        <f>"9780273693109"</f>
        <v>9780273693109</v>
      </c>
      <c r="D9882" t="str">
        <f>"9781280601774"</f>
        <v>9781280601774</v>
      </c>
      <c r="E9882" t="s">
        <v>10450</v>
      </c>
      <c r="F9882" t="s">
        <v>10450</v>
      </c>
      <c r="G9882" s="1">
        <v>38353</v>
      </c>
      <c r="H9882" s="1">
        <v>43220</v>
      </c>
      <c r="I9882" t="s">
        <v>12</v>
      </c>
      <c r="J9882" t="s">
        <v>20652</v>
      </c>
    </row>
    <row r="9883" spans="1:10" x14ac:dyDescent="0.25">
      <c r="A9883">
        <v>5139825</v>
      </c>
      <c r="B9883" t="s">
        <v>10485</v>
      </c>
      <c r="C9883" t="str">
        <f>""</f>
        <v/>
      </c>
      <c r="D9883" t="str">
        <f>"9781280848773"</f>
        <v>9781280848773</v>
      </c>
      <c r="E9883" t="s">
        <v>10337</v>
      </c>
      <c r="F9883" t="s">
        <v>10345</v>
      </c>
      <c r="G9883" s="1">
        <v>38718</v>
      </c>
      <c r="H9883" s="1">
        <v>1</v>
      </c>
      <c r="I9883" t="s">
        <v>12</v>
      </c>
      <c r="J9883" t="s">
        <v>20653</v>
      </c>
    </row>
    <row r="9884" spans="1:10" x14ac:dyDescent="0.25">
      <c r="A9884">
        <v>5139834</v>
      </c>
      <c r="B9884" t="s">
        <v>10486</v>
      </c>
      <c r="C9884" t="str">
        <f>""</f>
        <v/>
      </c>
      <c r="D9884" t="str">
        <f>"9781280848308"</f>
        <v>9781280848308</v>
      </c>
      <c r="E9884" t="s">
        <v>10337</v>
      </c>
      <c r="F9884" t="s">
        <v>10355</v>
      </c>
      <c r="G9884" s="1">
        <v>38718</v>
      </c>
      <c r="H9884" s="1">
        <v>1</v>
      </c>
      <c r="I9884" t="s">
        <v>12</v>
      </c>
      <c r="J9884" t="s">
        <v>20654</v>
      </c>
    </row>
    <row r="9885" spans="1:10" x14ac:dyDescent="0.25">
      <c r="A9885">
        <v>5139838</v>
      </c>
      <c r="B9885" t="s">
        <v>10487</v>
      </c>
      <c r="C9885" t="str">
        <f>""</f>
        <v/>
      </c>
      <c r="D9885" t="str">
        <f>"9781280755675"</f>
        <v>9781280755675</v>
      </c>
      <c r="E9885" t="s">
        <v>10337</v>
      </c>
      <c r="F9885" t="s">
        <v>10422</v>
      </c>
      <c r="G9885" s="1">
        <v>38718</v>
      </c>
      <c r="H9885" s="1">
        <v>1</v>
      </c>
      <c r="I9885" t="s">
        <v>12</v>
      </c>
      <c r="J9885" t="s">
        <v>20655</v>
      </c>
    </row>
    <row r="9886" spans="1:10" x14ac:dyDescent="0.25">
      <c r="A9886">
        <v>5139848</v>
      </c>
      <c r="B9886" t="s">
        <v>10488</v>
      </c>
      <c r="C9886" t="str">
        <f>""</f>
        <v/>
      </c>
      <c r="D9886" t="str">
        <f>"9781280848575"</f>
        <v>9781280848575</v>
      </c>
      <c r="E9886" t="s">
        <v>10337</v>
      </c>
      <c r="F9886" t="s">
        <v>10345</v>
      </c>
      <c r="G9886" s="1">
        <v>38718</v>
      </c>
      <c r="H9886" s="1">
        <v>1</v>
      </c>
      <c r="I9886" t="s">
        <v>12</v>
      </c>
      <c r="J9886" t="s">
        <v>20656</v>
      </c>
    </row>
    <row r="9887" spans="1:10" x14ac:dyDescent="0.25">
      <c r="A9887">
        <v>5139849</v>
      </c>
      <c r="B9887" t="s">
        <v>10489</v>
      </c>
      <c r="C9887" t="str">
        <f>""</f>
        <v/>
      </c>
      <c r="D9887" t="str">
        <f>"9781280848780"</f>
        <v>9781280848780</v>
      </c>
      <c r="E9887" t="s">
        <v>10337</v>
      </c>
      <c r="F9887" t="s">
        <v>10338</v>
      </c>
      <c r="G9887" s="1">
        <v>38718</v>
      </c>
      <c r="H9887" s="1">
        <v>1</v>
      </c>
      <c r="I9887" t="s">
        <v>12</v>
      </c>
      <c r="J9887" t="s">
        <v>20657</v>
      </c>
    </row>
    <row r="9888" spans="1:10" x14ac:dyDescent="0.25">
      <c r="A9888">
        <v>5139855</v>
      </c>
      <c r="B9888" t="s">
        <v>10490</v>
      </c>
      <c r="C9888" t="str">
        <f>""</f>
        <v/>
      </c>
      <c r="D9888" t="str">
        <f>"9781280848339"</f>
        <v>9781280848339</v>
      </c>
      <c r="E9888" t="s">
        <v>10337</v>
      </c>
      <c r="F9888" t="s">
        <v>10357</v>
      </c>
      <c r="G9888" s="1">
        <v>38718</v>
      </c>
      <c r="H9888" s="1">
        <v>1</v>
      </c>
      <c r="I9888" t="s">
        <v>12</v>
      </c>
      <c r="J9888" t="s">
        <v>20658</v>
      </c>
    </row>
    <row r="9889" spans="1:10" x14ac:dyDescent="0.25">
      <c r="A9889">
        <v>5139856</v>
      </c>
      <c r="B9889" t="s">
        <v>10491</v>
      </c>
      <c r="C9889" t="str">
        <f>""</f>
        <v/>
      </c>
      <c r="D9889" t="str">
        <f>"9781280755538"</f>
        <v>9781280755538</v>
      </c>
      <c r="E9889" t="s">
        <v>10337</v>
      </c>
      <c r="F9889" t="s">
        <v>10422</v>
      </c>
      <c r="G9889" s="1">
        <v>38398</v>
      </c>
      <c r="H9889" s="1">
        <v>1</v>
      </c>
      <c r="I9889" t="s">
        <v>12</v>
      </c>
      <c r="J9889" t="s">
        <v>20659</v>
      </c>
    </row>
    <row r="9890" spans="1:10" x14ac:dyDescent="0.25">
      <c r="A9890">
        <v>5139858</v>
      </c>
      <c r="B9890" t="s">
        <v>10492</v>
      </c>
      <c r="C9890" t="str">
        <f>""</f>
        <v/>
      </c>
      <c r="D9890" t="str">
        <f>"9781280848537"</f>
        <v>9781280848537</v>
      </c>
      <c r="E9890" t="s">
        <v>10337</v>
      </c>
      <c r="F9890" t="s">
        <v>10345</v>
      </c>
      <c r="G9890" s="1">
        <v>38718</v>
      </c>
      <c r="H9890" s="1">
        <v>1</v>
      </c>
      <c r="I9890" t="s">
        <v>12</v>
      </c>
      <c r="J9890" t="s">
        <v>20660</v>
      </c>
    </row>
    <row r="9891" spans="1:10" x14ac:dyDescent="0.25">
      <c r="A9891">
        <v>5139861</v>
      </c>
      <c r="B9891" t="s">
        <v>10493</v>
      </c>
      <c r="C9891" t="str">
        <f>""</f>
        <v/>
      </c>
      <c r="D9891" t="str">
        <f>"9781280848599"</f>
        <v>9781280848599</v>
      </c>
      <c r="E9891" t="s">
        <v>10337</v>
      </c>
      <c r="F9891" t="s">
        <v>10345</v>
      </c>
      <c r="G9891" s="1">
        <v>38718</v>
      </c>
      <c r="H9891" s="1">
        <v>1</v>
      </c>
      <c r="I9891" t="s">
        <v>12</v>
      </c>
      <c r="J9891" t="s">
        <v>20661</v>
      </c>
    </row>
    <row r="9892" spans="1:10" x14ac:dyDescent="0.25">
      <c r="A9892">
        <v>5139862</v>
      </c>
      <c r="B9892" t="s">
        <v>10494</v>
      </c>
      <c r="C9892" t="str">
        <f>""</f>
        <v/>
      </c>
      <c r="D9892" t="str">
        <f>"9781280848759"</f>
        <v>9781280848759</v>
      </c>
      <c r="E9892" t="s">
        <v>10337</v>
      </c>
      <c r="F9892" t="s">
        <v>10345</v>
      </c>
      <c r="G9892" s="1">
        <v>38718</v>
      </c>
      <c r="H9892" s="1">
        <v>1</v>
      </c>
      <c r="I9892" t="s">
        <v>12</v>
      </c>
      <c r="J9892" t="s">
        <v>20662</v>
      </c>
    </row>
    <row r="9893" spans="1:10" x14ac:dyDescent="0.25">
      <c r="A9893">
        <v>5139865</v>
      </c>
      <c r="B9893" t="s">
        <v>10495</v>
      </c>
      <c r="C9893" t="str">
        <f>""</f>
        <v/>
      </c>
      <c r="D9893" t="str">
        <f>"9781280848506"</f>
        <v>9781280848506</v>
      </c>
      <c r="E9893" t="s">
        <v>10337</v>
      </c>
      <c r="F9893" t="s">
        <v>10345</v>
      </c>
      <c r="G9893" s="1">
        <v>39083</v>
      </c>
      <c r="H9893" s="1">
        <v>1</v>
      </c>
      <c r="I9893" t="s">
        <v>12</v>
      </c>
      <c r="J9893" t="s">
        <v>20663</v>
      </c>
    </row>
    <row r="9894" spans="1:10" x14ac:dyDescent="0.25">
      <c r="A9894">
        <v>5139868</v>
      </c>
      <c r="B9894" t="s">
        <v>10496</v>
      </c>
      <c r="C9894" t="str">
        <f>""</f>
        <v/>
      </c>
      <c r="D9894" t="str">
        <f>"9781280848742"</f>
        <v>9781280848742</v>
      </c>
      <c r="E9894" t="s">
        <v>10337</v>
      </c>
      <c r="F9894" t="s">
        <v>10345</v>
      </c>
      <c r="G9894" s="1">
        <v>38718</v>
      </c>
      <c r="H9894" s="1">
        <v>1</v>
      </c>
      <c r="I9894" t="s">
        <v>12</v>
      </c>
      <c r="J9894" t="s">
        <v>20664</v>
      </c>
    </row>
    <row r="9895" spans="1:10" x14ac:dyDescent="0.25">
      <c r="A9895">
        <v>5139872</v>
      </c>
      <c r="B9895" t="s">
        <v>10497</v>
      </c>
      <c r="C9895" t="str">
        <f>""</f>
        <v/>
      </c>
      <c r="D9895" t="str">
        <f>"9781280848650"</f>
        <v>9781280848650</v>
      </c>
      <c r="E9895" t="s">
        <v>10337</v>
      </c>
      <c r="F9895" t="s">
        <v>10345</v>
      </c>
      <c r="G9895" s="1">
        <v>38718</v>
      </c>
      <c r="H9895" s="1">
        <v>1</v>
      </c>
      <c r="I9895" t="s">
        <v>12</v>
      </c>
      <c r="J9895" t="s">
        <v>20665</v>
      </c>
    </row>
    <row r="9896" spans="1:10" x14ac:dyDescent="0.25">
      <c r="A9896">
        <v>5139883</v>
      </c>
      <c r="B9896" t="s">
        <v>10498</v>
      </c>
      <c r="C9896" t="str">
        <f>""</f>
        <v/>
      </c>
      <c r="D9896" t="str">
        <f>"9781280848612"</f>
        <v>9781280848612</v>
      </c>
      <c r="E9896" t="s">
        <v>10337</v>
      </c>
      <c r="F9896" t="s">
        <v>10345</v>
      </c>
      <c r="G9896" s="1">
        <v>39083</v>
      </c>
      <c r="H9896" s="1">
        <v>1</v>
      </c>
      <c r="I9896" t="s">
        <v>12</v>
      </c>
      <c r="J9896" t="s">
        <v>20666</v>
      </c>
    </row>
    <row r="9897" spans="1:10" x14ac:dyDescent="0.25">
      <c r="A9897">
        <v>5139886</v>
      </c>
      <c r="B9897" t="s">
        <v>10499</v>
      </c>
      <c r="C9897" t="str">
        <f>""</f>
        <v/>
      </c>
      <c r="D9897" t="str">
        <f>"9781280848636"</f>
        <v>9781280848636</v>
      </c>
      <c r="E9897" t="s">
        <v>10337</v>
      </c>
      <c r="F9897" t="s">
        <v>10500</v>
      </c>
      <c r="G9897" s="1">
        <v>38718</v>
      </c>
      <c r="H9897" s="1">
        <v>1</v>
      </c>
      <c r="I9897" t="s">
        <v>12</v>
      </c>
      <c r="J9897" t="s">
        <v>20667</v>
      </c>
    </row>
    <row r="9898" spans="1:10" x14ac:dyDescent="0.25">
      <c r="A9898">
        <v>5139888</v>
      </c>
      <c r="B9898" t="s">
        <v>10501</v>
      </c>
      <c r="C9898" t="str">
        <f>""</f>
        <v/>
      </c>
      <c r="D9898" t="str">
        <f>"9781280848605"</f>
        <v>9781280848605</v>
      </c>
      <c r="E9898" t="s">
        <v>10337</v>
      </c>
      <c r="F9898" t="s">
        <v>10345</v>
      </c>
      <c r="G9898" s="1">
        <v>38718</v>
      </c>
      <c r="H9898" s="1">
        <v>1</v>
      </c>
      <c r="I9898" t="s">
        <v>12</v>
      </c>
      <c r="J9898" t="s">
        <v>20668</v>
      </c>
    </row>
    <row r="9899" spans="1:10" x14ac:dyDescent="0.25">
      <c r="A9899">
        <v>5139889</v>
      </c>
      <c r="B9899" t="s">
        <v>10502</v>
      </c>
      <c r="C9899" t="str">
        <f>"9780789735775"</f>
        <v>9780789735775</v>
      </c>
      <c r="D9899" t="str">
        <f>"9781281075512"</f>
        <v>9781281075512</v>
      </c>
      <c r="E9899" t="s">
        <v>10337</v>
      </c>
      <c r="F9899" t="s">
        <v>10338</v>
      </c>
      <c r="G9899" s="1">
        <v>39083</v>
      </c>
      <c r="H9899" s="1">
        <v>1</v>
      </c>
      <c r="I9899" t="s">
        <v>12</v>
      </c>
      <c r="J9899" t="s">
        <v>20669</v>
      </c>
    </row>
    <row r="9900" spans="1:10" x14ac:dyDescent="0.25">
      <c r="A9900">
        <v>5139908</v>
      </c>
      <c r="B9900" t="s">
        <v>10503</v>
      </c>
      <c r="C9900" t="str">
        <f>""</f>
        <v/>
      </c>
      <c r="D9900" t="str">
        <f>"9781280848315"</f>
        <v>9781280848315</v>
      </c>
      <c r="E9900" t="s">
        <v>10337</v>
      </c>
      <c r="F9900" t="s">
        <v>10357</v>
      </c>
      <c r="G9900" s="1">
        <v>38718</v>
      </c>
      <c r="H9900" s="1">
        <v>1</v>
      </c>
      <c r="I9900" t="s">
        <v>12</v>
      </c>
      <c r="J9900" t="s">
        <v>20670</v>
      </c>
    </row>
    <row r="9901" spans="1:10" x14ac:dyDescent="0.25">
      <c r="A9901">
        <v>5139910</v>
      </c>
      <c r="B9901" t="s">
        <v>10504</v>
      </c>
      <c r="C9901" t="str">
        <f>""</f>
        <v/>
      </c>
      <c r="D9901" t="str">
        <f>"9781280912061"</f>
        <v>9781280912061</v>
      </c>
      <c r="E9901" t="s">
        <v>10337</v>
      </c>
      <c r="F9901" t="s">
        <v>10337</v>
      </c>
      <c r="G9901" s="1">
        <v>39083</v>
      </c>
      <c r="H9901" s="1">
        <v>1</v>
      </c>
      <c r="I9901" t="s">
        <v>12</v>
      </c>
      <c r="J9901" t="s">
        <v>20671</v>
      </c>
    </row>
    <row r="9902" spans="1:10" x14ac:dyDescent="0.25">
      <c r="A9902">
        <v>5139916</v>
      </c>
      <c r="B9902" t="s">
        <v>10505</v>
      </c>
      <c r="C9902" t="str">
        <f>""</f>
        <v/>
      </c>
      <c r="D9902" t="str">
        <f>"9781280848643"</f>
        <v>9781280848643</v>
      </c>
      <c r="E9902" t="s">
        <v>10337</v>
      </c>
      <c r="F9902" t="s">
        <v>10345</v>
      </c>
      <c r="G9902" s="1">
        <v>38718</v>
      </c>
      <c r="H9902" s="1">
        <v>1</v>
      </c>
      <c r="I9902" t="s">
        <v>12</v>
      </c>
      <c r="J9902" t="s">
        <v>20672</v>
      </c>
    </row>
    <row r="9903" spans="1:10" x14ac:dyDescent="0.25">
      <c r="A9903">
        <v>5139917</v>
      </c>
      <c r="B9903" t="s">
        <v>10506</v>
      </c>
      <c r="C9903" t="str">
        <f>""</f>
        <v/>
      </c>
      <c r="D9903" t="str">
        <f>"9781280848285"</f>
        <v>9781280848285</v>
      </c>
      <c r="E9903" t="s">
        <v>10337</v>
      </c>
      <c r="F9903" t="s">
        <v>10357</v>
      </c>
      <c r="G9903" s="1">
        <v>38718</v>
      </c>
      <c r="H9903" s="1">
        <v>1</v>
      </c>
      <c r="I9903" t="s">
        <v>12</v>
      </c>
      <c r="J9903" t="s">
        <v>20673</v>
      </c>
    </row>
    <row r="9904" spans="1:10" x14ac:dyDescent="0.25">
      <c r="A9904">
        <v>5139919</v>
      </c>
      <c r="B9904" t="s">
        <v>10507</v>
      </c>
      <c r="C9904" t="str">
        <f>""</f>
        <v/>
      </c>
      <c r="D9904" t="str">
        <f>"9781280848667"</f>
        <v>9781280848667</v>
      </c>
      <c r="E9904" t="s">
        <v>10337</v>
      </c>
      <c r="F9904" t="s">
        <v>10345</v>
      </c>
      <c r="G9904" s="1">
        <v>39083</v>
      </c>
      <c r="H9904" s="1">
        <v>1</v>
      </c>
      <c r="I9904" t="s">
        <v>12</v>
      </c>
      <c r="J9904" t="s">
        <v>20674</v>
      </c>
    </row>
    <row r="9905" spans="1:10" x14ac:dyDescent="0.25">
      <c r="A9905">
        <v>5139920</v>
      </c>
      <c r="B9905" t="s">
        <v>10508</v>
      </c>
      <c r="C9905" t="str">
        <f>""</f>
        <v/>
      </c>
      <c r="D9905" t="str">
        <f>"9781280848681"</f>
        <v>9781280848681</v>
      </c>
      <c r="E9905" t="s">
        <v>10337</v>
      </c>
      <c r="F9905" t="s">
        <v>10345</v>
      </c>
      <c r="G9905" s="1">
        <v>39083</v>
      </c>
      <c r="H9905" s="1">
        <v>1</v>
      </c>
      <c r="I9905" t="s">
        <v>12</v>
      </c>
      <c r="J9905" t="s">
        <v>20675</v>
      </c>
    </row>
    <row r="9906" spans="1:10" x14ac:dyDescent="0.25">
      <c r="A9906">
        <v>5243643</v>
      </c>
      <c r="B9906" t="s">
        <v>10509</v>
      </c>
      <c r="C9906" t="str">
        <f>""</f>
        <v/>
      </c>
      <c r="D9906" t="str">
        <f>"9781281060594"</f>
        <v>9781281060594</v>
      </c>
      <c r="E9906" t="s">
        <v>10337</v>
      </c>
      <c r="F9906" t="s">
        <v>10343</v>
      </c>
      <c r="G9906" s="1">
        <v>39083</v>
      </c>
      <c r="H9906" s="1">
        <v>1</v>
      </c>
      <c r="I9906" t="s">
        <v>12</v>
      </c>
      <c r="J9906" t="s">
        <v>20676</v>
      </c>
    </row>
    <row r="9907" spans="1:10" x14ac:dyDescent="0.25">
      <c r="A9907">
        <v>5247621</v>
      </c>
      <c r="B9907" t="s">
        <v>10510</v>
      </c>
      <c r="C9907" t="str">
        <f>""</f>
        <v/>
      </c>
      <c r="D9907" t="str">
        <f>"9781280284625"</f>
        <v>9781280284625</v>
      </c>
      <c r="E9907" t="s">
        <v>9391</v>
      </c>
      <c r="F9907" t="s">
        <v>9391</v>
      </c>
      <c r="G9907" s="1">
        <v>37972</v>
      </c>
      <c r="H9907" s="1">
        <v>43153</v>
      </c>
      <c r="I9907" t="s">
        <v>12</v>
      </c>
      <c r="J9907" t="s">
        <v>20677</v>
      </c>
    </row>
    <row r="9908" spans="1:10" x14ac:dyDescent="0.25">
      <c r="A9908">
        <v>5250368</v>
      </c>
      <c r="B9908" t="s">
        <v>10511</v>
      </c>
      <c r="C9908" t="str">
        <f>"9781845282486"</f>
        <v>9781845282486</v>
      </c>
      <c r="D9908" t="str">
        <f>"9781848032101"</f>
        <v>9781848032101</v>
      </c>
      <c r="E9908" t="s">
        <v>4908</v>
      </c>
      <c r="F9908" t="s">
        <v>10512</v>
      </c>
      <c r="G9908" s="1">
        <v>39377</v>
      </c>
      <c r="H9908" s="1">
        <v>1</v>
      </c>
      <c r="I9908" t="s">
        <v>12</v>
      </c>
      <c r="J9908" t="s">
        <v>20678</v>
      </c>
    </row>
    <row r="9909" spans="1:10" x14ac:dyDescent="0.25">
      <c r="A9909">
        <v>5250369</v>
      </c>
      <c r="B9909" t="s">
        <v>10513</v>
      </c>
      <c r="C9909" t="str">
        <f>"9781845281090"</f>
        <v>9781845281090</v>
      </c>
      <c r="D9909" t="str">
        <f>"9781848031616"</f>
        <v>9781848031616</v>
      </c>
      <c r="E9909" t="s">
        <v>4908</v>
      </c>
      <c r="F9909" t="s">
        <v>10512</v>
      </c>
      <c r="G9909" s="1">
        <v>39083</v>
      </c>
      <c r="H9909" s="1">
        <v>1</v>
      </c>
      <c r="I9909" t="s">
        <v>12</v>
      </c>
      <c r="J9909" t="s">
        <v>20679</v>
      </c>
    </row>
    <row r="9910" spans="1:10" x14ac:dyDescent="0.25">
      <c r="A9910">
        <v>5250370</v>
      </c>
      <c r="B9910" t="s">
        <v>10514</v>
      </c>
      <c r="C9910" t="str">
        <f>"9781845281670"</f>
        <v>9781845281670</v>
      </c>
      <c r="D9910" t="str">
        <f>"9781848031487"</f>
        <v>9781848031487</v>
      </c>
      <c r="E9910" t="s">
        <v>4908</v>
      </c>
      <c r="F9910" t="s">
        <v>10512</v>
      </c>
      <c r="G9910" s="1">
        <v>39097</v>
      </c>
      <c r="H9910" s="1">
        <v>1</v>
      </c>
      <c r="I9910" t="s">
        <v>12</v>
      </c>
      <c r="J9910" t="s">
        <v>20680</v>
      </c>
    </row>
    <row r="9911" spans="1:10" x14ac:dyDescent="0.25">
      <c r="A9911">
        <v>5250372</v>
      </c>
      <c r="B9911" t="s">
        <v>10515</v>
      </c>
      <c r="C9911" t="str">
        <f>"9781848030060"</f>
        <v>9781848030060</v>
      </c>
      <c r="D9911" t="str">
        <f>"9781281253552"</f>
        <v>9781281253552</v>
      </c>
      <c r="E9911" t="s">
        <v>4908</v>
      </c>
      <c r="F9911" t="s">
        <v>10512</v>
      </c>
      <c r="G9911" s="1">
        <v>38353</v>
      </c>
      <c r="H9911" s="1">
        <v>1</v>
      </c>
      <c r="I9911" t="s">
        <v>12</v>
      </c>
      <c r="J9911" t="s">
        <v>20681</v>
      </c>
    </row>
    <row r="9912" spans="1:10" x14ac:dyDescent="0.25">
      <c r="A9912">
        <v>5250373</v>
      </c>
      <c r="B9912" t="s">
        <v>10516</v>
      </c>
      <c r="C9912" t="str">
        <f>"9781845282585"</f>
        <v>9781845282585</v>
      </c>
      <c r="D9912" t="str">
        <f>"9781848032125"</f>
        <v>9781848032125</v>
      </c>
      <c r="E9912" t="s">
        <v>4908</v>
      </c>
      <c r="F9912" t="s">
        <v>10512</v>
      </c>
      <c r="G9912" s="1">
        <v>39377</v>
      </c>
      <c r="H9912" s="1">
        <v>1</v>
      </c>
      <c r="I9912" t="s">
        <v>12</v>
      </c>
      <c r="J9912" t="s">
        <v>20682</v>
      </c>
    </row>
    <row r="9913" spans="1:10" x14ac:dyDescent="0.25">
      <c r="A9913">
        <v>5250374</v>
      </c>
      <c r="B9913" t="s">
        <v>10517</v>
      </c>
      <c r="C9913" t="str">
        <f>"9781845281885"</f>
        <v>9781845281885</v>
      </c>
      <c r="D9913" t="str">
        <f>"9781848031739"</f>
        <v>9781848031739</v>
      </c>
      <c r="E9913" t="s">
        <v>4908</v>
      </c>
      <c r="F9913" t="s">
        <v>10512</v>
      </c>
      <c r="G9913" s="1">
        <v>39227</v>
      </c>
      <c r="H9913" s="1">
        <v>1</v>
      </c>
      <c r="I9913" t="s">
        <v>12</v>
      </c>
      <c r="J9913" t="s">
        <v>20683</v>
      </c>
    </row>
    <row r="9914" spans="1:10" x14ac:dyDescent="0.25">
      <c r="A9914">
        <v>5250375</v>
      </c>
      <c r="B9914" t="s">
        <v>10518</v>
      </c>
      <c r="C9914" t="str">
        <f>"9781845281984"</f>
        <v>9781845281984</v>
      </c>
      <c r="D9914" t="str">
        <f>"9781848032255"</f>
        <v>9781848032255</v>
      </c>
      <c r="E9914" t="s">
        <v>4908</v>
      </c>
      <c r="F9914" t="s">
        <v>10512</v>
      </c>
      <c r="G9914" s="1">
        <v>39315</v>
      </c>
      <c r="H9914" s="1">
        <v>1</v>
      </c>
      <c r="I9914" t="s">
        <v>12</v>
      </c>
      <c r="J9914" t="s">
        <v>20684</v>
      </c>
    </row>
    <row r="9915" spans="1:10" x14ac:dyDescent="0.25">
      <c r="A9915">
        <v>5250376</v>
      </c>
      <c r="B9915" t="s">
        <v>10519</v>
      </c>
      <c r="C9915" t="str">
        <f>"9781845281977"</f>
        <v>9781845281977</v>
      </c>
      <c r="D9915" t="str">
        <f>"9781848032187"</f>
        <v>9781848032187</v>
      </c>
      <c r="E9915" t="s">
        <v>4908</v>
      </c>
      <c r="F9915" t="s">
        <v>10512</v>
      </c>
      <c r="G9915" s="1">
        <v>39353</v>
      </c>
      <c r="H9915" s="1">
        <v>1</v>
      </c>
      <c r="I9915" t="s">
        <v>12</v>
      </c>
      <c r="J9915" t="s">
        <v>20685</v>
      </c>
    </row>
    <row r="9916" spans="1:10" x14ac:dyDescent="0.25">
      <c r="A9916">
        <v>5250378</v>
      </c>
      <c r="B9916" t="s">
        <v>10520</v>
      </c>
      <c r="C9916" t="str">
        <f>"9781857038514"</f>
        <v>9781857038514</v>
      </c>
      <c r="D9916" t="str">
        <f>"9781848031760"</f>
        <v>9781848031760</v>
      </c>
      <c r="E9916" t="s">
        <v>4908</v>
      </c>
      <c r="F9916" t="s">
        <v>10512</v>
      </c>
      <c r="G9916" s="1">
        <v>39083</v>
      </c>
      <c r="H9916" s="1">
        <v>1</v>
      </c>
      <c r="I9916" t="s">
        <v>12</v>
      </c>
      <c r="J9916" t="s">
        <v>20686</v>
      </c>
    </row>
    <row r="9917" spans="1:10" x14ac:dyDescent="0.25">
      <c r="A9917">
        <v>5250380</v>
      </c>
      <c r="B9917" t="s">
        <v>10521</v>
      </c>
      <c r="C9917" t="str">
        <f>"9781857039290"</f>
        <v>9781857039290</v>
      </c>
      <c r="D9917" t="str">
        <f>"9781848031777"</f>
        <v>9781848031777</v>
      </c>
      <c r="E9917" t="s">
        <v>4908</v>
      </c>
      <c r="F9917" t="s">
        <v>10512</v>
      </c>
      <c r="G9917" s="1">
        <v>39083</v>
      </c>
      <c r="H9917" s="1">
        <v>1</v>
      </c>
      <c r="I9917" t="s">
        <v>12</v>
      </c>
      <c r="J9917" t="s">
        <v>20687</v>
      </c>
    </row>
    <row r="9918" spans="1:10" x14ac:dyDescent="0.25">
      <c r="A9918">
        <v>5250382</v>
      </c>
      <c r="B9918" t="s">
        <v>10522</v>
      </c>
      <c r="C9918" t="str">
        <f>"9781848030312"</f>
        <v>9781848030312</v>
      </c>
      <c r="D9918" t="str">
        <f>"9781281253651"</f>
        <v>9781281253651</v>
      </c>
      <c r="E9918" t="s">
        <v>4908</v>
      </c>
      <c r="F9918" t="s">
        <v>10512</v>
      </c>
      <c r="G9918" s="1">
        <v>37257</v>
      </c>
      <c r="H9918" s="1">
        <v>1</v>
      </c>
      <c r="I9918" t="s">
        <v>12</v>
      </c>
      <c r="J9918" t="s">
        <v>20688</v>
      </c>
    </row>
    <row r="9919" spans="1:10" x14ac:dyDescent="0.25">
      <c r="A9919">
        <v>5250385</v>
      </c>
      <c r="B9919" t="s">
        <v>10523</v>
      </c>
      <c r="C9919" t="str">
        <f>"9781845282257"</f>
        <v>9781845282257</v>
      </c>
      <c r="D9919" t="str">
        <f>"9781848032170"</f>
        <v>9781848032170</v>
      </c>
      <c r="E9919" t="s">
        <v>4908</v>
      </c>
      <c r="F9919" t="s">
        <v>10512</v>
      </c>
      <c r="G9919" s="1">
        <v>39359</v>
      </c>
      <c r="H9919" s="1">
        <v>1</v>
      </c>
      <c r="I9919" t="s">
        <v>12</v>
      </c>
      <c r="J9919" t="s">
        <v>20689</v>
      </c>
    </row>
    <row r="9920" spans="1:10" x14ac:dyDescent="0.25">
      <c r="A9920">
        <v>5250386</v>
      </c>
      <c r="B9920" t="s">
        <v>10524</v>
      </c>
      <c r="C9920" t="str">
        <f>"9781845281229"</f>
        <v>9781845281229</v>
      </c>
      <c r="D9920" t="str">
        <f>"9781848031623"</f>
        <v>9781848031623</v>
      </c>
      <c r="E9920" t="s">
        <v>4908</v>
      </c>
      <c r="F9920" t="s">
        <v>10512</v>
      </c>
      <c r="G9920" s="1">
        <v>39083</v>
      </c>
      <c r="H9920" s="1">
        <v>1</v>
      </c>
      <c r="I9920" t="s">
        <v>12</v>
      </c>
      <c r="J9920" t="s">
        <v>20690</v>
      </c>
    </row>
    <row r="9921" spans="1:10" x14ac:dyDescent="0.25">
      <c r="A9921">
        <v>5250387</v>
      </c>
      <c r="B9921" t="s">
        <v>10525</v>
      </c>
      <c r="C9921" t="str">
        <f>"9781845281595"</f>
        <v>9781845281595</v>
      </c>
      <c r="D9921" t="str">
        <f>"9781848031814"</f>
        <v>9781848031814</v>
      </c>
      <c r="E9921" t="s">
        <v>4908</v>
      </c>
      <c r="F9921" t="s">
        <v>10512</v>
      </c>
      <c r="G9921" s="1">
        <v>39083</v>
      </c>
      <c r="H9921" s="1">
        <v>1</v>
      </c>
      <c r="I9921" t="s">
        <v>12</v>
      </c>
      <c r="J9921" t="s">
        <v>20691</v>
      </c>
    </row>
    <row r="9922" spans="1:10" x14ac:dyDescent="0.25">
      <c r="A9922">
        <v>5250388</v>
      </c>
      <c r="B9922" t="s">
        <v>10526</v>
      </c>
      <c r="C9922" t="str">
        <f>"9781845282073"</f>
        <v>9781845282073</v>
      </c>
      <c r="D9922" t="str">
        <f>"9781848032385"</f>
        <v>9781848032385</v>
      </c>
      <c r="E9922" t="s">
        <v>4908</v>
      </c>
      <c r="F9922" t="s">
        <v>10512</v>
      </c>
      <c r="G9922" s="1">
        <v>39227</v>
      </c>
      <c r="H9922" s="1">
        <v>1</v>
      </c>
      <c r="I9922" t="s">
        <v>12</v>
      </c>
      <c r="J9922" t="s">
        <v>20692</v>
      </c>
    </row>
    <row r="9923" spans="1:10" x14ac:dyDescent="0.25">
      <c r="A9923">
        <v>5250391</v>
      </c>
      <c r="B9923" t="s">
        <v>10527</v>
      </c>
      <c r="C9923" t="str">
        <f>"9781845281755"</f>
        <v>9781845281755</v>
      </c>
      <c r="D9923" t="str">
        <f>"9781848031548"</f>
        <v>9781848031548</v>
      </c>
      <c r="E9923" t="s">
        <v>4908</v>
      </c>
      <c r="F9923" t="s">
        <v>10512</v>
      </c>
      <c r="G9923" s="1">
        <v>39129</v>
      </c>
      <c r="H9923" s="1">
        <v>1</v>
      </c>
      <c r="I9923" t="s">
        <v>12</v>
      </c>
      <c r="J9923" t="s">
        <v>20693</v>
      </c>
    </row>
    <row r="9924" spans="1:10" x14ac:dyDescent="0.25">
      <c r="A9924">
        <v>5250394</v>
      </c>
      <c r="B9924" t="s">
        <v>10528</v>
      </c>
      <c r="C9924" t="str">
        <f>"9781845280086"</f>
        <v>9781845280086</v>
      </c>
      <c r="D9924" t="str">
        <f>"9781848030602"</f>
        <v>9781848030602</v>
      </c>
      <c r="E9924" t="s">
        <v>4908</v>
      </c>
      <c r="F9924" t="s">
        <v>10512</v>
      </c>
      <c r="G9924" s="1">
        <v>39083</v>
      </c>
      <c r="H9924" s="1">
        <v>1</v>
      </c>
      <c r="I9924" t="s">
        <v>12</v>
      </c>
      <c r="J9924" t="s">
        <v>20694</v>
      </c>
    </row>
    <row r="9925" spans="1:10" x14ac:dyDescent="0.25">
      <c r="A9925">
        <v>5250396</v>
      </c>
      <c r="B9925" t="s">
        <v>10529</v>
      </c>
      <c r="C9925" t="str">
        <f>"9781845282240"</f>
        <v>9781845282240</v>
      </c>
      <c r="D9925" t="str">
        <f>"9781848032194"</f>
        <v>9781848032194</v>
      </c>
      <c r="E9925" t="s">
        <v>4908</v>
      </c>
      <c r="F9925" t="s">
        <v>10512</v>
      </c>
      <c r="G9925" s="1">
        <v>39353</v>
      </c>
      <c r="H9925" s="1">
        <v>1</v>
      </c>
      <c r="I9925" t="s">
        <v>12</v>
      </c>
      <c r="J9925" t="s">
        <v>20695</v>
      </c>
    </row>
    <row r="9926" spans="1:10" x14ac:dyDescent="0.25">
      <c r="A9926">
        <v>5250399</v>
      </c>
      <c r="B9926" t="s">
        <v>10530</v>
      </c>
      <c r="C9926" t="str">
        <f>"9781857037425"</f>
        <v>9781857037425</v>
      </c>
      <c r="D9926" t="str">
        <f>"9781848030725"</f>
        <v>9781848030725</v>
      </c>
      <c r="E9926" t="s">
        <v>4908</v>
      </c>
      <c r="F9926" t="s">
        <v>10512</v>
      </c>
      <c r="G9926" s="1">
        <v>39083</v>
      </c>
      <c r="H9926" s="1">
        <v>1</v>
      </c>
      <c r="I9926" t="s">
        <v>12</v>
      </c>
      <c r="J9926" t="s">
        <v>20696</v>
      </c>
    </row>
    <row r="9927" spans="1:10" x14ac:dyDescent="0.25">
      <c r="A9927">
        <v>5250401</v>
      </c>
      <c r="B9927" t="s">
        <v>10531</v>
      </c>
      <c r="C9927" t="str">
        <f>"9781857036602"</f>
        <v>9781857036602</v>
      </c>
      <c r="D9927" t="str">
        <f>"9781848030749"</f>
        <v>9781848030749</v>
      </c>
      <c r="E9927" t="s">
        <v>4908</v>
      </c>
      <c r="F9927" t="s">
        <v>10512</v>
      </c>
      <c r="G9927" s="1">
        <v>39083</v>
      </c>
      <c r="H9927" s="1">
        <v>1</v>
      </c>
      <c r="I9927" t="s">
        <v>12</v>
      </c>
      <c r="J9927" t="s">
        <v>20697</v>
      </c>
    </row>
    <row r="9928" spans="1:10" x14ac:dyDescent="0.25">
      <c r="A9928">
        <v>5250402</v>
      </c>
      <c r="B9928" t="s">
        <v>10532</v>
      </c>
      <c r="C9928" t="str">
        <f>"9781845280147"</f>
        <v>9781845280147</v>
      </c>
      <c r="D9928" t="str">
        <f>"9781848030770"</f>
        <v>9781848030770</v>
      </c>
      <c r="E9928" t="s">
        <v>4908</v>
      </c>
      <c r="F9928" t="s">
        <v>10512</v>
      </c>
      <c r="G9928" s="1">
        <v>39083</v>
      </c>
      <c r="H9928" s="1">
        <v>1</v>
      </c>
      <c r="I9928" t="s">
        <v>12</v>
      </c>
      <c r="J9928" t="s">
        <v>20698</v>
      </c>
    </row>
    <row r="9929" spans="1:10" x14ac:dyDescent="0.25">
      <c r="A9929">
        <v>5250405</v>
      </c>
      <c r="B9929" t="s">
        <v>10533</v>
      </c>
      <c r="C9929" t="str">
        <f>"9781845281274"</f>
        <v>9781845281274</v>
      </c>
      <c r="D9929" t="str">
        <f>"9781848030923"</f>
        <v>9781848030923</v>
      </c>
      <c r="E9929" t="s">
        <v>4908</v>
      </c>
      <c r="F9929" t="s">
        <v>10512</v>
      </c>
      <c r="G9929" s="1">
        <v>39083</v>
      </c>
      <c r="H9929" s="1">
        <v>1</v>
      </c>
      <c r="I9929" t="s">
        <v>12</v>
      </c>
      <c r="J9929" t="s">
        <v>20699</v>
      </c>
    </row>
    <row r="9930" spans="1:10" x14ac:dyDescent="0.25">
      <c r="A9930">
        <v>5250406</v>
      </c>
      <c r="B9930" t="s">
        <v>10534</v>
      </c>
      <c r="C9930" t="str">
        <f>"9781845280628"</f>
        <v>9781845280628</v>
      </c>
      <c r="D9930" t="str">
        <f>"9781848030930"</f>
        <v>9781848030930</v>
      </c>
      <c r="E9930" t="s">
        <v>4908</v>
      </c>
      <c r="F9930" t="s">
        <v>10512</v>
      </c>
      <c r="G9930" s="1">
        <v>39083</v>
      </c>
      <c r="H9930" s="1">
        <v>1</v>
      </c>
      <c r="I9930" t="s">
        <v>12</v>
      </c>
      <c r="J9930" t="s">
        <v>20700</v>
      </c>
    </row>
    <row r="9931" spans="1:10" x14ac:dyDescent="0.25">
      <c r="A9931">
        <v>5250410</v>
      </c>
      <c r="B9931" t="s">
        <v>10535</v>
      </c>
      <c r="C9931" t="str">
        <f>"9781845280697"</f>
        <v>9781845280697</v>
      </c>
      <c r="D9931" t="str">
        <f>"9781848030978"</f>
        <v>9781848030978</v>
      </c>
      <c r="E9931" t="s">
        <v>4908</v>
      </c>
      <c r="F9931" t="s">
        <v>10512</v>
      </c>
      <c r="G9931" s="1">
        <v>39083</v>
      </c>
      <c r="H9931" s="1">
        <v>1</v>
      </c>
      <c r="I9931" t="s">
        <v>12</v>
      </c>
      <c r="J9931" t="s">
        <v>20701</v>
      </c>
    </row>
    <row r="9932" spans="1:10" x14ac:dyDescent="0.25">
      <c r="A9932">
        <v>5250411</v>
      </c>
      <c r="B9932" t="s">
        <v>10536</v>
      </c>
      <c r="C9932" t="str">
        <f>"9781857039887"</f>
        <v>9781857039887</v>
      </c>
      <c r="D9932" t="str">
        <f>"9781848031883"</f>
        <v>9781848031883</v>
      </c>
      <c r="E9932" t="s">
        <v>4908</v>
      </c>
      <c r="F9932" t="s">
        <v>10512</v>
      </c>
      <c r="G9932" s="1">
        <v>39083</v>
      </c>
      <c r="H9932" s="1">
        <v>1</v>
      </c>
      <c r="I9932" t="s">
        <v>12</v>
      </c>
      <c r="J9932" t="s">
        <v>20702</v>
      </c>
    </row>
    <row r="9933" spans="1:10" x14ac:dyDescent="0.25">
      <c r="A9933">
        <v>5250413</v>
      </c>
      <c r="B9933" t="s">
        <v>10537</v>
      </c>
      <c r="C9933" t="str">
        <f>"9781845280703"</f>
        <v>9781845280703</v>
      </c>
      <c r="D9933" t="str">
        <f>"9781848031012"</f>
        <v>9781848031012</v>
      </c>
      <c r="E9933" t="s">
        <v>4908</v>
      </c>
      <c r="F9933" t="s">
        <v>10512</v>
      </c>
      <c r="G9933" s="1">
        <v>39083</v>
      </c>
      <c r="H9933" s="1">
        <v>1</v>
      </c>
      <c r="I9933" t="s">
        <v>12</v>
      </c>
      <c r="J9933" t="s">
        <v>20703</v>
      </c>
    </row>
    <row r="9934" spans="1:10" x14ac:dyDescent="0.25">
      <c r="A9934">
        <v>5250414</v>
      </c>
      <c r="B9934" t="s">
        <v>10538</v>
      </c>
      <c r="C9934" t="str">
        <f>"9781857039788"</f>
        <v>9781857039788</v>
      </c>
      <c r="D9934" t="str">
        <f>"9781848031036"</f>
        <v>9781848031036</v>
      </c>
      <c r="E9934" t="s">
        <v>4908</v>
      </c>
      <c r="F9934" t="s">
        <v>10512</v>
      </c>
      <c r="G9934" s="1">
        <v>39083</v>
      </c>
      <c r="H9934" s="1">
        <v>1</v>
      </c>
      <c r="I9934" t="s">
        <v>12</v>
      </c>
      <c r="J9934" t="s">
        <v>20704</v>
      </c>
    </row>
    <row r="9935" spans="1:10" x14ac:dyDescent="0.25">
      <c r="A9935">
        <v>5250415</v>
      </c>
      <c r="B9935" t="s">
        <v>10539</v>
      </c>
      <c r="C9935" t="str">
        <f>"9781845281373"</f>
        <v>9781845281373</v>
      </c>
      <c r="D9935" t="str">
        <f>"9781848031630"</f>
        <v>9781848031630</v>
      </c>
      <c r="E9935" t="s">
        <v>4908</v>
      </c>
      <c r="F9935" t="s">
        <v>10512</v>
      </c>
      <c r="G9935" s="1">
        <v>39083</v>
      </c>
      <c r="H9935" s="1">
        <v>1</v>
      </c>
      <c r="I9935" t="s">
        <v>12</v>
      </c>
      <c r="J9935" t="s">
        <v>20705</v>
      </c>
    </row>
    <row r="9936" spans="1:10" x14ac:dyDescent="0.25">
      <c r="A9936">
        <v>5250416</v>
      </c>
      <c r="B9936" t="s">
        <v>10540</v>
      </c>
      <c r="C9936" t="str">
        <f>"9781857039030"</f>
        <v>9781857039030</v>
      </c>
      <c r="D9936" t="str">
        <f>"9781848031074"</f>
        <v>9781848031074</v>
      </c>
      <c r="E9936" t="s">
        <v>4908</v>
      </c>
      <c r="F9936" t="s">
        <v>10512</v>
      </c>
      <c r="G9936" s="1">
        <v>39083</v>
      </c>
      <c r="H9936" s="1">
        <v>1</v>
      </c>
      <c r="I9936" t="s">
        <v>12</v>
      </c>
      <c r="J9936" t="s">
        <v>20706</v>
      </c>
    </row>
    <row r="9937" spans="1:10" x14ac:dyDescent="0.25">
      <c r="A9937">
        <v>5250417</v>
      </c>
      <c r="B9937" t="s">
        <v>10541</v>
      </c>
      <c r="C9937" t="str">
        <f>"9781845281342"</f>
        <v>9781845281342</v>
      </c>
      <c r="D9937" t="str">
        <f>"9781848031098"</f>
        <v>9781848031098</v>
      </c>
      <c r="E9937" t="s">
        <v>4908</v>
      </c>
      <c r="F9937" t="s">
        <v>10512</v>
      </c>
      <c r="G9937" s="1">
        <v>39083</v>
      </c>
      <c r="H9937" s="1">
        <v>1</v>
      </c>
      <c r="I9937" t="s">
        <v>12</v>
      </c>
      <c r="J9937" t="s">
        <v>20707</v>
      </c>
    </row>
    <row r="9938" spans="1:10" x14ac:dyDescent="0.25">
      <c r="A9938">
        <v>5250418</v>
      </c>
      <c r="B9938" t="s">
        <v>10542</v>
      </c>
      <c r="C9938" t="str">
        <f>"9781845281571"</f>
        <v>9781845281571</v>
      </c>
      <c r="D9938" t="str">
        <f>"9781848031104"</f>
        <v>9781848031104</v>
      </c>
      <c r="E9938" t="s">
        <v>4908</v>
      </c>
      <c r="F9938" t="s">
        <v>10512</v>
      </c>
      <c r="G9938" s="1">
        <v>39083</v>
      </c>
      <c r="H9938" s="1">
        <v>1</v>
      </c>
      <c r="I9938" t="s">
        <v>12</v>
      </c>
      <c r="J9938" t="s">
        <v>20708</v>
      </c>
    </row>
    <row r="9939" spans="1:10" x14ac:dyDescent="0.25">
      <c r="A9939">
        <v>5250420</v>
      </c>
      <c r="B9939" t="s">
        <v>10543</v>
      </c>
      <c r="C9939" t="str">
        <f>"9781845281793"</f>
        <v>9781845281793</v>
      </c>
      <c r="D9939" t="str">
        <f>"9781848031678"</f>
        <v>9781848031678</v>
      </c>
      <c r="E9939" t="s">
        <v>4908</v>
      </c>
      <c r="F9939" t="s">
        <v>10512</v>
      </c>
      <c r="G9939" s="1">
        <v>39171</v>
      </c>
      <c r="H9939" s="1">
        <v>1</v>
      </c>
      <c r="I9939" t="s">
        <v>12</v>
      </c>
      <c r="J9939" t="s">
        <v>20709</v>
      </c>
    </row>
    <row r="9940" spans="1:10" x14ac:dyDescent="0.25">
      <c r="A9940">
        <v>5250423</v>
      </c>
      <c r="B9940" t="s">
        <v>10544</v>
      </c>
      <c r="C9940" t="str">
        <f>"9781845282080"</f>
        <v>9781845282080</v>
      </c>
      <c r="D9940" t="str">
        <f>"9781848032217"</f>
        <v>9781848032217</v>
      </c>
      <c r="E9940" t="s">
        <v>4908</v>
      </c>
      <c r="F9940" t="s">
        <v>10512</v>
      </c>
      <c r="G9940" s="1">
        <v>39353</v>
      </c>
      <c r="H9940" s="1">
        <v>1</v>
      </c>
      <c r="I9940" t="s">
        <v>12</v>
      </c>
      <c r="J9940" t="s">
        <v>20710</v>
      </c>
    </row>
    <row r="9941" spans="1:10" x14ac:dyDescent="0.25">
      <c r="A9941">
        <v>5250424</v>
      </c>
      <c r="B9941" t="s">
        <v>10545</v>
      </c>
      <c r="C9941" t="str">
        <f>"9781857038149"</f>
        <v>9781857038149</v>
      </c>
      <c r="D9941" t="str">
        <f>"9781848031890"</f>
        <v>9781848031890</v>
      </c>
      <c r="E9941" t="s">
        <v>4908</v>
      </c>
      <c r="F9941" t="s">
        <v>10512</v>
      </c>
      <c r="G9941" s="1">
        <v>39083</v>
      </c>
      <c r="H9941" s="1">
        <v>1</v>
      </c>
      <c r="I9941" t="s">
        <v>12</v>
      </c>
      <c r="J9941" t="s">
        <v>20711</v>
      </c>
    </row>
    <row r="9942" spans="1:10" x14ac:dyDescent="0.25">
      <c r="A9942">
        <v>5250425</v>
      </c>
      <c r="B9942" t="s">
        <v>10546</v>
      </c>
      <c r="C9942" t="str">
        <f>"9781845281076"</f>
        <v>9781845281076</v>
      </c>
      <c r="D9942" t="str">
        <f>"9781848031166"</f>
        <v>9781848031166</v>
      </c>
      <c r="E9942" t="s">
        <v>4908</v>
      </c>
      <c r="F9942" t="s">
        <v>10512</v>
      </c>
      <c r="G9942" s="1">
        <v>39083</v>
      </c>
      <c r="H9942" s="1">
        <v>1</v>
      </c>
      <c r="I9942" t="s">
        <v>12</v>
      </c>
      <c r="J9942" t="s">
        <v>20712</v>
      </c>
    </row>
    <row r="9943" spans="1:10" x14ac:dyDescent="0.25">
      <c r="A9943">
        <v>5250426</v>
      </c>
      <c r="B9943" t="s">
        <v>10547</v>
      </c>
      <c r="C9943" t="str">
        <f>"9781857039221"</f>
        <v>9781857039221</v>
      </c>
      <c r="D9943" t="str">
        <f>"9781848031432"</f>
        <v>9781848031432</v>
      </c>
      <c r="E9943" t="s">
        <v>4908</v>
      </c>
      <c r="F9943" t="s">
        <v>10512</v>
      </c>
      <c r="G9943" s="1">
        <v>39083</v>
      </c>
      <c r="H9943" s="1">
        <v>1</v>
      </c>
      <c r="I9943" t="s">
        <v>12</v>
      </c>
      <c r="J9943" t="s">
        <v>20713</v>
      </c>
    </row>
    <row r="9944" spans="1:10" x14ac:dyDescent="0.25">
      <c r="A9944">
        <v>5250434</v>
      </c>
      <c r="B9944" t="s">
        <v>10548</v>
      </c>
      <c r="C9944" t="str">
        <f>"9781857039566"</f>
        <v>9781857039566</v>
      </c>
      <c r="D9944" t="str">
        <f>"9781848030176"</f>
        <v>9781848030176</v>
      </c>
      <c r="E9944" t="s">
        <v>4908</v>
      </c>
      <c r="F9944" t="s">
        <v>10512</v>
      </c>
      <c r="G9944" s="1">
        <v>37987</v>
      </c>
      <c r="H9944" s="1">
        <v>1</v>
      </c>
      <c r="I9944" t="s">
        <v>12</v>
      </c>
      <c r="J9944" t="s">
        <v>20714</v>
      </c>
    </row>
    <row r="9945" spans="1:10" x14ac:dyDescent="0.25">
      <c r="A9945">
        <v>5250437</v>
      </c>
      <c r="B9945" t="s">
        <v>10549</v>
      </c>
      <c r="C9945" t="str">
        <f>"9781845281199"</f>
        <v>9781845281199</v>
      </c>
      <c r="D9945" t="str">
        <f>"9781848030213"</f>
        <v>9781848030213</v>
      </c>
      <c r="E9945" t="s">
        <v>4908</v>
      </c>
      <c r="F9945" t="s">
        <v>10512</v>
      </c>
      <c r="G9945" s="1">
        <v>38718</v>
      </c>
      <c r="H9945" s="1">
        <v>1</v>
      </c>
      <c r="I9945" t="s">
        <v>12</v>
      </c>
      <c r="J9945" t="s">
        <v>20715</v>
      </c>
    </row>
    <row r="9946" spans="1:10" x14ac:dyDescent="0.25">
      <c r="A9946">
        <v>5250447</v>
      </c>
      <c r="B9946" t="s">
        <v>10550</v>
      </c>
      <c r="C9946" t="str">
        <f>"9781845281687"</f>
        <v>9781845281687</v>
      </c>
      <c r="D9946" t="str">
        <f>"9781848030381"</f>
        <v>9781848030381</v>
      </c>
      <c r="E9946" t="s">
        <v>4908</v>
      </c>
      <c r="F9946" t="s">
        <v>10512</v>
      </c>
      <c r="G9946" s="1">
        <v>39083</v>
      </c>
      <c r="H9946" s="1">
        <v>1</v>
      </c>
      <c r="I9946" t="s">
        <v>12</v>
      </c>
      <c r="J9946" t="s">
        <v>20716</v>
      </c>
    </row>
    <row r="9947" spans="1:10" x14ac:dyDescent="0.25">
      <c r="A9947">
        <v>5250451</v>
      </c>
      <c r="B9947" t="s">
        <v>10551</v>
      </c>
      <c r="C9947" t="str">
        <f>"9781845281519"</f>
        <v>9781845281519</v>
      </c>
      <c r="D9947" t="str">
        <f>"9781848030435"</f>
        <v>9781848030435</v>
      </c>
      <c r="E9947" t="s">
        <v>4908</v>
      </c>
      <c r="F9947" t="s">
        <v>10512</v>
      </c>
      <c r="G9947" s="1">
        <v>39083</v>
      </c>
      <c r="H9947" s="1">
        <v>1</v>
      </c>
      <c r="I9947" t="s">
        <v>12</v>
      </c>
      <c r="J9947" t="s">
        <v>20717</v>
      </c>
    </row>
    <row r="9948" spans="1:10" x14ac:dyDescent="0.25">
      <c r="A9948">
        <v>5250453</v>
      </c>
      <c r="B9948" t="s">
        <v>10552</v>
      </c>
      <c r="C9948" t="str">
        <f>"9781845280277"</f>
        <v>9781845280277</v>
      </c>
      <c r="D9948" t="str">
        <f>"9781848030466"</f>
        <v>9781848030466</v>
      </c>
      <c r="E9948" t="s">
        <v>4908</v>
      </c>
      <c r="F9948" t="s">
        <v>10512</v>
      </c>
      <c r="G9948" s="1">
        <v>38353</v>
      </c>
      <c r="H9948" s="1">
        <v>1</v>
      </c>
      <c r="I9948" t="s">
        <v>12</v>
      </c>
      <c r="J9948" t="s">
        <v>20718</v>
      </c>
    </row>
    <row r="9949" spans="1:10" x14ac:dyDescent="0.25">
      <c r="A9949">
        <v>5250454</v>
      </c>
      <c r="B9949" t="s">
        <v>10553</v>
      </c>
      <c r="C9949" t="str">
        <f>"9781845281069"</f>
        <v>9781845281069</v>
      </c>
      <c r="D9949" t="str">
        <f>"9781848030473"</f>
        <v>9781848030473</v>
      </c>
      <c r="E9949" t="s">
        <v>4908</v>
      </c>
      <c r="F9949" t="s">
        <v>10512</v>
      </c>
      <c r="G9949" s="1">
        <v>38718</v>
      </c>
      <c r="H9949" s="1">
        <v>1</v>
      </c>
      <c r="I9949" t="s">
        <v>12</v>
      </c>
      <c r="J9949" t="s">
        <v>20719</v>
      </c>
    </row>
    <row r="9950" spans="1:10" x14ac:dyDescent="0.25">
      <c r="A9950">
        <v>5250457</v>
      </c>
      <c r="B9950" t="s">
        <v>10554</v>
      </c>
      <c r="C9950" t="str">
        <f>"9781845281106"</f>
        <v>9781845281106</v>
      </c>
      <c r="D9950" t="str">
        <f>"9781848030510"</f>
        <v>9781848030510</v>
      </c>
      <c r="E9950" t="s">
        <v>4908</v>
      </c>
      <c r="F9950" t="s">
        <v>10512</v>
      </c>
      <c r="G9950" s="1">
        <v>38718</v>
      </c>
      <c r="H9950" s="1">
        <v>1</v>
      </c>
      <c r="I9950" t="s">
        <v>12</v>
      </c>
      <c r="J9950" t="s">
        <v>20720</v>
      </c>
    </row>
    <row r="9951" spans="1:10" x14ac:dyDescent="0.25">
      <c r="A9951">
        <v>5250460</v>
      </c>
      <c r="B9951" t="s">
        <v>10555</v>
      </c>
      <c r="C9951" t="str">
        <f>"9781845280840"</f>
        <v>9781845280840</v>
      </c>
      <c r="D9951" t="str">
        <f>"9781848030671"</f>
        <v>9781848030671</v>
      </c>
      <c r="E9951" t="s">
        <v>4908</v>
      </c>
      <c r="F9951" t="s">
        <v>10512</v>
      </c>
      <c r="G9951" s="1">
        <v>38353</v>
      </c>
      <c r="H9951" s="1">
        <v>1</v>
      </c>
      <c r="I9951" t="s">
        <v>12</v>
      </c>
      <c r="J9951" t="s">
        <v>20721</v>
      </c>
    </row>
    <row r="9952" spans="1:10" x14ac:dyDescent="0.25">
      <c r="A9952">
        <v>5250464</v>
      </c>
      <c r="B9952" t="s">
        <v>10556</v>
      </c>
      <c r="C9952" t="str">
        <f>"9781845281540"</f>
        <v>9781845281540</v>
      </c>
      <c r="D9952" t="str">
        <f>"9781848031197"</f>
        <v>9781848031197</v>
      </c>
      <c r="E9952" t="s">
        <v>4908</v>
      </c>
      <c r="F9952" t="s">
        <v>10512</v>
      </c>
      <c r="G9952" s="1">
        <v>38718</v>
      </c>
      <c r="H9952" s="1">
        <v>1</v>
      </c>
      <c r="I9952" t="s">
        <v>12</v>
      </c>
      <c r="J9952" t="s">
        <v>20722</v>
      </c>
    </row>
    <row r="9953" spans="1:10" x14ac:dyDescent="0.25">
      <c r="A9953">
        <v>5250470</v>
      </c>
      <c r="B9953" t="s">
        <v>10557</v>
      </c>
      <c r="C9953" t="str">
        <f>"9781845282288"</f>
        <v>9781845282288</v>
      </c>
      <c r="D9953" t="str">
        <f>"9781848032224"</f>
        <v>9781848032224</v>
      </c>
      <c r="E9953" t="s">
        <v>4908</v>
      </c>
      <c r="F9953" t="s">
        <v>10512</v>
      </c>
      <c r="G9953" s="1">
        <v>39448</v>
      </c>
      <c r="H9953" s="1">
        <v>1</v>
      </c>
      <c r="I9953" t="s">
        <v>12</v>
      </c>
      <c r="J9953" t="s">
        <v>20723</v>
      </c>
    </row>
    <row r="9954" spans="1:10" x14ac:dyDescent="0.25">
      <c r="A9954">
        <v>5250471</v>
      </c>
      <c r="B9954" t="s">
        <v>10558</v>
      </c>
      <c r="C9954" t="str">
        <f>"9781845280918"</f>
        <v>9781845280918</v>
      </c>
      <c r="D9954" t="str">
        <f>"9781848032514"</f>
        <v>9781848032514</v>
      </c>
      <c r="E9954" t="s">
        <v>4908</v>
      </c>
      <c r="F9954" t="s">
        <v>10512</v>
      </c>
      <c r="G9954" s="1">
        <v>39448</v>
      </c>
      <c r="H9954" s="1">
        <v>1</v>
      </c>
      <c r="I9954" t="s">
        <v>12</v>
      </c>
      <c r="J9954" t="s">
        <v>20724</v>
      </c>
    </row>
    <row r="9955" spans="1:10" x14ac:dyDescent="0.25">
      <c r="A9955">
        <v>5250483</v>
      </c>
      <c r="B9955" t="s">
        <v>10559</v>
      </c>
      <c r="C9955" t="str">
        <f>"9781845282752"</f>
        <v>9781845282752</v>
      </c>
      <c r="D9955" t="str">
        <f>"9781848032651"</f>
        <v>9781848032651</v>
      </c>
      <c r="E9955" t="s">
        <v>4908</v>
      </c>
      <c r="F9955" t="s">
        <v>10512</v>
      </c>
      <c r="G9955" s="1">
        <v>39448</v>
      </c>
      <c r="H9955" s="1">
        <v>1</v>
      </c>
      <c r="I9955" t="s">
        <v>12</v>
      </c>
      <c r="J9955" t="s">
        <v>20725</v>
      </c>
    </row>
    <row r="9956" spans="1:10" x14ac:dyDescent="0.25">
      <c r="A9956">
        <v>5250485</v>
      </c>
      <c r="B9956" t="s">
        <v>10560</v>
      </c>
      <c r="C9956" t="str">
        <f>"9781845282943"</f>
        <v>9781845282943</v>
      </c>
      <c r="D9956" t="str">
        <f>"9781848032675"</f>
        <v>9781848032675</v>
      </c>
      <c r="E9956" t="s">
        <v>4908</v>
      </c>
      <c r="F9956" t="s">
        <v>10512</v>
      </c>
      <c r="G9956" s="1">
        <v>39448</v>
      </c>
      <c r="H9956" s="1">
        <v>1</v>
      </c>
      <c r="I9956" t="s">
        <v>12</v>
      </c>
      <c r="J9956" t="s">
        <v>20726</v>
      </c>
    </row>
    <row r="9957" spans="1:10" x14ac:dyDescent="0.25">
      <c r="A9957">
        <v>5250486</v>
      </c>
      <c r="B9957" t="s">
        <v>10561</v>
      </c>
      <c r="C9957" t="str">
        <f>"9781845280079"</f>
        <v>9781845280079</v>
      </c>
      <c r="D9957" t="str">
        <f>"9781848031203"</f>
        <v>9781848031203</v>
      </c>
      <c r="E9957" t="s">
        <v>4908</v>
      </c>
      <c r="F9957" t="s">
        <v>10512</v>
      </c>
      <c r="G9957" s="1">
        <v>39448</v>
      </c>
      <c r="H9957" s="1">
        <v>1</v>
      </c>
      <c r="I9957" t="s">
        <v>12</v>
      </c>
      <c r="J9957" t="s">
        <v>20727</v>
      </c>
    </row>
    <row r="9958" spans="1:10" x14ac:dyDescent="0.25">
      <c r="A9958">
        <v>5267668</v>
      </c>
      <c r="B9958" t="s">
        <v>10562</v>
      </c>
      <c r="C9958" t="str">
        <f>""</f>
        <v/>
      </c>
      <c r="D9958" t="str">
        <f>"9781280752124"</f>
        <v>9781280752124</v>
      </c>
      <c r="E9958" t="s">
        <v>1119</v>
      </c>
      <c r="F9958" t="s">
        <v>1119</v>
      </c>
      <c r="G9958" s="1">
        <v>39125</v>
      </c>
      <c r="H9958" s="1">
        <v>1</v>
      </c>
      <c r="I9958" t="s">
        <v>12</v>
      </c>
      <c r="J9958" t="s">
        <v>20728</v>
      </c>
    </row>
    <row r="9959" spans="1:10" x14ac:dyDescent="0.25">
      <c r="A9959">
        <v>5267676</v>
      </c>
      <c r="B9959" t="s">
        <v>10563</v>
      </c>
      <c r="C9959" t="str">
        <f>""</f>
        <v/>
      </c>
      <c r="D9959" t="str">
        <f>"9781281228079"</f>
        <v>9781281228079</v>
      </c>
      <c r="E9959" t="s">
        <v>3740</v>
      </c>
      <c r="F9959" t="s">
        <v>3740</v>
      </c>
      <c r="G9959" s="1">
        <v>37622</v>
      </c>
      <c r="H9959" s="1">
        <v>1</v>
      </c>
      <c r="I9959" t="s">
        <v>12</v>
      </c>
      <c r="J9959" t="s">
        <v>20729</v>
      </c>
    </row>
    <row r="9960" spans="1:10" x14ac:dyDescent="0.25">
      <c r="A9960">
        <v>5267677</v>
      </c>
      <c r="B9960" t="s">
        <v>10564</v>
      </c>
      <c r="C9960" t="str">
        <f>""</f>
        <v/>
      </c>
      <c r="D9960" t="str">
        <f>"9781281228468"</f>
        <v>9781281228468</v>
      </c>
      <c r="E9960" t="s">
        <v>3740</v>
      </c>
      <c r="F9960" t="s">
        <v>3740</v>
      </c>
      <c r="G9960" s="1">
        <v>37257</v>
      </c>
      <c r="H9960" s="1">
        <v>1</v>
      </c>
      <c r="I9960" t="s">
        <v>12</v>
      </c>
      <c r="J9960" t="s">
        <v>20730</v>
      </c>
    </row>
    <row r="9961" spans="1:10" x14ac:dyDescent="0.25">
      <c r="A9961">
        <v>5267762</v>
      </c>
      <c r="B9961" t="s">
        <v>10565</v>
      </c>
      <c r="C9961" t="str">
        <f>"9780916379100"</f>
        <v>9780916379100</v>
      </c>
      <c r="D9961" t="str">
        <f>"9781281206695"</f>
        <v>9781281206695</v>
      </c>
      <c r="E9961" t="s">
        <v>10566</v>
      </c>
      <c r="F9961" t="s">
        <v>10567</v>
      </c>
      <c r="G9961" s="1">
        <v>31413</v>
      </c>
      <c r="H9961" s="1">
        <v>1</v>
      </c>
      <c r="I9961" t="s">
        <v>12</v>
      </c>
      <c r="J9961" t="s">
        <v>20731</v>
      </c>
    </row>
    <row r="9962" spans="1:10" x14ac:dyDescent="0.25">
      <c r="A9962">
        <v>5268265</v>
      </c>
      <c r="B9962" t="s">
        <v>10568</v>
      </c>
      <c r="C9962" t="str">
        <f>""</f>
        <v/>
      </c>
      <c r="D9962" t="str">
        <f>"9781134743650"</f>
        <v>9781134743650</v>
      </c>
      <c r="E9962" t="s">
        <v>15</v>
      </c>
      <c r="F9962" t="s">
        <v>16</v>
      </c>
      <c r="G9962" s="1">
        <v>36720</v>
      </c>
      <c r="H9962" s="1">
        <v>1</v>
      </c>
      <c r="I9962" t="s">
        <v>12</v>
      </c>
      <c r="J9962" t="s">
        <v>20732</v>
      </c>
    </row>
    <row r="9963" spans="1:10" x14ac:dyDescent="0.25">
      <c r="A9963">
        <v>5268269</v>
      </c>
      <c r="B9963" t="s">
        <v>10569</v>
      </c>
      <c r="C9963" t="str">
        <f>""</f>
        <v/>
      </c>
      <c r="D9963" t="str">
        <f>"9781135757281"</f>
        <v>9781135757281</v>
      </c>
      <c r="E9963" t="s">
        <v>15</v>
      </c>
      <c r="F9963" t="s">
        <v>16</v>
      </c>
      <c r="G9963" s="1">
        <v>38231</v>
      </c>
      <c r="H9963" s="1">
        <v>1</v>
      </c>
      <c r="I9963" t="s">
        <v>12</v>
      </c>
      <c r="J9963" t="s">
        <v>20733</v>
      </c>
    </row>
    <row r="9964" spans="1:10" x14ac:dyDescent="0.25">
      <c r="A9964">
        <v>5268419</v>
      </c>
      <c r="B9964" t="s">
        <v>10570</v>
      </c>
      <c r="C9964" t="str">
        <f>""</f>
        <v/>
      </c>
      <c r="D9964" t="str">
        <f>"9780415253970"</f>
        <v>9780415253970</v>
      </c>
      <c r="E9964" t="s">
        <v>15</v>
      </c>
      <c r="F9964" t="s">
        <v>153</v>
      </c>
      <c r="G9964" s="1">
        <v>37029</v>
      </c>
      <c r="H9964" s="1">
        <v>1</v>
      </c>
      <c r="I9964" t="s">
        <v>12</v>
      </c>
      <c r="J9964" t="s">
        <v>20734</v>
      </c>
    </row>
    <row r="9965" spans="1:10" x14ac:dyDescent="0.25">
      <c r="A9965">
        <v>5268427</v>
      </c>
      <c r="B9965" t="s">
        <v>10571</v>
      </c>
      <c r="C9965" t="str">
        <f>""</f>
        <v/>
      </c>
      <c r="D9965" t="str">
        <f>"9781134275915"</f>
        <v>9781134275915</v>
      </c>
      <c r="E9965" t="s">
        <v>15</v>
      </c>
      <c r="F9965" t="s">
        <v>16</v>
      </c>
      <c r="G9965" s="1">
        <v>38477</v>
      </c>
      <c r="H9965" s="1">
        <v>1</v>
      </c>
      <c r="I9965" t="s">
        <v>12</v>
      </c>
      <c r="J9965" t="s">
        <v>20735</v>
      </c>
    </row>
    <row r="9966" spans="1:10" x14ac:dyDescent="0.25">
      <c r="A9966">
        <v>5268428</v>
      </c>
      <c r="B9966" t="s">
        <v>10572</v>
      </c>
      <c r="C9966" t="str">
        <f>"9781579584641"</f>
        <v>9781579584641</v>
      </c>
      <c r="D9966" t="str">
        <f>"9780203997802"</f>
        <v>9780203997802</v>
      </c>
      <c r="E9966" t="s">
        <v>15</v>
      </c>
      <c r="F9966" t="s">
        <v>153</v>
      </c>
      <c r="G9966" s="1">
        <v>37987</v>
      </c>
      <c r="H9966" s="1">
        <v>1</v>
      </c>
      <c r="I9966" t="s">
        <v>12</v>
      </c>
      <c r="J9966" t="s">
        <v>20736</v>
      </c>
    </row>
    <row r="9967" spans="1:10" x14ac:dyDescent="0.25">
      <c r="A9967">
        <v>5268430</v>
      </c>
      <c r="B9967" t="s">
        <v>10573</v>
      </c>
      <c r="C9967" t="str">
        <f>"9781584884040"</f>
        <v>9781584884040</v>
      </c>
      <c r="D9967" t="str">
        <f>"9780203998083"</f>
        <v>9780203998083</v>
      </c>
      <c r="E9967" t="s">
        <v>15</v>
      </c>
      <c r="F9967" t="s">
        <v>153</v>
      </c>
      <c r="G9967" s="1">
        <v>37978</v>
      </c>
      <c r="H9967" s="1">
        <v>1</v>
      </c>
      <c r="I9967" t="s">
        <v>12</v>
      </c>
      <c r="J9967" t="s">
        <v>20737</v>
      </c>
    </row>
    <row r="9968" spans="1:10" x14ac:dyDescent="0.25">
      <c r="A9968">
        <v>5268431</v>
      </c>
      <c r="B9968" t="s">
        <v>10574</v>
      </c>
      <c r="C9968" t="str">
        <f>""</f>
        <v/>
      </c>
      <c r="D9968" t="str">
        <f>"9781135456771"</f>
        <v>9781135456771</v>
      </c>
      <c r="E9968" t="s">
        <v>15</v>
      </c>
      <c r="F9968" t="s">
        <v>16</v>
      </c>
      <c r="G9968" s="1">
        <v>37989</v>
      </c>
      <c r="H9968" s="1">
        <v>1</v>
      </c>
      <c r="I9968" t="s">
        <v>12</v>
      </c>
      <c r="J9968" t="s">
        <v>20738</v>
      </c>
    </row>
    <row r="9969" spans="1:10" x14ac:dyDescent="0.25">
      <c r="A9969">
        <v>5268448</v>
      </c>
      <c r="B9969" t="s">
        <v>10575</v>
      </c>
      <c r="C9969" t="str">
        <f>""</f>
        <v/>
      </c>
      <c r="D9969" t="str">
        <f>"9781280642173"</f>
        <v>9781280642173</v>
      </c>
      <c r="E9969" t="s">
        <v>15</v>
      </c>
      <c r="F9969" t="s">
        <v>16</v>
      </c>
      <c r="G9969" s="1">
        <v>38503</v>
      </c>
      <c r="H9969" s="1">
        <v>1</v>
      </c>
      <c r="I9969" t="s">
        <v>12</v>
      </c>
      <c r="J9969" t="s">
        <v>20739</v>
      </c>
    </row>
    <row r="9970" spans="1:10" x14ac:dyDescent="0.25">
      <c r="A9970">
        <v>5268449</v>
      </c>
      <c r="B9970" t="s">
        <v>10576</v>
      </c>
      <c r="C9970" t="str">
        <f>""</f>
        <v/>
      </c>
      <c r="D9970" t="str">
        <f>"9781280648649"</f>
        <v>9781280648649</v>
      </c>
      <c r="E9970" t="s">
        <v>15</v>
      </c>
      <c r="F9970" t="s">
        <v>16</v>
      </c>
      <c r="G9970" s="1">
        <v>39036</v>
      </c>
      <c r="H9970" s="1">
        <v>1</v>
      </c>
      <c r="I9970" t="s">
        <v>12</v>
      </c>
      <c r="J9970" t="s">
        <v>20740</v>
      </c>
    </row>
    <row r="9971" spans="1:10" x14ac:dyDescent="0.25">
      <c r="A9971">
        <v>5268490</v>
      </c>
      <c r="B9971" t="s">
        <v>10577</v>
      </c>
      <c r="C9971" t="str">
        <f>""</f>
        <v/>
      </c>
      <c r="D9971" t="str">
        <f>"9781134128426"</f>
        <v>9781134128426</v>
      </c>
      <c r="E9971" t="s">
        <v>15</v>
      </c>
      <c r="F9971" t="s">
        <v>16</v>
      </c>
      <c r="G9971" s="1">
        <v>39386</v>
      </c>
      <c r="H9971" s="1">
        <v>1</v>
      </c>
      <c r="I9971" t="s">
        <v>12</v>
      </c>
      <c r="J9971" t="s">
        <v>20741</v>
      </c>
    </row>
    <row r="9972" spans="1:10" x14ac:dyDescent="0.25">
      <c r="A9972">
        <v>5268721</v>
      </c>
      <c r="B9972" t="s">
        <v>10578</v>
      </c>
      <c r="C9972" t="str">
        <f>""</f>
        <v/>
      </c>
      <c r="D9972" t="str">
        <f>"9781134574186"</f>
        <v>9781134574186</v>
      </c>
      <c r="E9972" t="s">
        <v>15</v>
      </c>
      <c r="F9972" t="s">
        <v>153</v>
      </c>
      <c r="G9972" s="1">
        <v>37364</v>
      </c>
      <c r="H9972" s="1">
        <v>1</v>
      </c>
      <c r="I9972" t="s">
        <v>12</v>
      </c>
      <c r="J9972" t="s">
        <v>20742</v>
      </c>
    </row>
    <row r="9973" spans="1:10" x14ac:dyDescent="0.25">
      <c r="A9973">
        <v>5268724</v>
      </c>
      <c r="B9973" t="s">
        <v>10579</v>
      </c>
      <c r="C9973" t="str">
        <f>""</f>
        <v/>
      </c>
      <c r="D9973" t="str">
        <f>"9781134318827"</f>
        <v>9781134318827</v>
      </c>
      <c r="E9973" t="s">
        <v>15</v>
      </c>
      <c r="F9973" t="s">
        <v>16</v>
      </c>
      <c r="G9973" s="1">
        <v>38862</v>
      </c>
      <c r="H9973" s="1">
        <v>1</v>
      </c>
      <c r="I9973" t="s">
        <v>12</v>
      </c>
      <c r="J9973" t="s">
        <v>20743</v>
      </c>
    </row>
    <row r="9974" spans="1:10" x14ac:dyDescent="0.25">
      <c r="A9974">
        <v>5268726</v>
      </c>
      <c r="B9974" t="s">
        <v>10580</v>
      </c>
      <c r="C9974" t="str">
        <f>"9781857757606"</f>
        <v>9781857757606</v>
      </c>
      <c r="D9974" t="str">
        <f>"9781280544033"</f>
        <v>9781280544033</v>
      </c>
      <c r="E9974" t="s">
        <v>15</v>
      </c>
      <c r="F9974" t="s">
        <v>10581</v>
      </c>
      <c r="G9974" s="1">
        <v>38353</v>
      </c>
      <c r="H9974" s="1">
        <v>1</v>
      </c>
      <c r="I9974" t="s">
        <v>12</v>
      </c>
      <c r="J9974" t="s">
        <v>20744</v>
      </c>
    </row>
    <row r="9975" spans="1:10" x14ac:dyDescent="0.25">
      <c r="A9975">
        <v>5291995</v>
      </c>
      <c r="B9975" t="s">
        <v>10582</v>
      </c>
      <c r="C9975" t="str">
        <f>"9780814408895"</f>
        <v>9780814408895</v>
      </c>
      <c r="D9975" t="str">
        <f>"9780814409794"</f>
        <v>9780814409794</v>
      </c>
      <c r="E9975" t="s">
        <v>9687</v>
      </c>
      <c r="F9975" t="s">
        <v>1080</v>
      </c>
      <c r="G9975" s="1">
        <v>39595</v>
      </c>
      <c r="H9975" s="1">
        <v>1</v>
      </c>
      <c r="I9975" t="s">
        <v>12</v>
      </c>
      <c r="J9975" t="s">
        <v>20745</v>
      </c>
    </row>
    <row r="9976" spans="1:10" x14ac:dyDescent="0.25">
      <c r="A9976">
        <v>5292037</v>
      </c>
      <c r="B9976" t="s">
        <v>10583</v>
      </c>
      <c r="C9976" t="str">
        <f>"9780521652643"</f>
        <v>9780521652643</v>
      </c>
      <c r="D9976" t="str">
        <f>"9780511182938"</f>
        <v>9780511182938</v>
      </c>
      <c r="E9976" t="s">
        <v>18</v>
      </c>
      <c r="F9976" t="s">
        <v>18</v>
      </c>
      <c r="G9976" s="1">
        <v>38680</v>
      </c>
      <c r="H9976" s="1">
        <v>1</v>
      </c>
      <c r="I9976" t="s">
        <v>12</v>
      </c>
      <c r="J9976" t="s">
        <v>20746</v>
      </c>
    </row>
    <row r="9977" spans="1:10" x14ac:dyDescent="0.25">
      <c r="A9977">
        <v>5292044</v>
      </c>
      <c r="B9977" t="s">
        <v>10584</v>
      </c>
      <c r="C9977" t="str">
        <f>"9780521839037"</f>
        <v>9780521839037</v>
      </c>
      <c r="D9977" t="str">
        <f>"9780511231032"</f>
        <v>9780511231032</v>
      </c>
      <c r="E9977" t="s">
        <v>18</v>
      </c>
      <c r="F9977" t="s">
        <v>18</v>
      </c>
      <c r="G9977" s="1">
        <v>38278</v>
      </c>
      <c r="H9977" s="1">
        <v>1</v>
      </c>
      <c r="I9977" t="s">
        <v>12</v>
      </c>
      <c r="J9977" t="s">
        <v>20747</v>
      </c>
    </row>
    <row r="9978" spans="1:10" x14ac:dyDescent="0.25">
      <c r="A9978">
        <v>5292050</v>
      </c>
      <c r="B9978" t="s">
        <v>10585</v>
      </c>
      <c r="C9978" t="str">
        <f>"9780521880886"</f>
        <v>9780521880886</v>
      </c>
      <c r="D9978" t="str">
        <f>"9780511351105"</f>
        <v>9780511351105</v>
      </c>
      <c r="E9978" t="s">
        <v>18</v>
      </c>
      <c r="F9978" t="s">
        <v>18</v>
      </c>
      <c r="G9978" s="1">
        <v>39083</v>
      </c>
      <c r="H9978" s="1">
        <v>1</v>
      </c>
      <c r="I9978" t="s">
        <v>12</v>
      </c>
      <c r="J9978" t="s">
        <v>20748</v>
      </c>
    </row>
    <row r="9979" spans="1:10" x14ac:dyDescent="0.25">
      <c r="A9979">
        <v>5292144</v>
      </c>
      <c r="B9979" t="s">
        <v>10586</v>
      </c>
      <c r="C9979" t="str">
        <f>"9781846630781"</f>
        <v>9781846630781</v>
      </c>
      <c r="D9979" t="str">
        <f>"9781846630798"</f>
        <v>9781846630798</v>
      </c>
      <c r="E9979" t="s">
        <v>1116</v>
      </c>
      <c r="F9979" t="s">
        <v>10587</v>
      </c>
      <c r="G9979" s="1">
        <v>38954</v>
      </c>
      <c r="H9979" s="1">
        <v>1</v>
      </c>
      <c r="I9979" t="s">
        <v>12</v>
      </c>
      <c r="J9979" t="s">
        <v>20749</v>
      </c>
    </row>
    <row r="9980" spans="1:10" x14ac:dyDescent="0.25">
      <c r="A9980">
        <v>5292179</v>
      </c>
      <c r="B9980" t="s">
        <v>10588</v>
      </c>
      <c r="C9980" t="str">
        <f>"9781843103202"</f>
        <v>9781843103202</v>
      </c>
      <c r="D9980" t="str">
        <f>"9781280566219"</f>
        <v>9781280566219</v>
      </c>
      <c r="E9980" t="s">
        <v>2950</v>
      </c>
      <c r="F9980" t="s">
        <v>2950</v>
      </c>
      <c r="G9980" s="1">
        <v>38744</v>
      </c>
      <c r="H9980" s="1">
        <v>1</v>
      </c>
      <c r="I9980" t="s">
        <v>12</v>
      </c>
      <c r="J9980" t="s">
        <v>20750</v>
      </c>
    </row>
    <row r="9981" spans="1:10" x14ac:dyDescent="0.25">
      <c r="A9981">
        <v>5292211</v>
      </c>
      <c r="B9981" t="s">
        <v>10589</v>
      </c>
      <c r="C9981" t="str">
        <f>"9780335220977"</f>
        <v>9780335220977</v>
      </c>
      <c r="D9981" t="str">
        <f>"9780335235230"</f>
        <v>9780335235230</v>
      </c>
      <c r="E9981" t="s">
        <v>2795</v>
      </c>
      <c r="F9981" t="s">
        <v>2796</v>
      </c>
      <c r="G9981" s="1">
        <v>39417</v>
      </c>
      <c r="H9981" s="1">
        <v>1</v>
      </c>
      <c r="I9981" t="s">
        <v>12</v>
      </c>
      <c r="J9981" t="s">
        <v>20751</v>
      </c>
    </row>
    <row r="9982" spans="1:10" x14ac:dyDescent="0.25">
      <c r="A9982">
        <v>5292212</v>
      </c>
      <c r="B9982" t="s">
        <v>10590</v>
      </c>
      <c r="C9982" t="str">
        <f>"9780335214464"</f>
        <v>9780335214464</v>
      </c>
      <c r="D9982" t="str">
        <f>"9780335235315"</f>
        <v>9780335235315</v>
      </c>
      <c r="E9982" t="s">
        <v>2795</v>
      </c>
      <c r="F9982" t="s">
        <v>2796</v>
      </c>
      <c r="G9982" s="1">
        <v>39417</v>
      </c>
      <c r="H9982" s="1">
        <v>1</v>
      </c>
      <c r="I9982" t="s">
        <v>12</v>
      </c>
      <c r="J9982" t="s">
        <v>20752</v>
      </c>
    </row>
    <row r="9983" spans="1:10" x14ac:dyDescent="0.25">
      <c r="A9983">
        <v>5292284</v>
      </c>
      <c r="B9983" t="s">
        <v>10591</v>
      </c>
      <c r="C9983" t="str">
        <f>"9781853598692"</f>
        <v>9781853598692</v>
      </c>
      <c r="D9983" t="str">
        <f>"9781853598715"</f>
        <v>9781853598715</v>
      </c>
      <c r="E9983" t="s">
        <v>887</v>
      </c>
      <c r="F9983" t="s">
        <v>887</v>
      </c>
      <c r="G9983" s="1">
        <v>38776</v>
      </c>
      <c r="H9983" s="1">
        <v>1</v>
      </c>
      <c r="I9983" t="s">
        <v>12</v>
      </c>
      <c r="J9983" t="s">
        <v>20753</v>
      </c>
    </row>
    <row r="9984" spans="1:10" x14ac:dyDescent="0.25">
      <c r="A9984">
        <v>5292351</v>
      </c>
      <c r="B9984" t="s">
        <v>10592</v>
      </c>
      <c r="C9984" t="str">
        <f>"9780230007246"</f>
        <v>9780230007246</v>
      </c>
      <c r="D9984" t="str">
        <f>"9780230801387"</f>
        <v>9780230801387</v>
      </c>
      <c r="E9984" t="s">
        <v>876</v>
      </c>
      <c r="F9984" t="s">
        <v>876</v>
      </c>
      <c r="G9984" s="1">
        <v>39120</v>
      </c>
      <c r="H9984" s="1">
        <v>1</v>
      </c>
      <c r="I9984" t="s">
        <v>12</v>
      </c>
      <c r="J9984" t="s">
        <v>20754</v>
      </c>
    </row>
    <row r="9985" spans="1:10" x14ac:dyDescent="0.25">
      <c r="A9985">
        <v>5292499</v>
      </c>
      <c r="B9985" t="s">
        <v>10593</v>
      </c>
      <c r="C9985" t="str">
        <f>"9789241546461"</f>
        <v>9789241546461</v>
      </c>
      <c r="D9985" t="str">
        <f>"9781280097218"</f>
        <v>9781280097218</v>
      </c>
      <c r="E9985" t="s">
        <v>2717</v>
      </c>
      <c r="F9985" t="s">
        <v>2717</v>
      </c>
      <c r="G9985" s="1">
        <v>37987</v>
      </c>
      <c r="H9985" s="1">
        <v>1</v>
      </c>
      <c r="I9985" t="s">
        <v>12</v>
      </c>
      <c r="J9985" t="s">
        <v>20755</v>
      </c>
    </row>
    <row r="9986" spans="1:10" x14ac:dyDescent="0.25">
      <c r="A9986">
        <v>5292556</v>
      </c>
      <c r="B9986" t="s">
        <v>10594</v>
      </c>
      <c r="C9986" t="str">
        <f>"9780415268646"</f>
        <v>9780415268646</v>
      </c>
      <c r="D9986" t="str">
        <f>"9780203647448"</f>
        <v>9780203647448</v>
      </c>
      <c r="E9986" t="s">
        <v>15</v>
      </c>
      <c r="F9986" t="s">
        <v>153</v>
      </c>
      <c r="G9986" s="1">
        <v>38071</v>
      </c>
      <c r="H9986" s="1">
        <v>1</v>
      </c>
      <c r="I9986" t="s">
        <v>12</v>
      </c>
      <c r="J9986" t="s">
        <v>20756</v>
      </c>
    </row>
    <row r="9987" spans="1:10" x14ac:dyDescent="0.25">
      <c r="A9987">
        <v>5292572</v>
      </c>
      <c r="B9987" t="s">
        <v>10595</v>
      </c>
      <c r="C9987" t="str">
        <f>"9780415140775"</f>
        <v>9780415140775</v>
      </c>
      <c r="D9987" t="str">
        <f>"9780203347164"</f>
        <v>9780203347164</v>
      </c>
      <c r="E9987" t="s">
        <v>15</v>
      </c>
      <c r="F9987" t="s">
        <v>153</v>
      </c>
      <c r="G9987" s="1">
        <v>35985</v>
      </c>
      <c r="H9987" s="1">
        <v>1</v>
      </c>
      <c r="I9987" t="s">
        <v>12</v>
      </c>
      <c r="J9987" t="s">
        <v>20757</v>
      </c>
    </row>
    <row r="9988" spans="1:10" x14ac:dyDescent="0.25">
      <c r="A9988">
        <v>5292575</v>
      </c>
      <c r="B9988" t="s">
        <v>10596</v>
      </c>
      <c r="C9988" t="str">
        <f>"9780415282918"</f>
        <v>9780415282918</v>
      </c>
      <c r="D9988" t="str">
        <f>"9780203695012"</f>
        <v>9780203695012</v>
      </c>
      <c r="E9988" t="s">
        <v>15</v>
      </c>
      <c r="F9988" t="s">
        <v>153</v>
      </c>
      <c r="G9988" s="1">
        <v>37805</v>
      </c>
      <c r="H9988" s="1">
        <v>1</v>
      </c>
      <c r="I9988" t="s">
        <v>12</v>
      </c>
      <c r="J9988" t="s">
        <v>20758</v>
      </c>
    </row>
    <row r="9989" spans="1:10" x14ac:dyDescent="0.25">
      <c r="A9989">
        <v>5292583</v>
      </c>
      <c r="B9989" t="s">
        <v>10597</v>
      </c>
      <c r="C9989" t="str">
        <f>"9780415278546"</f>
        <v>9780415278546</v>
      </c>
      <c r="D9989" t="str">
        <f>"9780203642351"</f>
        <v>9780203642351</v>
      </c>
      <c r="E9989" t="s">
        <v>15</v>
      </c>
      <c r="F9989" t="s">
        <v>153</v>
      </c>
      <c r="G9989" s="1">
        <v>38316</v>
      </c>
      <c r="H9989" s="1">
        <v>1</v>
      </c>
      <c r="I9989" t="s">
        <v>12</v>
      </c>
      <c r="J9989" t="s">
        <v>20759</v>
      </c>
    </row>
    <row r="9990" spans="1:10" x14ac:dyDescent="0.25">
      <c r="A9990">
        <v>5292588</v>
      </c>
      <c r="B9990" t="s">
        <v>10598</v>
      </c>
      <c r="C9990" t="str">
        <f>"9780415217842"</f>
        <v>9780415217842</v>
      </c>
      <c r="D9990" t="str">
        <f>"9780203398494"</f>
        <v>9780203398494</v>
      </c>
      <c r="E9990" t="s">
        <v>15</v>
      </c>
      <c r="F9990" t="s">
        <v>153</v>
      </c>
      <c r="G9990" s="1">
        <v>37189</v>
      </c>
      <c r="H9990" s="1">
        <v>1</v>
      </c>
      <c r="I9990" t="s">
        <v>12</v>
      </c>
      <c r="J9990" t="s">
        <v>20760</v>
      </c>
    </row>
    <row r="9991" spans="1:10" x14ac:dyDescent="0.25">
      <c r="A9991">
        <v>5292594</v>
      </c>
      <c r="B9991" t="s">
        <v>10599</v>
      </c>
      <c r="C9991" t="str">
        <f>"9780415080576"</f>
        <v>9780415080576</v>
      </c>
      <c r="D9991" t="str">
        <f>"9780203113196"</f>
        <v>9780203113196</v>
      </c>
      <c r="E9991" t="s">
        <v>15</v>
      </c>
      <c r="F9991" t="s">
        <v>153</v>
      </c>
      <c r="G9991" s="1">
        <v>37609</v>
      </c>
      <c r="H9991" s="1">
        <v>1</v>
      </c>
      <c r="I9991" t="s">
        <v>12</v>
      </c>
      <c r="J9991" t="s">
        <v>20761</v>
      </c>
    </row>
    <row r="9992" spans="1:10" x14ac:dyDescent="0.25">
      <c r="A9992">
        <v>5292596</v>
      </c>
      <c r="B9992" t="s">
        <v>10600</v>
      </c>
      <c r="C9992" t="str">
        <f>"9780415286213"</f>
        <v>9780415286213</v>
      </c>
      <c r="D9992" t="str">
        <f>"9780203697054"</f>
        <v>9780203697054</v>
      </c>
      <c r="E9992" t="s">
        <v>15</v>
      </c>
      <c r="F9992" t="s">
        <v>153</v>
      </c>
      <c r="G9992" s="1">
        <v>37728</v>
      </c>
      <c r="H9992" s="1">
        <v>1</v>
      </c>
      <c r="I9992" t="s">
        <v>12</v>
      </c>
      <c r="J9992" t="s">
        <v>20762</v>
      </c>
    </row>
    <row r="9993" spans="1:10" x14ac:dyDescent="0.25">
      <c r="A9993">
        <v>5292597</v>
      </c>
      <c r="B9993" t="s">
        <v>10601</v>
      </c>
      <c r="C9993" t="str">
        <f>"9780415290128"</f>
        <v>9780415290128</v>
      </c>
      <c r="D9993" t="str">
        <f>"9780203426302"</f>
        <v>9780203426302</v>
      </c>
      <c r="E9993" t="s">
        <v>15</v>
      </c>
      <c r="F9993" t="s">
        <v>153</v>
      </c>
      <c r="G9993" s="1">
        <v>37770</v>
      </c>
      <c r="H9993" s="1">
        <v>1</v>
      </c>
      <c r="I9993" t="s">
        <v>12</v>
      </c>
      <c r="J9993" t="s">
        <v>20763</v>
      </c>
    </row>
    <row r="9994" spans="1:10" x14ac:dyDescent="0.25">
      <c r="A9994">
        <v>5292604</v>
      </c>
      <c r="B9994" t="s">
        <v>10602</v>
      </c>
      <c r="C9994" t="str">
        <f>"9780415270397"</f>
        <v>9780415270397</v>
      </c>
      <c r="D9994" t="str">
        <f>"9780203646915"</f>
        <v>9780203646915</v>
      </c>
      <c r="E9994" t="s">
        <v>15</v>
      </c>
      <c r="F9994" t="s">
        <v>153</v>
      </c>
      <c r="G9994" s="1">
        <v>37346</v>
      </c>
      <c r="H9994" s="1">
        <v>1</v>
      </c>
      <c r="I9994" t="s">
        <v>12</v>
      </c>
      <c r="J9994" t="s">
        <v>20764</v>
      </c>
    </row>
    <row r="9995" spans="1:10" x14ac:dyDescent="0.25">
      <c r="A9995">
        <v>5292616</v>
      </c>
      <c r="B9995" t="s">
        <v>10603</v>
      </c>
      <c r="C9995" t="str">
        <f>"9780415257541"</f>
        <v>9780415257541</v>
      </c>
      <c r="D9995" t="str">
        <f>"9780203634080"</f>
        <v>9780203634080</v>
      </c>
      <c r="E9995" t="s">
        <v>15</v>
      </c>
      <c r="F9995" t="s">
        <v>153</v>
      </c>
      <c r="G9995" s="1">
        <v>37529</v>
      </c>
      <c r="H9995" s="1">
        <v>1</v>
      </c>
      <c r="I9995" t="s">
        <v>12</v>
      </c>
      <c r="J9995" t="s">
        <v>20765</v>
      </c>
    </row>
    <row r="9996" spans="1:10" x14ac:dyDescent="0.25">
      <c r="A9996">
        <v>5292622</v>
      </c>
      <c r="B9996" t="s">
        <v>10604</v>
      </c>
      <c r="C9996" t="str">
        <f>"9780415946124"</f>
        <v>9780415946124</v>
      </c>
      <c r="D9996" t="str">
        <f>"9781135941109"</f>
        <v>9781135941109</v>
      </c>
      <c r="E9996" t="s">
        <v>15</v>
      </c>
      <c r="F9996" t="s">
        <v>16</v>
      </c>
      <c r="G9996" s="1">
        <v>38538</v>
      </c>
      <c r="H9996" s="1">
        <v>1</v>
      </c>
      <c r="I9996" t="s">
        <v>12</v>
      </c>
      <c r="J9996" t="s">
        <v>20766</v>
      </c>
    </row>
    <row r="9997" spans="1:10" x14ac:dyDescent="0.25">
      <c r="A9997">
        <v>5292645</v>
      </c>
      <c r="B9997" t="s">
        <v>10605</v>
      </c>
      <c r="C9997" t="str">
        <f>"9780415230636"</f>
        <v>9780415230636</v>
      </c>
      <c r="D9997" t="str">
        <f>"9780203986998"</f>
        <v>9780203986998</v>
      </c>
      <c r="E9997" t="s">
        <v>15</v>
      </c>
      <c r="F9997" t="s">
        <v>153</v>
      </c>
      <c r="G9997" s="1">
        <v>37539</v>
      </c>
      <c r="H9997" s="1">
        <v>1</v>
      </c>
      <c r="I9997" t="s">
        <v>12</v>
      </c>
      <c r="J9997" t="s">
        <v>20767</v>
      </c>
    </row>
    <row r="9998" spans="1:10" x14ac:dyDescent="0.25">
      <c r="A9998">
        <v>5292673</v>
      </c>
      <c r="B9998" t="s">
        <v>10606</v>
      </c>
      <c r="C9998" t="str">
        <f>"9780415268349"</f>
        <v>9780415268349</v>
      </c>
      <c r="D9998" t="str">
        <f>"9780203994641"</f>
        <v>9780203994641</v>
      </c>
      <c r="E9998" t="s">
        <v>15</v>
      </c>
      <c r="F9998" t="s">
        <v>153</v>
      </c>
      <c r="G9998" s="1">
        <v>37427</v>
      </c>
      <c r="H9998" s="1">
        <v>1</v>
      </c>
      <c r="I9998" t="s">
        <v>12</v>
      </c>
      <c r="J9998" t="s">
        <v>20768</v>
      </c>
    </row>
    <row r="9999" spans="1:10" x14ac:dyDescent="0.25">
      <c r="A9999">
        <v>5292696</v>
      </c>
      <c r="B9999" t="s">
        <v>10607</v>
      </c>
      <c r="C9999" t="str">
        <f>"9780415164535"</f>
        <v>9780415164535</v>
      </c>
      <c r="D9999" t="str">
        <f>"9780203979532"</f>
        <v>9780203979532</v>
      </c>
      <c r="E9999" t="s">
        <v>15</v>
      </c>
      <c r="F9999" t="s">
        <v>153</v>
      </c>
      <c r="G9999" s="1">
        <v>35621</v>
      </c>
      <c r="H9999" s="1">
        <v>1</v>
      </c>
      <c r="I9999" t="s">
        <v>12</v>
      </c>
      <c r="J9999" t="s">
        <v>20769</v>
      </c>
    </row>
    <row r="10000" spans="1:10" x14ac:dyDescent="0.25">
      <c r="A10000">
        <v>5292701</v>
      </c>
      <c r="B10000" t="s">
        <v>10608</v>
      </c>
      <c r="C10000" t="str">
        <f>"9780415284370"</f>
        <v>9780415284370</v>
      </c>
      <c r="D10000" t="str">
        <f>"9780203463772"</f>
        <v>9780203463772</v>
      </c>
      <c r="E10000" t="s">
        <v>15</v>
      </c>
      <c r="F10000" t="s">
        <v>153</v>
      </c>
      <c r="G10000" s="1">
        <v>38356</v>
      </c>
      <c r="H10000" s="1">
        <v>1</v>
      </c>
      <c r="I10000" t="s">
        <v>12</v>
      </c>
      <c r="J10000" t="s">
        <v>20770</v>
      </c>
    </row>
    <row r="10001" spans="1:10" x14ac:dyDescent="0.25">
      <c r="A10001">
        <v>5292706</v>
      </c>
      <c r="B10001" t="s">
        <v>10609</v>
      </c>
      <c r="C10001" t="str">
        <f>"9780415198882"</f>
        <v>9780415198882</v>
      </c>
      <c r="D10001" t="str">
        <f>"9780203977286"</f>
        <v>9780203977286</v>
      </c>
      <c r="E10001" t="s">
        <v>15</v>
      </c>
      <c r="F10001" t="s">
        <v>153</v>
      </c>
      <c r="G10001" s="1">
        <v>38469</v>
      </c>
      <c r="H10001" s="1">
        <v>1</v>
      </c>
      <c r="I10001" t="s">
        <v>12</v>
      </c>
      <c r="J10001" t="s">
        <v>20771</v>
      </c>
    </row>
    <row r="10002" spans="1:10" x14ac:dyDescent="0.25">
      <c r="A10002">
        <v>5292709</v>
      </c>
      <c r="B10002" t="s">
        <v>10610</v>
      </c>
      <c r="C10002" t="str">
        <f>"9780415187459"</f>
        <v>9780415187459</v>
      </c>
      <c r="D10002" t="str">
        <f>"9780203981634"</f>
        <v>9780203981634</v>
      </c>
      <c r="E10002" t="s">
        <v>15</v>
      </c>
      <c r="F10002" t="s">
        <v>153</v>
      </c>
      <c r="G10002" s="1">
        <v>36307</v>
      </c>
      <c r="H10002" s="1">
        <v>1</v>
      </c>
      <c r="I10002" t="s">
        <v>12</v>
      </c>
      <c r="J10002" t="s">
        <v>20772</v>
      </c>
    </row>
    <row r="10003" spans="1:10" x14ac:dyDescent="0.25">
      <c r="A10003">
        <v>5292711</v>
      </c>
      <c r="B10003" t="s">
        <v>10611</v>
      </c>
      <c r="C10003" t="str">
        <f>"9780415362672"</f>
        <v>9780415362672</v>
      </c>
      <c r="D10003" t="str">
        <f>"9780203356920"</f>
        <v>9780203356920</v>
      </c>
      <c r="E10003" t="s">
        <v>15</v>
      </c>
      <c r="F10003" t="s">
        <v>153</v>
      </c>
      <c r="G10003" s="1">
        <v>38600</v>
      </c>
      <c r="H10003" s="1">
        <v>1</v>
      </c>
      <c r="I10003" t="s">
        <v>12</v>
      </c>
      <c r="J10003" t="s">
        <v>20773</v>
      </c>
    </row>
    <row r="10004" spans="1:10" x14ac:dyDescent="0.25">
      <c r="A10004">
        <v>5292720</v>
      </c>
      <c r="B10004" t="s">
        <v>10612</v>
      </c>
      <c r="C10004" t="str">
        <f>"9780415156912"</f>
        <v>9780415156912</v>
      </c>
      <c r="D10004" t="str">
        <f>"9780203976425"</f>
        <v>9780203976425</v>
      </c>
      <c r="E10004" t="s">
        <v>15</v>
      </c>
      <c r="F10004" t="s">
        <v>153</v>
      </c>
      <c r="G10004" s="1">
        <v>35866</v>
      </c>
      <c r="H10004" s="1">
        <v>1</v>
      </c>
      <c r="I10004" t="s">
        <v>12</v>
      </c>
      <c r="J10004" t="s">
        <v>20774</v>
      </c>
    </row>
    <row r="10005" spans="1:10" x14ac:dyDescent="0.25">
      <c r="A10005">
        <v>5292727</v>
      </c>
      <c r="B10005" t="s">
        <v>10613</v>
      </c>
      <c r="C10005" t="str">
        <f>"9780415311458"</f>
        <v>9780415311458</v>
      </c>
      <c r="D10005" t="str">
        <f>"9781134385812"</f>
        <v>9781134385812</v>
      </c>
      <c r="E10005" t="s">
        <v>15</v>
      </c>
      <c r="F10005" t="s">
        <v>16</v>
      </c>
      <c r="G10005" s="1">
        <v>39730</v>
      </c>
      <c r="H10005" s="1">
        <v>1</v>
      </c>
      <c r="I10005" t="s">
        <v>12</v>
      </c>
      <c r="J10005" t="s">
        <v>20775</v>
      </c>
    </row>
    <row r="10006" spans="1:10" x14ac:dyDescent="0.25">
      <c r="A10006">
        <v>5292733</v>
      </c>
      <c r="B10006" t="s">
        <v>10614</v>
      </c>
      <c r="C10006" t="str">
        <f>"9780415093545"</f>
        <v>9780415093545</v>
      </c>
      <c r="D10006" t="str">
        <f>"9780203013786"</f>
        <v>9780203013786</v>
      </c>
      <c r="E10006" t="s">
        <v>15</v>
      </c>
      <c r="F10006" t="s">
        <v>153</v>
      </c>
      <c r="G10006" s="1">
        <v>38527</v>
      </c>
      <c r="H10006" s="1">
        <v>1</v>
      </c>
      <c r="I10006" t="s">
        <v>12</v>
      </c>
      <c r="J10006" t="s">
        <v>20776</v>
      </c>
    </row>
    <row r="10007" spans="1:10" x14ac:dyDescent="0.25">
      <c r="A10007">
        <v>5292734</v>
      </c>
      <c r="B10007" t="s">
        <v>10615</v>
      </c>
      <c r="C10007" t="str">
        <f>"9780415309967"</f>
        <v>9780415309967</v>
      </c>
      <c r="D10007" t="str">
        <f>"9780203401651"</f>
        <v>9780203401651</v>
      </c>
      <c r="E10007" t="s">
        <v>15</v>
      </c>
      <c r="F10007" t="s">
        <v>153</v>
      </c>
      <c r="G10007" s="1">
        <v>38384</v>
      </c>
      <c r="H10007" s="1">
        <v>1</v>
      </c>
      <c r="I10007" t="s">
        <v>12</v>
      </c>
      <c r="J10007" t="s">
        <v>20777</v>
      </c>
    </row>
    <row r="10008" spans="1:10" x14ac:dyDescent="0.25">
      <c r="A10008">
        <v>5292735</v>
      </c>
      <c r="B10008" t="s">
        <v>10616</v>
      </c>
      <c r="C10008" t="str">
        <f>"9780415322768"</f>
        <v>9780415322768</v>
      </c>
      <c r="D10008" t="str">
        <f>"9780203300527"</f>
        <v>9780203300527</v>
      </c>
      <c r="E10008" t="s">
        <v>15</v>
      </c>
      <c r="F10008" t="s">
        <v>153</v>
      </c>
      <c r="G10008" s="1">
        <v>38628</v>
      </c>
      <c r="H10008" s="1">
        <v>1</v>
      </c>
      <c r="I10008" t="s">
        <v>12</v>
      </c>
      <c r="J10008" t="s">
        <v>20778</v>
      </c>
    </row>
    <row r="10009" spans="1:10" x14ac:dyDescent="0.25">
      <c r="A10009">
        <v>5292736</v>
      </c>
      <c r="B10009" t="s">
        <v>10617</v>
      </c>
      <c r="C10009" t="str">
        <f>"9780415226011"</f>
        <v>9780415226011</v>
      </c>
      <c r="D10009" t="str">
        <f>"9780203414101"</f>
        <v>9780203414101</v>
      </c>
      <c r="E10009" t="s">
        <v>15</v>
      </c>
      <c r="F10009" t="s">
        <v>153</v>
      </c>
      <c r="G10009" s="1">
        <v>37756</v>
      </c>
      <c r="H10009" s="1">
        <v>1</v>
      </c>
      <c r="I10009" t="s">
        <v>12</v>
      </c>
      <c r="J10009" t="s">
        <v>20779</v>
      </c>
    </row>
    <row r="10010" spans="1:10" x14ac:dyDescent="0.25">
      <c r="A10010">
        <v>5292757</v>
      </c>
      <c r="B10010" t="s">
        <v>10618</v>
      </c>
      <c r="C10010" t="str">
        <f>""</f>
        <v/>
      </c>
      <c r="D10010" t="str">
        <f>"9780203390924"</f>
        <v>9780203390924</v>
      </c>
      <c r="E10010" t="s">
        <v>15</v>
      </c>
      <c r="F10010" t="s">
        <v>153</v>
      </c>
      <c r="G10010" s="1">
        <v>38705</v>
      </c>
      <c r="H10010" s="1">
        <v>1</v>
      </c>
      <c r="I10010" t="s">
        <v>12</v>
      </c>
      <c r="J10010" t="s">
        <v>20780</v>
      </c>
    </row>
    <row r="10011" spans="1:10" x14ac:dyDescent="0.25">
      <c r="A10011">
        <v>5292758</v>
      </c>
      <c r="B10011" t="s">
        <v>10619</v>
      </c>
      <c r="C10011" t="str">
        <f>""</f>
        <v/>
      </c>
      <c r="D10011" t="str">
        <f>"9780203325100"</f>
        <v>9780203325100</v>
      </c>
      <c r="E10011" t="s">
        <v>15</v>
      </c>
      <c r="F10011" t="s">
        <v>153</v>
      </c>
      <c r="G10011" s="1">
        <v>38771</v>
      </c>
      <c r="H10011" s="1">
        <v>1</v>
      </c>
      <c r="I10011" t="s">
        <v>12</v>
      </c>
      <c r="J10011" t="s">
        <v>20781</v>
      </c>
    </row>
    <row r="10012" spans="1:10" x14ac:dyDescent="0.25">
      <c r="A10012">
        <v>5292770</v>
      </c>
      <c r="B10012" t="s">
        <v>10620</v>
      </c>
      <c r="C10012" t="str">
        <f>"9780415384582"</f>
        <v>9780415384582</v>
      </c>
      <c r="D10012" t="str">
        <f>"9781134174485"</f>
        <v>9781134174485</v>
      </c>
      <c r="E10012" t="s">
        <v>15</v>
      </c>
      <c r="F10012" t="s">
        <v>16</v>
      </c>
      <c r="G10012" s="1">
        <v>38839</v>
      </c>
      <c r="H10012" s="1">
        <v>1</v>
      </c>
      <c r="I10012" t="s">
        <v>12</v>
      </c>
      <c r="J10012" t="s">
        <v>20782</v>
      </c>
    </row>
    <row r="10013" spans="1:10" x14ac:dyDescent="0.25">
      <c r="A10013">
        <v>5292774</v>
      </c>
      <c r="B10013" t="s">
        <v>10621</v>
      </c>
      <c r="C10013" t="str">
        <f>"9780415351249"</f>
        <v>9780415351249</v>
      </c>
      <c r="D10013" t="str">
        <f>"9780203696828"</f>
        <v>9780203696828</v>
      </c>
      <c r="E10013" t="s">
        <v>15</v>
      </c>
      <c r="F10013" t="s">
        <v>153</v>
      </c>
      <c r="G10013" s="1">
        <v>38718</v>
      </c>
      <c r="H10013" s="1">
        <v>1</v>
      </c>
      <c r="I10013" t="s">
        <v>12</v>
      </c>
      <c r="J10013" t="s">
        <v>20783</v>
      </c>
    </row>
    <row r="10014" spans="1:10" x14ac:dyDescent="0.25">
      <c r="A10014">
        <v>5292777</v>
      </c>
      <c r="B10014" t="s">
        <v>10622</v>
      </c>
      <c r="C10014" t="str">
        <f>"9780415154215"</f>
        <v>9780415154215</v>
      </c>
      <c r="D10014" t="str">
        <f>"9780203195390"</f>
        <v>9780203195390</v>
      </c>
      <c r="E10014" t="s">
        <v>15</v>
      </c>
      <c r="F10014" t="s">
        <v>153</v>
      </c>
      <c r="G10014" s="1">
        <v>35431</v>
      </c>
      <c r="H10014" s="1">
        <v>1</v>
      </c>
      <c r="I10014" t="s">
        <v>12</v>
      </c>
      <c r="J10014" t="s">
        <v>20784</v>
      </c>
    </row>
    <row r="10015" spans="1:10" x14ac:dyDescent="0.25">
      <c r="A10015">
        <v>5292785</v>
      </c>
      <c r="B10015" t="s">
        <v>10623</v>
      </c>
      <c r="C10015" t="str">
        <f>"9780415378161"</f>
        <v>9780415378161</v>
      </c>
      <c r="D10015" t="str">
        <f>"9781134183302"</f>
        <v>9781134183302</v>
      </c>
      <c r="E10015" t="s">
        <v>15</v>
      </c>
      <c r="F10015" t="s">
        <v>16</v>
      </c>
      <c r="G10015" s="1">
        <v>38987</v>
      </c>
      <c r="H10015" s="1">
        <v>1</v>
      </c>
      <c r="I10015" t="s">
        <v>12</v>
      </c>
      <c r="J10015" t="s">
        <v>20785</v>
      </c>
    </row>
    <row r="10016" spans="1:10" x14ac:dyDescent="0.25">
      <c r="A10016">
        <v>5292786</v>
      </c>
      <c r="B10016" t="s">
        <v>10624</v>
      </c>
      <c r="C10016" t="str">
        <f>"9780415287876"</f>
        <v>9780415287876</v>
      </c>
      <c r="D10016" t="str">
        <f>"9780203087640"</f>
        <v>9780203087640</v>
      </c>
      <c r="E10016" t="s">
        <v>15</v>
      </c>
      <c r="F10016" t="s">
        <v>153</v>
      </c>
      <c r="G10016" s="1">
        <v>38718</v>
      </c>
      <c r="H10016" s="1">
        <v>1</v>
      </c>
      <c r="I10016" t="s">
        <v>12</v>
      </c>
      <c r="J10016" t="s">
        <v>20786</v>
      </c>
    </row>
    <row r="10017" spans="1:10" x14ac:dyDescent="0.25">
      <c r="A10017">
        <v>5292787</v>
      </c>
      <c r="B10017" t="s">
        <v>10625</v>
      </c>
      <c r="C10017" t="str">
        <f>"9780415385695"</f>
        <v>9780415385695</v>
      </c>
      <c r="D10017" t="str">
        <f>"9781134171477"</f>
        <v>9781134171477</v>
      </c>
      <c r="E10017" t="s">
        <v>15</v>
      </c>
      <c r="F10017" t="s">
        <v>16</v>
      </c>
      <c r="G10017" s="1">
        <v>38961</v>
      </c>
      <c r="H10017" s="1">
        <v>1</v>
      </c>
      <c r="I10017" t="s">
        <v>12</v>
      </c>
      <c r="J10017" t="s">
        <v>20787</v>
      </c>
    </row>
    <row r="10018" spans="1:10" x14ac:dyDescent="0.25">
      <c r="A10018">
        <v>5292789</v>
      </c>
      <c r="B10018" t="s">
        <v>10626</v>
      </c>
      <c r="C10018" t="str">
        <f>"9780415365857"</f>
        <v>9780415365857</v>
      </c>
      <c r="D10018" t="str">
        <f>"9781134213962"</f>
        <v>9781134213962</v>
      </c>
      <c r="E10018" t="s">
        <v>15</v>
      </c>
      <c r="F10018" t="s">
        <v>16</v>
      </c>
      <c r="G10018" s="1">
        <v>39043</v>
      </c>
      <c r="H10018" s="1">
        <v>1</v>
      </c>
      <c r="I10018" t="s">
        <v>12</v>
      </c>
      <c r="J10018" t="s">
        <v>20788</v>
      </c>
    </row>
    <row r="10019" spans="1:10" x14ac:dyDescent="0.25">
      <c r="A10019">
        <v>5292796</v>
      </c>
      <c r="B10019" t="s">
        <v>10627</v>
      </c>
      <c r="C10019" t="str">
        <f>"9781859418413"</f>
        <v>9781859418413</v>
      </c>
      <c r="D10019" t="str">
        <f>"9781135334345"</f>
        <v>9781135334345</v>
      </c>
      <c r="E10019" t="s">
        <v>15</v>
      </c>
      <c r="F10019" t="s">
        <v>1022</v>
      </c>
      <c r="G10019" s="1">
        <v>41306</v>
      </c>
      <c r="H10019" s="1">
        <v>1</v>
      </c>
      <c r="I10019" t="s">
        <v>12</v>
      </c>
      <c r="J10019" t="s">
        <v>20789</v>
      </c>
    </row>
    <row r="10020" spans="1:10" x14ac:dyDescent="0.25">
      <c r="A10020">
        <v>5292799</v>
      </c>
      <c r="B10020" t="s">
        <v>10628</v>
      </c>
      <c r="C10020" t="str">
        <f>"9780415398466"</f>
        <v>9780415398466</v>
      </c>
      <c r="D10020" t="str">
        <f>"9781134150892"</f>
        <v>9781134150892</v>
      </c>
      <c r="E10020" t="s">
        <v>15</v>
      </c>
      <c r="F10020" t="s">
        <v>16</v>
      </c>
      <c r="G10020" s="1">
        <v>39350</v>
      </c>
      <c r="H10020" s="1">
        <v>1</v>
      </c>
      <c r="I10020" t="s">
        <v>12</v>
      </c>
      <c r="J10020" t="s">
        <v>20790</v>
      </c>
    </row>
    <row r="10021" spans="1:10" x14ac:dyDescent="0.25">
      <c r="A10021">
        <v>5292858</v>
      </c>
      <c r="B10021" t="s">
        <v>10629</v>
      </c>
      <c r="C10021" t="str">
        <f>"9780415309004"</f>
        <v>9780415309004</v>
      </c>
      <c r="D10021" t="str">
        <f>"9780203180457"</f>
        <v>9780203180457</v>
      </c>
      <c r="E10021" t="s">
        <v>15</v>
      </c>
      <c r="F10021" t="s">
        <v>153</v>
      </c>
      <c r="G10021" s="1">
        <v>38386</v>
      </c>
      <c r="H10021" s="1">
        <v>1</v>
      </c>
      <c r="I10021" t="s">
        <v>12</v>
      </c>
      <c r="J10021" t="s">
        <v>20791</v>
      </c>
    </row>
    <row r="10022" spans="1:10" x14ac:dyDescent="0.25">
      <c r="A10022">
        <v>5293454</v>
      </c>
      <c r="B10022" t="s">
        <v>10630</v>
      </c>
      <c r="C10022" t="str">
        <f>"9781409498230"</f>
        <v>9781409498230</v>
      </c>
      <c r="D10022" t="str">
        <f>"9781315575452"</f>
        <v>9781315575452</v>
      </c>
      <c r="E10022" t="s">
        <v>15</v>
      </c>
      <c r="F10022" t="s">
        <v>5544</v>
      </c>
      <c r="G10022" s="1">
        <v>38653</v>
      </c>
      <c r="H10022" s="1">
        <v>1</v>
      </c>
      <c r="I10022" t="s">
        <v>12</v>
      </c>
      <c r="J10022" t="s">
        <v>20792</v>
      </c>
    </row>
    <row r="10023" spans="1:10" x14ac:dyDescent="0.25">
      <c r="A10023">
        <v>5293456</v>
      </c>
      <c r="B10023" t="s">
        <v>10631</v>
      </c>
      <c r="C10023" t="str">
        <f>"9781409458074"</f>
        <v>9781409458074</v>
      </c>
      <c r="D10023" t="str">
        <f>"9781315593661"</f>
        <v>9781315593661</v>
      </c>
      <c r="E10023" t="s">
        <v>15</v>
      </c>
      <c r="F10023" t="s">
        <v>5573</v>
      </c>
      <c r="G10023" s="1">
        <v>39448</v>
      </c>
      <c r="H10023" s="1">
        <v>1</v>
      </c>
      <c r="I10023" t="s">
        <v>12</v>
      </c>
      <c r="J10023" t="s">
        <v>20793</v>
      </c>
    </row>
    <row r="10024" spans="1:10" x14ac:dyDescent="0.25">
      <c r="A10024">
        <v>5293461</v>
      </c>
      <c r="B10024" t="s">
        <v>10632</v>
      </c>
      <c r="C10024" t="str">
        <f>"9780754662723"</f>
        <v>9780754662723</v>
      </c>
      <c r="D10024" t="str">
        <f>"9781315571461"</f>
        <v>9781315571461</v>
      </c>
      <c r="E10024" t="s">
        <v>15</v>
      </c>
      <c r="F10024" t="s">
        <v>5544</v>
      </c>
      <c r="G10024" s="1">
        <v>41453</v>
      </c>
      <c r="H10024" s="1">
        <v>1</v>
      </c>
      <c r="I10024" t="s">
        <v>12</v>
      </c>
      <c r="J10024" t="s">
        <v>20794</v>
      </c>
    </row>
    <row r="10025" spans="1:10" x14ac:dyDescent="0.25">
      <c r="A10025">
        <v>5293472</v>
      </c>
      <c r="B10025" t="s">
        <v>10633</v>
      </c>
      <c r="C10025" t="str">
        <f>"9780754633112"</f>
        <v>9780754633112</v>
      </c>
      <c r="D10025" t="str">
        <f>"9781315599045"</f>
        <v>9781315599045</v>
      </c>
      <c r="E10025" t="s">
        <v>15</v>
      </c>
      <c r="F10025" t="s">
        <v>5544</v>
      </c>
      <c r="G10025" s="1">
        <v>41271</v>
      </c>
      <c r="H10025" s="1">
        <v>1</v>
      </c>
      <c r="I10025" t="s">
        <v>12</v>
      </c>
      <c r="J10025" t="s">
        <v>20795</v>
      </c>
    </row>
    <row r="10026" spans="1:10" x14ac:dyDescent="0.25">
      <c r="A10026">
        <v>5293474</v>
      </c>
      <c r="B10026" t="s">
        <v>10634</v>
      </c>
      <c r="C10026" t="str">
        <f>"9780754671763"</f>
        <v>9780754671763</v>
      </c>
      <c r="D10026" t="str">
        <f>"9781315598581"</f>
        <v>9781315598581</v>
      </c>
      <c r="E10026" t="s">
        <v>15</v>
      </c>
      <c r="F10026" t="s">
        <v>5544</v>
      </c>
      <c r="G10026" s="1">
        <v>39448</v>
      </c>
      <c r="H10026" s="1">
        <v>1</v>
      </c>
      <c r="I10026" t="s">
        <v>12</v>
      </c>
      <c r="J10026" t="s">
        <v>20796</v>
      </c>
    </row>
    <row r="10027" spans="1:10" x14ac:dyDescent="0.25">
      <c r="A10027">
        <v>5293481</v>
      </c>
      <c r="B10027" t="s">
        <v>10635</v>
      </c>
      <c r="C10027" t="str">
        <f>"9781409493112"</f>
        <v>9781409493112</v>
      </c>
      <c r="D10027" t="str">
        <f>"9781315603353"</f>
        <v>9781315603353</v>
      </c>
      <c r="E10027" t="s">
        <v>15</v>
      </c>
      <c r="F10027" t="s">
        <v>5544</v>
      </c>
      <c r="G10027" s="1">
        <v>39387</v>
      </c>
      <c r="H10027" s="1">
        <v>1</v>
      </c>
      <c r="I10027" t="s">
        <v>12</v>
      </c>
      <c r="J10027" t="s">
        <v>20797</v>
      </c>
    </row>
    <row r="10028" spans="1:10" x14ac:dyDescent="0.25">
      <c r="A10028">
        <v>5293491</v>
      </c>
      <c r="B10028" t="s">
        <v>10636</v>
      </c>
      <c r="C10028" t="str">
        <f>"9780754647454"</f>
        <v>9780754647454</v>
      </c>
      <c r="D10028" t="str">
        <f>"9781315588582"</f>
        <v>9781315588582</v>
      </c>
      <c r="E10028" t="s">
        <v>15</v>
      </c>
      <c r="F10028" t="s">
        <v>5544</v>
      </c>
      <c r="G10028" s="1">
        <v>41333</v>
      </c>
      <c r="H10028" s="1">
        <v>1</v>
      </c>
      <c r="I10028" t="s">
        <v>12</v>
      </c>
      <c r="J10028" t="s">
        <v>20798</v>
      </c>
    </row>
    <row r="10029" spans="1:10" x14ac:dyDescent="0.25">
      <c r="A10029">
        <v>5293493</v>
      </c>
      <c r="B10029" t="s">
        <v>10637</v>
      </c>
      <c r="C10029" t="str">
        <f>"9780754646037"</f>
        <v>9780754646037</v>
      </c>
      <c r="D10029" t="str">
        <f>"9781315578712"</f>
        <v>9781315578712</v>
      </c>
      <c r="E10029" t="s">
        <v>15</v>
      </c>
      <c r="F10029" t="s">
        <v>5544</v>
      </c>
      <c r="G10029" s="1">
        <v>39387</v>
      </c>
      <c r="H10029" s="1">
        <v>1</v>
      </c>
      <c r="I10029" t="s">
        <v>12</v>
      </c>
      <c r="J10029" t="s">
        <v>20799</v>
      </c>
    </row>
    <row r="10030" spans="1:10" x14ac:dyDescent="0.25">
      <c r="A10030">
        <v>5293494</v>
      </c>
      <c r="B10030" t="s">
        <v>10638</v>
      </c>
      <c r="C10030" t="str">
        <f>"9781409485049"</f>
        <v>9781409485049</v>
      </c>
      <c r="D10030" t="str">
        <f>"9781315588520"</f>
        <v>9781315588520</v>
      </c>
      <c r="E10030" t="s">
        <v>15</v>
      </c>
      <c r="F10030" t="s">
        <v>5544</v>
      </c>
      <c r="G10030" s="1">
        <v>39387</v>
      </c>
      <c r="H10030" s="1">
        <v>1</v>
      </c>
      <c r="I10030" t="s">
        <v>12</v>
      </c>
      <c r="J10030" t="s">
        <v>20800</v>
      </c>
    </row>
    <row r="10031" spans="1:10" x14ac:dyDescent="0.25">
      <c r="A10031">
        <v>5293495</v>
      </c>
      <c r="B10031" t="s">
        <v>10639</v>
      </c>
      <c r="C10031" t="str">
        <f>"9781409493570"</f>
        <v>9781409493570</v>
      </c>
      <c r="D10031" t="str">
        <f>"9781315597188"</f>
        <v>9781315597188</v>
      </c>
      <c r="E10031" t="s">
        <v>15</v>
      </c>
      <c r="F10031" t="s">
        <v>5544</v>
      </c>
      <c r="G10031" s="1">
        <v>39387</v>
      </c>
      <c r="H10031" s="1">
        <v>1</v>
      </c>
      <c r="I10031" t="s">
        <v>12</v>
      </c>
      <c r="J10031" t="s">
        <v>20801</v>
      </c>
    </row>
    <row r="10032" spans="1:10" x14ac:dyDescent="0.25">
      <c r="A10032">
        <v>5293508</v>
      </c>
      <c r="B10032" t="s">
        <v>10640</v>
      </c>
      <c r="C10032" t="str">
        <f>"9780566085376"</f>
        <v>9780566085376</v>
      </c>
      <c r="D10032" t="str">
        <f>"9781315573151"</f>
        <v>9781315573151</v>
      </c>
      <c r="E10032" t="s">
        <v>15</v>
      </c>
      <c r="F10032" t="s">
        <v>5573</v>
      </c>
      <c r="G10032" s="1">
        <v>39387</v>
      </c>
      <c r="H10032" s="1">
        <v>1</v>
      </c>
      <c r="I10032" t="s">
        <v>12</v>
      </c>
      <c r="J10032" t="s">
        <v>20802</v>
      </c>
    </row>
    <row r="10033" spans="1:10" x14ac:dyDescent="0.25">
      <c r="A10033">
        <v>5293509</v>
      </c>
      <c r="B10033" t="s">
        <v>10641</v>
      </c>
      <c r="C10033" t="str">
        <f>"9781409457855"</f>
        <v>9781409457855</v>
      </c>
      <c r="D10033" t="str">
        <f>"9781315587226"</f>
        <v>9781315587226</v>
      </c>
      <c r="E10033" t="s">
        <v>15</v>
      </c>
      <c r="F10033" t="s">
        <v>5573</v>
      </c>
      <c r="G10033" s="1">
        <v>39387</v>
      </c>
      <c r="H10033" s="1">
        <v>1</v>
      </c>
      <c r="I10033" t="s">
        <v>12</v>
      </c>
      <c r="J10033" t="s">
        <v>20803</v>
      </c>
    </row>
    <row r="10034" spans="1:10" x14ac:dyDescent="0.25">
      <c r="A10034">
        <v>5293512</v>
      </c>
      <c r="B10034" t="s">
        <v>10642</v>
      </c>
      <c r="C10034" t="str">
        <f>"9780566086472"</f>
        <v>9780566086472</v>
      </c>
      <c r="D10034" t="str">
        <f>"9781315588537"</f>
        <v>9781315588537</v>
      </c>
      <c r="E10034" t="s">
        <v>15</v>
      </c>
      <c r="F10034" t="s">
        <v>5573</v>
      </c>
      <c r="G10034" s="1">
        <v>39387</v>
      </c>
      <c r="H10034" s="1">
        <v>1</v>
      </c>
      <c r="I10034" t="s">
        <v>12</v>
      </c>
      <c r="J10034" t="s">
        <v>20804</v>
      </c>
    </row>
    <row r="10035" spans="1:10" x14ac:dyDescent="0.25">
      <c r="A10035">
        <v>5293515</v>
      </c>
      <c r="B10035" t="s">
        <v>10643</v>
      </c>
      <c r="C10035" t="str">
        <f>"9781409457930"</f>
        <v>9781409457930</v>
      </c>
      <c r="D10035" t="str">
        <f>"9781315593487"</f>
        <v>9781315593487</v>
      </c>
      <c r="E10035" t="s">
        <v>15</v>
      </c>
      <c r="F10035" t="s">
        <v>5573</v>
      </c>
      <c r="G10035" s="1">
        <v>39387</v>
      </c>
      <c r="H10035" s="1">
        <v>1</v>
      </c>
      <c r="I10035" t="s">
        <v>12</v>
      </c>
      <c r="J10035" t="s">
        <v>20805</v>
      </c>
    </row>
    <row r="10036" spans="1:10" x14ac:dyDescent="0.25">
      <c r="A10036">
        <v>5293520</v>
      </c>
      <c r="B10036" t="s">
        <v>10644</v>
      </c>
      <c r="C10036" t="str">
        <f>"9781409493495"</f>
        <v>9781409493495</v>
      </c>
      <c r="D10036" t="str">
        <f>"9781315565477"</f>
        <v>9781315565477</v>
      </c>
      <c r="E10036" t="s">
        <v>15</v>
      </c>
      <c r="F10036" t="s">
        <v>5544</v>
      </c>
      <c r="G10036" s="1">
        <v>39387</v>
      </c>
      <c r="H10036" s="1">
        <v>1</v>
      </c>
      <c r="I10036" t="s">
        <v>12</v>
      </c>
      <c r="J10036" t="s">
        <v>20806</v>
      </c>
    </row>
    <row r="10037" spans="1:10" x14ac:dyDescent="0.25">
      <c r="A10037">
        <v>5293521</v>
      </c>
      <c r="B10037" t="s">
        <v>10645</v>
      </c>
      <c r="C10037" t="str">
        <f>"9780754644279"</f>
        <v>9780754644279</v>
      </c>
      <c r="D10037" t="str">
        <f>"9781315593883"</f>
        <v>9781315593883</v>
      </c>
      <c r="E10037" t="s">
        <v>15</v>
      </c>
      <c r="F10037" t="s">
        <v>5544</v>
      </c>
      <c r="G10037" s="1">
        <v>39387</v>
      </c>
      <c r="H10037" s="1">
        <v>1</v>
      </c>
      <c r="I10037" t="s">
        <v>12</v>
      </c>
      <c r="J10037" t="s">
        <v>20807</v>
      </c>
    </row>
    <row r="10038" spans="1:10" x14ac:dyDescent="0.25">
      <c r="A10038">
        <v>5293524</v>
      </c>
      <c r="B10038" t="s">
        <v>10646</v>
      </c>
      <c r="C10038" t="str">
        <f>"9780754647669"</f>
        <v>9780754647669</v>
      </c>
      <c r="D10038" t="str">
        <f>"9781315577661"</f>
        <v>9781315577661</v>
      </c>
      <c r="E10038" t="s">
        <v>15</v>
      </c>
      <c r="F10038" t="s">
        <v>5544</v>
      </c>
      <c r="G10038" s="1">
        <v>39387</v>
      </c>
      <c r="H10038" s="1">
        <v>1</v>
      </c>
      <c r="I10038" t="s">
        <v>12</v>
      </c>
      <c r="J10038" t="s">
        <v>20808</v>
      </c>
    </row>
    <row r="10039" spans="1:10" x14ac:dyDescent="0.25">
      <c r="A10039">
        <v>5293526</v>
      </c>
      <c r="B10039" t="s">
        <v>10647</v>
      </c>
      <c r="C10039" t="str">
        <f>"9780754648444"</f>
        <v>9780754648444</v>
      </c>
      <c r="D10039" t="str">
        <f>"9781315575735"</f>
        <v>9781315575735</v>
      </c>
      <c r="E10039" t="s">
        <v>15</v>
      </c>
      <c r="F10039" t="s">
        <v>5544</v>
      </c>
      <c r="G10039" s="1">
        <v>41241</v>
      </c>
      <c r="H10039" s="1">
        <v>1</v>
      </c>
      <c r="I10039" t="s">
        <v>12</v>
      </c>
      <c r="J10039" t="s">
        <v>20809</v>
      </c>
    </row>
    <row r="10040" spans="1:10" x14ac:dyDescent="0.25">
      <c r="A10040">
        <v>5293529</v>
      </c>
      <c r="B10040" t="s">
        <v>10648</v>
      </c>
      <c r="C10040" t="str">
        <f>"9781409490869"</f>
        <v>9781409490869</v>
      </c>
      <c r="D10040" t="str">
        <f>"9781315573878"</f>
        <v>9781315573878</v>
      </c>
      <c r="E10040" t="s">
        <v>15</v>
      </c>
      <c r="F10040" t="s">
        <v>5544</v>
      </c>
      <c r="G10040" s="1">
        <v>39387</v>
      </c>
      <c r="H10040" s="1">
        <v>1</v>
      </c>
      <c r="I10040" t="s">
        <v>12</v>
      </c>
      <c r="J10040" t="s">
        <v>20810</v>
      </c>
    </row>
    <row r="10041" spans="1:10" x14ac:dyDescent="0.25">
      <c r="A10041">
        <v>5293535</v>
      </c>
      <c r="B10041" t="s">
        <v>10649</v>
      </c>
      <c r="C10041" t="str">
        <f>"9780754658382"</f>
        <v>9780754658382</v>
      </c>
      <c r="D10041" t="str">
        <f>"9781315573274"</f>
        <v>9781315573274</v>
      </c>
      <c r="E10041" t="s">
        <v>15</v>
      </c>
      <c r="F10041" t="s">
        <v>5544</v>
      </c>
      <c r="G10041" s="1">
        <v>41183</v>
      </c>
      <c r="H10041" s="1">
        <v>1</v>
      </c>
      <c r="I10041" t="s">
        <v>12</v>
      </c>
      <c r="J10041" t="s">
        <v>20811</v>
      </c>
    </row>
    <row r="10042" spans="1:10" x14ac:dyDescent="0.25">
      <c r="A10042">
        <v>5293543</v>
      </c>
      <c r="B10042" t="s">
        <v>10650</v>
      </c>
      <c r="C10042" t="str">
        <f>"9780754645764"</f>
        <v>9780754645764</v>
      </c>
      <c r="D10042" t="str">
        <f>"9781315572239"</f>
        <v>9781315572239</v>
      </c>
      <c r="E10042" t="s">
        <v>15</v>
      </c>
      <c r="F10042" t="s">
        <v>5544</v>
      </c>
      <c r="G10042" s="1">
        <v>39387</v>
      </c>
      <c r="H10042" s="1">
        <v>1</v>
      </c>
      <c r="I10042" t="s">
        <v>12</v>
      </c>
      <c r="J10042" t="s">
        <v>20812</v>
      </c>
    </row>
    <row r="10043" spans="1:10" x14ac:dyDescent="0.25">
      <c r="A10043">
        <v>5293545</v>
      </c>
      <c r="B10043" t="s">
        <v>10651</v>
      </c>
      <c r="C10043" t="str">
        <f>"9780754649267"</f>
        <v>9780754649267</v>
      </c>
      <c r="D10043" t="str">
        <f>"9781315588766"</f>
        <v>9781315588766</v>
      </c>
      <c r="E10043" t="s">
        <v>15</v>
      </c>
      <c r="F10043" t="s">
        <v>5544</v>
      </c>
      <c r="G10043" s="1">
        <v>39387</v>
      </c>
      <c r="H10043" s="1">
        <v>1</v>
      </c>
      <c r="I10043" t="s">
        <v>12</v>
      </c>
      <c r="J10043" t="s">
        <v>20813</v>
      </c>
    </row>
    <row r="10044" spans="1:10" x14ac:dyDescent="0.25">
      <c r="A10044">
        <v>5293549</v>
      </c>
      <c r="B10044" t="s">
        <v>10652</v>
      </c>
      <c r="C10044" t="str">
        <f>"9780754646686"</f>
        <v>9780754646686</v>
      </c>
      <c r="D10044" t="str">
        <f>"9781315579924"</f>
        <v>9781315579924</v>
      </c>
      <c r="E10044" t="s">
        <v>15</v>
      </c>
      <c r="F10044" t="s">
        <v>5544</v>
      </c>
      <c r="G10044" s="1">
        <v>39387</v>
      </c>
      <c r="H10044" s="1">
        <v>43348</v>
      </c>
      <c r="I10044" t="s">
        <v>12</v>
      </c>
      <c r="J10044" t="s">
        <v>20814</v>
      </c>
    </row>
    <row r="10045" spans="1:10" x14ac:dyDescent="0.25">
      <c r="A10045">
        <v>5296603</v>
      </c>
      <c r="B10045" t="s">
        <v>10653</v>
      </c>
      <c r="C10045" t="str">
        <f>"9780275945473"</f>
        <v>9780275945473</v>
      </c>
      <c r="D10045" t="str">
        <f>"9781573568135"</f>
        <v>9781573568135</v>
      </c>
      <c r="E10045" t="s">
        <v>2099</v>
      </c>
      <c r="F10045" t="s">
        <v>2099</v>
      </c>
      <c r="G10045" s="1">
        <v>33970</v>
      </c>
      <c r="H10045" s="1">
        <v>1</v>
      </c>
      <c r="I10045" t="s">
        <v>12</v>
      </c>
      <c r="J10045" t="s">
        <v>20815</v>
      </c>
    </row>
    <row r="10046" spans="1:10" x14ac:dyDescent="0.25">
      <c r="A10046">
        <v>5296604</v>
      </c>
      <c r="B10046" t="s">
        <v>10654</v>
      </c>
      <c r="C10046" t="str">
        <f>"9780275910983"</f>
        <v>9780275910983</v>
      </c>
      <c r="D10046" t="str">
        <f>"9780313047138"</f>
        <v>9780313047138</v>
      </c>
      <c r="E10046" t="s">
        <v>2099</v>
      </c>
      <c r="F10046" t="s">
        <v>9682</v>
      </c>
      <c r="G10046" s="1">
        <v>30682</v>
      </c>
      <c r="H10046" s="1">
        <v>1</v>
      </c>
      <c r="I10046" t="s">
        <v>12</v>
      </c>
      <c r="J10046" t="s">
        <v>20816</v>
      </c>
    </row>
    <row r="10047" spans="1:10" x14ac:dyDescent="0.25">
      <c r="A10047">
        <v>5296606</v>
      </c>
      <c r="B10047" t="s">
        <v>10655</v>
      </c>
      <c r="C10047" t="str">
        <f>"9780275965501"</f>
        <v>9780275965501</v>
      </c>
      <c r="D10047" t="str">
        <f>"9780313074745"</f>
        <v>9780313074745</v>
      </c>
      <c r="E10047" t="s">
        <v>2099</v>
      </c>
      <c r="F10047" t="s">
        <v>2099</v>
      </c>
      <c r="G10047" s="1">
        <v>36892</v>
      </c>
      <c r="H10047" s="1">
        <v>1</v>
      </c>
      <c r="I10047" t="s">
        <v>12</v>
      </c>
      <c r="J10047" t="s">
        <v>20817</v>
      </c>
    </row>
    <row r="10048" spans="1:10" x14ac:dyDescent="0.25">
      <c r="A10048">
        <v>5296630</v>
      </c>
      <c r="B10048" t="s">
        <v>10656</v>
      </c>
      <c r="C10048" t="str">
        <f>"9780275974640"</f>
        <v>9780275974640</v>
      </c>
      <c r="D10048" t="str">
        <f>"9780313013737"</f>
        <v>9780313013737</v>
      </c>
      <c r="E10048" t="s">
        <v>2099</v>
      </c>
      <c r="F10048" t="s">
        <v>9682</v>
      </c>
      <c r="G10048" s="1">
        <v>37257</v>
      </c>
      <c r="H10048" s="1">
        <v>1</v>
      </c>
      <c r="I10048" t="s">
        <v>12</v>
      </c>
      <c r="J10048" t="s">
        <v>20818</v>
      </c>
    </row>
    <row r="10049" spans="1:10" x14ac:dyDescent="0.25">
      <c r="A10049">
        <v>5296634</v>
      </c>
      <c r="B10049" t="s">
        <v>10657</v>
      </c>
      <c r="C10049" t="str">
        <f>"9780275983260"</f>
        <v>9780275983260</v>
      </c>
      <c r="D10049" t="str">
        <f>"9780313016264"</f>
        <v>9780313016264</v>
      </c>
      <c r="E10049" t="s">
        <v>2099</v>
      </c>
      <c r="F10049" t="s">
        <v>2099</v>
      </c>
      <c r="G10049" s="1">
        <v>38353</v>
      </c>
      <c r="H10049" s="1">
        <v>1</v>
      </c>
      <c r="I10049" t="s">
        <v>12</v>
      </c>
      <c r="J10049" t="s">
        <v>20819</v>
      </c>
    </row>
    <row r="10050" spans="1:10" x14ac:dyDescent="0.25">
      <c r="A10050">
        <v>5297616</v>
      </c>
      <c r="B10050" t="s">
        <v>10658</v>
      </c>
      <c r="C10050" t="str">
        <f>"9780333945957"</f>
        <v>9780333945957</v>
      </c>
      <c r="D10050" t="str">
        <f>"9781403913869"</f>
        <v>9781403913869</v>
      </c>
      <c r="E10050" t="s">
        <v>876</v>
      </c>
      <c r="F10050" t="s">
        <v>876</v>
      </c>
      <c r="G10050" s="1">
        <v>37210</v>
      </c>
      <c r="H10050" s="1">
        <v>1</v>
      </c>
      <c r="I10050" t="s">
        <v>12</v>
      </c>
      <c r="J10050" t="s">
        <v>20820</v>
      </c>
    </row>
    <row r="10051" spans="1:10" x14ac:dyDescent="0.25">
      <c r="A10051">
        <v>5297654</v>
      </c>
      <c r="B10051" t="s">
        <v>10659</v>
      </c>
      <c r="C10051" t="str">
        <f>"9780333794531"</f>
        <v>9780333794531</v>
      </c>
      <c r="D10051" t="str">
        <f>"9780333985700"</f>
        <v>9780333985700</v>
      </c>
      <c r="E10051" t="s">
        <v>876</v>
      </c>
      <c r="F10051" t="s">
        <v>876</v>
      </c>
      <c r="G10051" s="1">
        <v>36846</v>
      </c>
      <c r="H10051" s="1">
        <v>1</v>
      </c>
      <c r="I10051" t="s">
        <v>12</v>
      </c>
      <c r="J10051" t="s">
        <v>20821</v>
      </c>
    </row>
    <row r="10052" spans="1:10" x14ac:dyDescent="0.25">
      <c r="A10052">
        <v>5298099</v>
      </c>
      <c r="B10052" t="s">
        <v>10660</v>
      </c>
      <c r="C10052" t="str">
        <f>""</f>
        <v/>
      </c>
      <c r="D10052" t="str">
        <f>"9781280057137"</f>
        <v>9781280057137</v>
      </c>
      <c r="E10052" t="s">
        <v>15</v>
      </c>
      <c r="F10052" t="s">
        <v>153</v>
      </c>
      <c r="G10052" s="1">
        <v>37967</v>
      </c>
      <c r="H10052" s="1">
        <v>1</v>
      </c>
      <c r="I10052" t="s">
        <v>12</v>
      </c>
      <c r="J10052" t="s">
        <v>20822</v>
      </c>
    </row>
    <row r="10053" spans="1:10" x14ac:dyDescent="0.25">
      <c r="A10053">
        <v>5298106</v>
      </c>
      <c r="B10053" t="s">
        <v>10661</v>
      </c>
      <c r="C10053" t="str">
        <f>""</f>
        <v/>
      </c>
      <c r="D10053" t="str">
        <f>"9781280057779"</f>
        <v>9781280057779</v>
      </c>
      <c r="E10053" t="s">
        <v>15</v>
      </c>
      <c r="F10053" t="s">
        <v>153</v>
      </c>
      <c r="G10053" s="1">
        <v>38106</v>
      </c>
      <c r="H10053" s="1">
        <v>1</v>
      </c>
      <c r="I10053" t="s">
        <v>12</v>
      </c>
      <c r="J10053" t="s">
        <v>20823</v>
      </c>
    </row>
    <row r="10054" spans="1:10" x14ac:dyDescent="0.25">
      <c r="A10054">
        <v>5298249</v>
      </c>
      <c r="B10054" t="s">
        <v>10662</v>
      </c>
      <c r="C10054" t="str">
        <f>"9781560327332"</f>
        <v>9781560327332</v>
      </c>
      <c r="D10054" t="str">
        <f>"9780203180587"</f>
        <v>9780203180587</v>
      </c>
      <c r="E10054" t="s">
        <v>15</v>
      </c>
      <c r="F10054" t="s">
        <v>153</v>
      </c>
      <c r="G10054" s="1">
        <v>36937</v>
      </c>
      <c r="H10054" s="1">
        <v>1</v>
      </c>
      <c r="I10054" t="s">
        <v>12</v>
      </c>
      <c r="J10054" t="s">
        <v>20824</v>
      </c>
    </row>
    <row r="10055" spans="1:10" x14ac:dyDescent="0.25">
      <c r="A10055">
        <v>5298389</v>
      </c>
      <c r="B10055" t="s">
        <v>10663</v>
      </c>
      <c r="C10055" t="str">
        <f>"9789057024498"</f>
        <v>9789057024498</v>
      </c>
      <c r="D10055" t="str">
        <f>"9781135295776"</f>
        <v>9781135295776</v>
      </c>
      <c r="E10055" t="s">
        <v>15</v>
      </c>
      <c r="F10055" t="s">
        <v>153</v>
      </c>
      <c r="G10055" s="1">
        <v>38020</v>
      </c>
      <c r="H10055" s="1">
        <v>1</v>
      </c>
      <c r="I10055" t="s">
        <v>12</v>
      </c>
      <c r="J10055" t="s">
        <v>20825</v>
      </c>
    </row>
    <row r="10056" spans="1:10" x14ac:dyDescent="0.25">
      <c r="A10056">
        <v>5298526</v>
      </c>
      <c r="B10056" t="s">
        <v>10664</v>
      </c>
      <c r="C10056" t="str">
        <f>""</f>
        <v/>
      </c>
      <c r="D10056" t="str">
        <f>"9781135422400"</f>
        <v>9781135422400</v>
      </c>
      <c r="E10056" t="s">
        <v>15</v>
      </c>
      <c r="F10056" t="s">
        <v>55</v>
      </c>
      <c r="G10056" s="1">
        <v>38218</v>
      </c>
      <c r="H10056" s="1">
        <v>1</v>
      </c>
      <c r="I10056" t="s">
        <v>12</v>
      </c>
      <c r="J10056" t="s">
        <v>20826</v>
      </c>
    </row>
    <row r="10057" spans="1:10" x14ac:dyDescent="0.25">
      <c r="A10057">
        <v>5298595</v>
      </c>
      <c r="B10057" t="s">
        <v>10665</v>
      </c>
      <c r="C10057" t="str">
        <f>"9781579584344"</f>
        <v>9781579584344</v>
      </c>
      <c r="D10057" t="str">
        <f>"9781280103377"</f>
        <v>9781280103377</v>
      </c>
      <c r="E10057" t="s">
        <v>15</v>
      </c>
      <c r="F10057" t="s">
        <v>153</v>
      </c>
      <c r="G10057" s="1">
        <v>38001</v>
      </c>
      <c r="H10057" s="1">
        <v>1</v>
      </c>
      <c r="I10057" t="s">
        <v>12</v>
      </c>
      <c r="J10057" t="s">
        <v>20827</v>
      </c>
    </row>
    <row r="10058" spans="1:10" x14ac:dyDescent="0.25">
      <c r="A10058">
        <v>5298682</v>
      </c>
      <c r="B10058" t="s">
        <v>10666</v>
      </c>
      <c r="C10058" t="str">
        <f>"9780415284165"</f>
        <v>9780415284165</v>
      </c>
      <c r="D10058" t="str">
        <f>"9780203642696"</f>
        <v>9780203642696</v>
      </c>
      <c r="E10058" t="s">
        <v>15</v>
      </c>
      <c r="F10058" t="s">
        <v>153</v>
      </c>
      <c r="G10058" s="1">
        <v>38041</v>
      </c>
      <c r="H10058" s="1">
        <v>1</v>
      </c>
      <c r="I10058" t="s">
        <v>12</v>
      </c>
      <c r="J10058" t="s">
        <v>20828</v>
      </c>
    </row>
    <row r="10059" spans="1:10" x14ac:dyDescent="0.25">
      <c r="A10059">
        <v>5298683</v>
      </c>
      <c r="B10059" t="s">
        <v>10667</v>
      </c>
      <c r="C10059" t="str">
        <f>"9781584883692"</f>
        <v>9781584883692</v>
      </c>
      <c r="D10059" t="str">
        <f>"9780203009765"</f>
        <v>9780203009765</v>
      </c>
      <c r="E10059" t="s">
        <v>15</v>
      </c>
      <c r="F10059" t="s">
        <v>153</v>
      </c>
      <c r="G10059" s="1">
        <v>37949</v>
      </c>
      <c r="H10059" s="1">
        <v>1</v>
      </c>
      <c r="I10059" t="s">
        <v>12</v>
      </c>
      <c r="J10059" t="s">
        <v>20829</v>
      </c>
    </row>
    <row r="10060" spans="1:10" x14ac:dyDescent="0.25">
      <c r="A10060">
        <v>5298738</v>
      </c>
      <c r="B10060" t="s">
        <v>10668</v>
      </c>
      <c r="C10060" t="str">
        <f>""</f>
        <v/>
      </c>
      <c r="D10060" t="str">
        <f>"9781280112621"</f>
        <v>9781280112621</v>
      </c>
      <c r="E10060" t="s">
        <v>15</v>
      </c>
      <c r="F10060" t="s">
        <v>153</v>
      </c>
      <c r="G10060" s="1">
        <v>38302</v>
      </c>
      <c r="H10060" s="1">
        <v>1</v>
      </c>
      <c r="I10060" t="s">
        <v>12</v>
      </c>
      <c r="J10060" t="s">
        <v>20830</v>
      </c>
    </row>
    <row r="10061" spans="1:10" x14ac:dyDescent="0.25">
      <c r="A10061">
        <v>5298783</v>
      </c>
      <c r="B10061" t="s">
        <v>10669</v>
      </c>
      <c r="C10061" t="str">
        <f>""</f>
        <v/>
      </c>
      <c r="D10061" t="str">
        <f>"9781280138225"</f>
        <v>9781280138225</v>
      </c>
      <c r="E10061" t="s">
        <v>15</v>
      </c>
      <c r="F10061" t="s">
        <v>153</v>
      </c>
      <c r="G10061" s="1">
        <v>36279</v>
      </c>
      <c r="H10061" s="1">
        <v>1</v>
      </c>
      <c r="I10061" t="s">
        <v>12</v>
      </c>
      <c r="J10061" t="s">
        <v>20831</v>
      </c>
    </row>
    <row r="10062" spans="1:10" x14ac:dyDescent="0.25">
      <c r="A10062">
        <v>5298928</v>
      </c>
      <c r="B10062" t="s">
        <v>10670</v>
      </c>
      <c r="C10062" t="str">
        <f>"9780415053082"</f>
        <v>9780415053082</v>
      </c>
      <c r="D10062" t="str">
        <f>"9781134939442"</f>
        <v>9781134939442</v>
      </c>
      <c r="E10062" t="s">
        <v>15</v>
      </c>
      <c r="F10062" t="s">
        <v>16</v>
      </c>
      <c r="G10062" s="1">
        <v>37865</v>
      </c>
      <c r="H10062" s="1">
        <v>1</v>
      </c>
      <c r="I10062" t="s">
        <v>12</v>
      </c>
      <c r="J10062" t="s">
        <v>20832</v>
      </c>
    </row>
    <row r="10063" spans="1:10" x14ac:dyDescent="0.25">
      <c r="A10063">
        <v>5298968</v>
      </c>
      <c r="B10063" t="s">
        <v>10671</v>
      </c>
      <c r="C10063" t="str">
        <f>""</f>
        <v/>
      </c>
      <c r="D10063" t="str">
        <f>"9781843140696"</f>
        <v>9781843140696</v>
      </c>
      <c r="E10063" t="s">
        <v>15</v>
      </c>
      <c r="F10063" t="s">
        <v>153</v>
      </c>
      <c r="G10063" s="1">
        <v>37785</v>
      </c>
      <c r="H10063" s="1">
        <v>1</v>
      </c>
      <c r="I10063" t="s">
        <v>12</v>
      </c>
      <c r="J10063" t="s">
        <v>20833</v>
      </c>
    </row>
    <row r="10064" spans="1:10" x14ac:dyDescent="0.25">
      <c r="A10064">
        <v>5298997</v>
      </c>
      <c r="B10064" t="s">
        <v>10672</v>
      </c>
      <c r="C10064" t="str">
        <f>"9781859414934"</f>
        <v>9781859414934</v>
      </c>
      <c r="D10064" t="str">
        <f>"9781843144229"</f>
        <v>9781843144229</v>
      </c>
      <c r="E10064" t="s">
        <v>15</v>
      </c>
      <c r="F10064" t="s">
        <v>153</v>
      </c>
      <c r="G10064" s="1">
        <v>37823</v>
      </c>
      <c r="H10064" s="1">
        <v>1</v>
      </c>
      <c r="I10064" t="s">
        <v>12</v>
      </c>
      <c r="J10064" t="s">
        <v>20834</v>
      </c>
    </row>
    <row r="10065" spans="1:10" x14ac:dyDescent="0.25">
      <c r="A10065">
        <v>5299014</v>
      </c>
      <c r="B10065" t="s">
        <v>10673</v>
      </c>
      <c r="C10065" t="str">
        <f>""</f>
        <v/>
      </c>
      <c r="D10065" t="str">
        <f>"9781843144106"</f>
        <v>9781843144106</v>
      </c>
      <c r="E10065" t="s">
        <v>15</v>
      </c>
      <c r="F10065" t="s">
        <v>153</v>
      </c>
      <c r="G10065" s="1">
        <v>37877</v>
      </c>
      <c r="H10065" s="1">
        <v>1</v>
      </c>
      <c r="I10065" t="s">
        <v>12</v>
      </c>
      <c r="J10065" t="s">
        <v>20835</v>
      </c>
    </row>
    <row r="10066" spans="1:10" x14ac:dyDescent="0.25">
      <c r="A10066">
        <v>5299040</v>
      </c>
      <c r="B10066" t="s">
        <v>10674</v>
      </c>
      <c r="C10066" t="str">
        <f>"9781579584511"</f>
        <v>9781579584511</v>
      </c>
      <c r="D10066" t="str">
        <f>"9781280168147"</f>
        <v>9781280168147</v>
      </c>
      <c r="E10066" t="s">
        <v>15</v>
      </c>
      <c r="F10066" t="s">
        <v>153</v>
      </c>
      <c r="G10066" s="1">
        <v>38384</v>
      </c>
      <c r="H10066" s="1">
        <v>1</v>
      </c>
      <c r="I10066" t="s">
        <v>12</v>
      </c>
      <c r="J10066" t="s">
        <v>20836</v>
      </c>
    </row>
    <row r="10067" spans="1:10" x14ac:dyDescent="0.25">
      <c r="A10067">
        <v>5299061</v>
      </c>
      <c r="B10067" t="s">
        <v>10675</v>
      </c>
      <c r="C10067" t="str">
        <f>""</f>
        <v/>
      </c>
      <c r="D10067" t="str">
        <f>"9781280171185"</f>
        <v>9781280171185</v>
      </c>
      <c r="E10067" t="s">
        <v>15</v>
      </c>
      <c r="F10067" t="s">
        <v>153</v>
      </c>
      <c r="G10067" s="1">
        <v>38211</v>
      </c>
      <c r="H10067" s="1">
        <v>1</v>
      </c>
      <c r="I10067" t="s">
        <v>12</v>
      </c>
      <c r="J10067" t="s">
        <v>20837</v>
      </c>
    </row>
    <row r="10068" spans="1:10" x14ac:dyDescent="0.25">
      <c r="A10068">
        <v>5299469</v>
      </c>
      <c r="B10068" t="s">
        <v>10676</v>
      </c>
      <c r="C10068" t="str">
        <f>"9780824746209"</f>
        <v>9780824746209</v>
      </c>
      <c r="D10068" t="str">
        <f>"9780203021798"</f>
        <v>9780203021798</v>
      </c>
      <c r="E10068" t="s">
        <v>15</v>
      </c>
      <c r="F10068" t="s">
        <v>153</v>
      </c>
      <c r="G10068" s="1">
        <v>38099</v>
      </c>
      <c r="H10068" s="1">
        <v>1</v>
      </c>
      <c r="I10068" t="s">
        <v>12</v>
      </c>
      <c r="J10068" t="s">
        <v>20838</v>
      </c>
    </row>
    <row r="10069" spans="1:10" x14ac:dyDescent="0.25">
      <c r="A10069">
        <v>5299516</v>
      </c>
      <c r="B10069" t="s">
        <v>10677</v>
      </c>
      <c r="C10069" t="str">
        <f>"9780824740726"</f>
        <v>9780824740726</v>
      </c>
      <c r="D10069" t="str">
        <f>"9780203026953"</f>
        <v>9780203026953</v>
      </c>
      <c r="E10069" t="s">
        <v>15</v>
      </c>
      <c r="F10069" t="s">
        <v>153</v>
      </c>
      <c r="G10069" s="1">
        <v>37967</v>
      </c>
      <c r="H10069" s="1">
        <v>1</v>
      </c>
      <c r="I10069" t="s">
        <v>12</v>
      </c>
      <c r="J10069" t="s">
        <v>20839</v>
      </c>
    </row>
    <row r="10070" spans="1:10" x14ac:dyDescent="0.25">
      <c r="A10070">
        <v>5299561</v>
      </c>
      <c r="B10070" t="s">
        <v>10678</v>
      </c>
      <c r="C10070" t="str">
        <f>""</f>
        <v/>
      </c>
      <c r="D10070" t="str">
        <f>"9781280224393"</f>
        <v>9781280224393</v>
      </c>
      <c r="E10070" t="s">
        <v>15</v>
      </c>
      <c r="F10070" t="s">
        <v>153</v>
      </c>
      <c r="G10070" s="1">
        <v>38534</v>
      </c>
      <c r="H10070" s="1">
        <v>1</v>
      </c>
      <c r="I10070" t="s">
        <v>12</v>
      </c>
      <c r="J10070" t="s">
        <v>20840</v>
      </c>
    </row>
    <row r="10071" spans="1:10" x14ac:dyDescent="0.25">
      <c r="A10071">
        <v>5299601</v>
      </c>
      <c r="B10071" t="s">
        <v>10679</v>
      </c>
      <c r="C10071" t="str">
        <f>""</f>
        <v/>
      </c>
      <c r="D10071" t="str">
        <f>"9781280226847"</f>
        <v>9781280226847</v>
      </c>
      <c r="E10071" t="s">
        <v>15</v>
      </c>
      <c r="F10071" t="s">
        <v>153</v>
      </c>
      <c r="G10071" s="1">
        <v>38075</v>
      </c>
      <c r="H10071" s="1">
        <v>1</v>
      </c>
      <c r="I10071" t="s">
        <v>12</v>
      </c>
      <c r="J10071" t="s">
        <v>20841</v>
      </c>
    </row>
    <row r="10072" spans="1:10" x14ac:dyDescent="0.25">
      <c r="A10072">
        <v>5299609</v>
      </c>
      <c r="B10072" t="s">
        <v>10680</v>
      </c>
      <c r="C10072" t="str">
        <f>""</f>
        <v/>
      </c>
      <c r="D10072" t="str">
        <f>"9781280231889"</f>
        <v>9781280231889</v>
      </c>
      <c r="E10072" t="s">
        <v>15</v>
      </c>
      <c r="F10072" t="s">
        <v>153</v>
      </c>
      <c r="G10072" s="1">
        <v>38150</v>
      </c>
      <c r="H10072" s="1">
        <v>1</v>
      </c>
      <c r="I10072" t="s">
        <v>12</v>
      </c>
      <c r="J10072" t="s">
        <v>20842</v>
      </c>
    </row>
    <row r="10073" spans="1:10" x14ac:dyDescent="0.25">
      <c r="A10073">
        <v>5299610</v>
      </c>
      <c r="B10073" t="s">
        <v>10681</v>
      </c>
      <c r="C10073" t="str">
        <f>""</f>
        <v/>
      </c>
      <c r="D10073" t="str">
        <f>"9781280231926"</f>
        <v>9781280231926</v>
      </c>
      <c r="E10073" t="s">
        <v>15</v>
      </c>
      <c r="F10073" t="s">
        <v>153</v>
      </c>
      <c r="G10073" s="1">
        <v>37687</v>
      </c>
      <c r="H10073" s="1">
        <v>1</v>
      </c>
      <c r="I10073" t="s">
        <v>12</v>
      </c>
      <c r="J10073" t="s">
        <v>20843</v>
      </c>
    </row>
    <row r="10074" spans="1:10" x14ac:dyDescent="0.25">
      <c r="A10074">
        <v>5299611</v>
      </c>
      <c r="B10074" t="s">
        <v>10682</v>
      </c>
      <c r="C10074" t="str">
        <f>"9780415282390"</f>
        <v>9780415282390</v>
      </c>
      <c r="D10074" t="str">
        <f>"9780203487228"</f>
        <v>9780203487228</v>
      </c>
      <c r="E10074" t="s">
        <v>15</v>
      </c>
      <c r="F10074" t="s">
        <v>153</v>
      </c>
      <c r="G10074" s="1">
        <v>38302</v>
      </c>
      <c r="H10074" s="1">
        <v>1</v>
      </c>
      <c r="I10074" t="s">
        <v>12</v>
      </c>
      <c r="J10074" t="s">
        <v>20844</v>
      </c>
    </row>
    <row r="10075" spans="1:10" x14ac:dyDescent="0.25">
      <c r="A10075">
        <v>5299635</v>
      </c>
      <c r="B10075" t="s">
        <v>10683</v>
      </c>
      <c r="C10075" t="str">
        <f>"9780946392094"</f>
        <v>9780946392094</v>
      </c>
      <c r="D10075" t="str">
        <f>"9781135467623"</f>
        <v>9781135467623</v>
      </c>
      <c r="E10075" t="s">
        <v>15</v>
      </c>
      <c r="F10075" t="s">
        <v>153</v>
      </c>
      <c r="G10075" s="1">
        <v>38000</v>
      </c>
      <c r="H10075" s="1">
        <v>1</v>
      </c>
      <c r="I10075" t="s">
        <v>12</v>
      </c>
      <c r="J10075" t="s">
        <v>20845</v>
      </c>
    </row>
    <row r="10076" spans="1:10" x14ac:dyDescent="0.25">
      <c r="A10076">
        <v>5299650</v>
      </c>
      <c r="B10076" t="s">
        <v>10684</v>
      </c>
      <c r="C10076" t="str">
        <f>"9781851661367"</f>
        <v>9781851661367</v>
      </c>
      <c r="D10076" t="str">
        <f>"9780203973097"</f>
        <v>9780203973097</v>
      </c>
      <c r="E10076" t="s">
        <v>15</v>
      </c>
      <c r="F10076" t="s">
        <v>153</v>
      </c>
      <c r="G10076" s="1">
        <v>32167</v>
      </c>
      <c r="H10076" s="1">
        <v>1</v>
      </c>
      <c r="I10076" t="s">
        <v>12</v>
      </c>
      <c r="J10076" t="s">
        <v>20846</v>
      </c>
    </row>
    <row r="10077" spans="1:10" x14ac:dyDescent="0.25">
      <c r="A10077">
        <v>5299676</v>
      </c>
      <c r="B10077" t="s">
        <v>10685</v>
      </c>
      <c r="C10077" t="str">
        <f>""</f>
        <v/>
      </c>
      <c r="D10077" t="str">
        <f>"9781280240263"</f>
        <v>9781280240263</v>
      </c>
      <c r="E10077" t="s">
        <v>15</v>
      </c>
      <c r="F10077" t="s">
        <v>153</v>
      </c>
      <c r="G10077" s="1">
        <v>37973</v>
      </c>
      <c r="H10077" s="1">
        <v>1</v>
      </c>
      <c r="I10077" t="s">
        <v>12</v>
      </c>
      <c r="J10077" t="s">
        <v>20847</v>
      </c>
    </row>
    <row r="10078" spans="1:10" x14ac:dyDescent="0.25">
      <c r="A10078">
        <v>5299804</v>
      </c>
      <c r="B10078" t="s">
        <v>10686</v>
      </c>
      <c r="C10078" t="str">
        <f>"9780419203100"</f>
        <v>9780419203100</v>
      </c>
      <c r="D10078" t="str">
        <f>"9780203985175"</f>
        <v>9780203985175</v>
      </c>
      <c r="E10078" t="s">
        <v>15</v>
      </c>
      <c r="F10078" t="s">
        <v>153</v>
      </c>
      <c r="G10078" s="1">
        <v>35026</v>
      </c>
      <c r="H10078" s="1">
        <v>1</v>
      </c>
      <c r="I10078" t="s">
        <v>12</v>
      </c>
      <c r="J10078" t="s">
        <v>20848</v>
      </c>
    </row>
    <row r="10079" spans="1:10" x14ac:dyDescent="0.25">
      <c r="A10079">
        <v>5299863</v>
      </c>
      <c r="B10079" t="s">
        <v>10687</v>
      </c>
      <c r="C10079" t="str">
        <f>"9781851664290"</f>
        <v>9781851664290</v>
      </c>
      <c r="D10079" t="str">
        <f>"9780203975862"</f>
        <v>9780203975862</v>
      </c>
      <c r="E10079" t="s">
        <v>15</v>
      </c>
      <c r="F10079" t="s">
        <v>153</v>
      </c>
      <c r="G10079" s="1">
        <v>33024</v>
      </c>
      <c r="H10079" s="1">
        <v>1</v>
      </c>
      <c r="I10079" t="s">
        <v>12</v>
      </c>
      <c r="J10079" t="s">
        <v>20849</v>
      </c>
    </row>
    <row r="10080" spans="1:10" x14ac:dyDescent="0.25">
      <c r="A10080">
        <v>5299883</v>
      </c>
      <c r="B10080" t="s">
        <v>10688</v>
      </c>
      <c r="C10080" t="str">
        <f>"9780415334143"</f>
        <v>9780415334143</v>
      </c>
      <c r="D10080" t="str">
        <f>"9780203491690"</f>
        <v>9780203491690</v>
      </c>
      <c r="E10080" t="s">
        <v>15</v>
      </c>
      <c r="F10080" t="s">
        <v>153</v>
      </c>
      <c r="G10080" s="1">
        <v>38353</v>
      </c>
      <c r="H10080" s="1">
        <v>1</v>
      </c>
      <c r="I10080" t="s">
        <v>12</v>
      </c>
      <c r="J10080" t="s">
        <v>20850</v>
      </c>
    </row>
    <row r="10081" spans="1:10" x14ac:dyDescent="0.25">
      <c r="A10081">
        <v>5299886</v>
      </c>
      <c r="B10081" t="s">
        <v>10689</v>
      </c>
      <c r="C10081" t="str">
        <f>""</f>
        <v/>
      </c>
      <c r="D10081" t="str">
        <f>"9781280288746"</f>
        <v>9781280288746</v>
      </c>
      <c r="E10081" t="s">
        <v>15</v>
      </c>
      <c r="F10081" t="s">
        <v>153</v>
      </c>
      <c r="G10081" s="1">
        <v>38353</v>
      </c>
      <c r="H10081" s="1">
        <v>1</v>
      </c>
      <c r="I10081" t="s">
        <v>12</v>
      </c>
      <c r="J10081" t="s">
        <v>20851</v>
      </c>
    </row>
    <row r="10082" spans="1:10" x14ac:dyDescent="0.25">
      <c r="A10082">
        <v>5299905</v>
      </c>
      <c r="B10082" t="s">
        <v>10690</v>
      </c>
      <c r="C10082" t="str">
        <f>""</f>
        <v/>
      </c>
      <c r="D10082" t="str">
        <f>"9781280289156"</f>
        <v>9781280289156</v>
      </c>
      <c r="E10082" t="s">
        <v>15</v>
      </c>
      <c r="F10082" t="s">
        <v>153</v>
      </c>
      <c r="G10082" s="1">
        <v>37987</v>
      </c>
      <c r="H10082" s="1">
        <v>1</v>
      </c>
      <c r="I10082" t="s">
        <v>12</v>
      </c>
      <c r="J10082" t="s">
        <v>20852</v>
      </c>
    </row>
    <row r="10083" spans="1:10" x14ac:dyDescent="0.25">
      <c r="A10083">
        <v>5299910</v>
      </c>
      <c r="B10083" t="s">
        <v>10691</v>
      </c>
      <c r="C10083" t="str">
        <f>""</f>
        <v/>
      </c>
      <c r="D10083" t="str">
        <f>"9781280289262"</f>
        <v>9781280289262</v>
      </c>
      <c r="E10083" t="s">
        <v>15</v>
      </c>
      <c r="F10083" t="s">
        <v>153</v>
      </c>
      <c r="G10083" s="1">
        <v>37875</v>
      </c>
      <c r="H10083" s="1">
        <v>1</v>
      </c>
      <c r="I10083" t="s">
        <v>12</v>
      </c>
      <c r="J10083" t="s">
        <v>20853</v>
      </c>
    </row>
    <row r="10084" spans="1:10" x14ac:dyDescent="0.25">
      <c r="A10084">
        <v>5299980</v>
      </c>
      <c r="B10084" t="s">
        <v>10692</v>
      </c>
      <c r="C10084" t="str">
        <f>""</f>
        <v/>
      </c>
      <c r="D10084" t="str">
        <f>"9781280291531"</f>
        <v>9781280291531</v>
      </c>
      <c r="E10084" t="s">
        <v>15</v>
      </c>
      <c r="F10084" t="s">
        <v>55</v>
      </c>
      <c r="G10084" s="1">
        <v>38292</v>
      </c>
      <c r="H10084" s="1">
        <v>1</v>
      </c>
      <c r="I10084" t="s">
        <v>12</v>
      </c>
      <c r="J10084" t="s">
        <v>20854</v>
      </c>
    </row>
    <row r="10085" spans="1:10" x14ac:dyDescent="0.25">
      <c r="A10085">
        <v>5300008</v>
      </c>
      <c r="B10085" t="s">
        <v>10693</v>
      </c>
      <c r="C10085" t="str">
        <f>""</f>
        <v/>
      </c>
      <c r="D10085" t="str">
        <f>"9781280309205"</f>
        <v>9781280309205</v>
      </c>
      <c r="E10085" t="s">
        <v>15</v>
      </c>
      <c r="F10085" t="s">
        <v>153</v>
      </c>
      <c r="G10085" s="1">
        <v>38092</v>
      </c>
      <c r="H10085" s="1">
        <v>1</v>
      </c>
      <c r="I10085" t="s">
        <v>12</v>
      </c>
      <c r="J10085" t="s">
        <v>20855</v>
      </c>
    </row>
    <row r="10086" spans="1:10" x14ac:dyDescent="0.25">
      <c r="A10086">
        <v>5300058</v>
      </c>
      <c r="B10086" t="s">
        <v>10694</v>
      </c>
      <c r="C10086" t="str">
        <f>"9780415120050"</f>
        <v>9780415120050</v>
      </c>
      <c r="D10086" t="str">
        <f>"9781134810925"</f>
        <v>9781134810925</v>
      </c>
      <c r="E10086" t="s">
        <v>15</v>
      </c>
      <c r="F10086" t="s">
        <v>16</v>
      </c>
      <c r="G10086" s="1">
        <v>37796</v>
      </c>
      <c r="H10086" s="1">
        <v>1</v>
      </c>
      <c r="I10086" t="s">
        <v>12</v>
      </c>
      <c r="J10086" t="s">
        <v>20856</v>
      </c>
    </row>
    <row r="10087" spans="1:10" x14ac:dyDescent="0.25">
      <c r="A10087">
        <v>5300134</v>
      </c>
      <c r="B10087" t="s">
        <v>10695</v>
      </c>
      <c r="C10087" t="str">
        <f>"9780849315930"</f>
        <v>9780849315930</v>
      </c>
      <c r="D10087" t="str">
        <f>"9780203503713"</f>
        <v>9780203503713</v>
      </c>
      <c r="E10087" t="s">
        <v>15</v>
      </c>
      <c r="F10087" t="s">
        <v>153</v>
      </c>
      <c r="G10087" s="1">
        <v>37984</v>
      </c>
      <c r="H10087" s="1">
        <v>1</v>
      </c>
      <c r="I10087" t="s">
        <v>12</v>
      </c>
      <c r="J10087" t="s">
        <v>20857</v>
      </c>
    </row>
    <row r="10088" spans="1:10" x14ac:dyDescent="0.25">
      <c r="A10088">
        <v>5300136</v>
      </c>
      <c r="B10088" t="s">
        <v>10696</v>
      </c>
      <c r="C10088" t="str">
        <f>"9781560328483"</f>
        <v>9781560328483</v>
      </c>
      <c r="D10088" t="str">
        <f>"9781135465599"</f>
        <v>9781135465599</v>
      </c>
      <c r="E10088" t="s">
        <v>15</v>
      </c>
      <c r="F10088" t="s">
        <v>153</v>
      </c>
      <c r="G10088" s="1">
        <v>38168</v>
      </c>
      <c r="H10088" s="1">
        <v>1</v>
      </c>
      <c r="I10088" t="s">
        <v>12</v>
      </c>
      <c r="J10088" t="s">
        <v>20858</v>
      </c>
    </row>
    <row r="10089" spans="1:10" x14ac:dyDescent="0.25">
      <c r="A10089">
        <v>5300149</v>
      </c>
      <c r="B10089" t="s">
        <v>10697</v>
      </c>
      <c r="C10089" t="str">
        <f>"9781591690146"</f>
        <v>9781591690146</v>
      </c>
      <c r="D10089" t="str">
        <f>"9780203017869"</f>
        <v>9780203017869</v>
      </c>
      <c r="E10089" t="s">
        <v>15</v>
      </c>
      <c r="F10089" t="s">
        <v>153</v>
      </c>
      <c r="G10089" s="1">
        <v>38534</v>
      </c>
      <c r="H10089" s="1">
        <v>1</v>
      </c>
      <c r="I10089" t="s">
        <v>12</v>
      </c>
      <c r="J10089" t="s">
        <v>20859</v>
      </c>
    </row>
    <row r="10090" spans="1:10" x14ac:dyDescent="0.25">
      <c r="A10090">
        <v>5300206</v>
      </c>
      <c r="B10090" t="s">
        <v>10698</v>
      </c>
      <c r="C10090" t="str">
        <f>""</f>
        <v/>
      </c>
      <c r="D10090" t="str">
        <f>"9781280400216"</f>
        <v>9781280400216</v>
      </c>
      <c r="E10090" t="s">
        <v>15</v>
      </c>
      <c r="F10090" t="s">
        <v>153</v>
      </c>
      <c r="G10090" s="1">
        <v>35656</v>
      </c>
      <c r="H10090" s="1">
        <v>1</v>
      </c>
      <c r="I10090" t="s">
        <v>12</v>
      </c>
      <c r="J10090" t="s">
        <v>20860</v>
      </c>
    </row>
    <row r="10091" spans="1:10" x14ac:dyDescent="0.25">
      <c r="A10091">
        <v>5300240</v>
      </c>
      <c r="B10091" t="s">
        <v>10699</v>
      </c>
      <c r="C10091" t="str">
        <f>""</f>
        <v/>
      </c>
      <c r="D10091" t="str">
        <f>"9781280402975"</f>
        <v>9781280402975</v>
      </c>
      <c r="E10091" t="s">
        <v>15</v>
      </c>
      <c r="F10091" t="s">
        <v>153</v>
      </c>
      <c r="G10091" s="1">
        <v>37781</v>
      </c>
      <c r="H10091" s="1">
        <v>1</v>
      </c>
      <c r="I10091" t="s">
        <v>12</v>
      </c>
      <c r="J10091" t="s">
        <v>20861</v>
      </c>
    </row>
    <row r="10092" spans="1:10" x14ac:dyDescent="0.25">
      <c r="A10092">
        <v>5300265</v>
      </c>
      <c r="B10092" t="s">
        <v>10700</v>
      </c>
      <c r="C10092" t="str">
        <f>"9780419190806"</f>
        <v>9780419190806</v>
      </c>
      <c r="D10092" t="str">
        <f>"9780203474907"</f>
        <v>9780203474907</v>
      </c>
      <c r="E10092" t="s">
        <v>15</v>
      </c>
      <c r="F10092" t="s">
        <v>153</v>
      </c>
      <c r="G10092" s="1">
        <v>34224</v>
      </c>
      <c r="H10092" s="1">
        <v>1</v>
      </c>
      <c r="I10092" t="s">
        <v>12</v>
      </c>
      <c r="J10092" t="s">
        <v>20862</v>
      </c>
    </row>
    <row r="10093" spans="1:10" x14ac:dyDescent="0.25">
      <c r="A10093">
        <v>5300273</v>
      </c>
      <c r="B10093" t="s">
        <v>10701</v>
      </c>
      <c r="C10093" t="str">
        <f>"9780419216803"</f>
        <v>9780419216803</v>
      </c>
      <c r="D10093" t="str">
        <f>"9780203476758"</f>
        <v>9780203476758</v>
      </c>
      <c r="E10093" t="s">
        <v>15</v>
      </c>
      <c r="F10093" t="s">
        <v>153</v>
      </c>
      <c r="G10093" s="1">
        <v>35453</v>
      </c>
      <c r="H10093" s="1">
        <v>1</v>
      </c>
      <c r="I10093" t="s">
        <v>12</v>
      </c>
      <c r="J10093" t="s">
        <v>20863</v>
      </c>
    </row>
    <row r="10094" spans="1:10" x14ac:dyDescent="0.25">
      <c r="A10094">
        <v>5300354</v>
      </c>
      <c r="B10094" t="s">
        <v>10702</v>
      </c>
      <c r="C10094" t="str">
        <f>"9781851663736"</f>
        <v>9781851663736</v>
      </c>
      <c r="D10094" t="str">
        <f>"9780203498033"</f>
        <v>9780203498033</v>
      </c>
      <c r="E10094" t="s">
        <v>15</v>
      </c>
      <c r="F10094" t="s">
        <v>153</v>
      </c>
      <c r="G10094" s="1">
        <v>32892</v>
      </c>
      <c r="H10094" s="1">
        <v>1</v>
      </c>
      <c r="I10094" t="s">
        <v>12</v>
      </c>
      <c r="J10094" t="s">
        <v>20864</v>
      </c>
    </row>
    <row r="10095" spans="1:10" x14ac:dyDescent="0.25">
      <c r="A10095">
        <v>5300395</v>
      </c>
      <c r="B10095" t="s">
        <v>10703</v>
      </c>
      <c r="C10095" t="str">
        <f>""</f>
        <v/>
      </c>
      <c r="D10095" t="str">
        <f>"9781280506550"</f>
        <v>9781280506550</v>
      </c>
      <c r="E10095" t="s">
        <v>15</v>
      </c>
      <c r="F10095" t="s">
        <v>153</v>
      </c>
      <c r="G10095" s="1">
        <v>32072</v>
      </c>
      <c r="H10095" s="1">
        <v>1</v>
      </c>
      <c r="I10095" t="s">
        <v>12</v>
      </c>
      <c r="J10095" t="s">
        <v>20865</v>
      </c>
    </row>
    <row r="10096" spans="1:10" x14ac:dyDescent="0.25">
      <c r="A10096">
        <v>5300398</v>
      </c>
      <c r="B10096" t="s">
        <v>10704</v>
      </c>
      <c r="C10096" t="str">
        <f>""</f>
        <v/>
      </c>
      <c r="D10096" t="str">
        <f>"9781280506598"</f>
        <v>9781280506598</v>
      </c>
      <c r="E10096" t="s">
        <v>15</v>
      </c>
      <c r="F10096" t="s">
        <v>153</v>
      </c>
      <c r="G10096" s="1">
        <v>36678</v>
      </c>
      <c r="H10096" s="1">
        <v>1</v>
      </c>
      <c r="I10096" t="s">
        <v>12</v>
      </c>
      <c r="J10096" t="s">
        <v>20866</v>
      </c>
    </row>
    <row r="10097" spans="1:10" x14ac:dyDescent="0.25">
      <c r="A10097">
        <v>5300430</v>
      </c>
      <c r="B10097" t="s">
        <v>10705</v>
      </c>
      <c r="C10097" t="str">
        <f>""</f>
        <v/>
      </c>
      <c r="D10097" t="str">
        <f>"9781280552588"</f>
        <v>9781280552588</v>
      </c>
      <c r="E10097" t="s">
        <v>15</v>
      </c>
      <c r="F10097" t="s">
        <v>153</v>
      </c>
      <c r="G10097" s="1">
        <v>38931</v>
      </c>
      <c r="H10097" s="1">
        <v>1</v>
      </c>
      <c r="I10097" t="s">
        <v>12</v>
      </c>
      <c r="J10097" t="s">
        <v>20867</v>
      </c>
    </row>
    <row r="10098" spans="1:10" x14ac:dyDescent="0.25">
      <c r="A10098">
        <v>5300440</v>
      </c>
      <c r="B10098" t="s">
        <v>10706</v>
      </c>
      <c r="C10098" t="str">
        <f>""</f>
        <v/>
      </c>
      <c r="D10098" t="str">
        <f>"9781280567124"</f>
        <v>9781280567124</v>
      </c>
      <c r="E10098" t="s">
        <v>15</v>
      </c>
      <c r="F10098" t="s">
        <v>153</v>
      </c>
      <c r="G10098" s="1">
        <v>36892</v>
      </c>
      <c r="H10098" s="1">
        <v>1</v>
      </c>
      <c r="I10098" t="s">
        <v>12</v>
      </c>
      <c r="J10098" t="s">
        <v>20868</v>
      </c>
    </row>
    <row r="10099" spans="1:10" x14ac:dyDescent="0.25">
      <c r="A10099">
        <v>5300484</v>
      </c>
      <c r="B10099" t="s">
        <v>10707</v>
      </c>
      <c r="C10099" t="str">
        <f>""</f>
        <v/>
      </c>
      <c r="D10099" t="str">
        <f>""</f>
        <v/>
      </c>
      <c r="E10099" t="s">
        <v>15</v>
      </c>
      <c r="F10099" t="s">
        <v>153</v>
      </c>
      <c r="G10099" s="1">
        <v>39083</v>
      </c>
      <c r="H10099" s="1">
        <v>1</v>
      </c>
      <c r="I10099" t="s">
        <v>12</v>
      </c>
      <c r="J10099" t="s">
        <v>20869</v>
      </c>
    </row>
    <row r="10100" spans="1:10" x14ac:dyDescent="0.25">
      <c r="A10100">
        <v>5300486</v>
      </c>
      <c r="B10100" t="s">
        <v>10708</v>
      </c>
      <c r="C10100" t="str">
        <f>""</f>
        <v/>
      </c>
      <c r="D10100" t="str">
        <f>"9781280943423"</f>
        <v>9781280943423</v>
      </c>
      <c r="E10100" t="s">
        <v>15</v>
      </c>
      <c r="F10100" t="s">
        <v>153</v>
      </c>
      <c r="G10100" s="1">
        <v>39202</v>
      </c>
      <c r="H10100" s="1">
        <v>1</v>
      </c>
      <c r="I10100" t="s">
        <v>12</v>
      </c>
      <c r="J10100" t="s">
        <v>20870</v>
      </c>
    </row>
    <row r="10101" spans="1:10" x14ac:dyDescent="0.25">
      <c r="A10101">
        <v>5300498</v>
      </c>
      <c r="B10101" t="s">
        <v>10709</v>
      </c>
      <c r="C10101" t="str">
        <f>""</f>
        <v/>
      </c>
      <c r="D10101" t="str">
        <f>"9781280971099"</f>
        <v>9781280971099</v>
      </c>
      <c r="E10101" t="s">
        <v>15</v>
      </c>
      <c r="F10101" t="s">
        <v>153</v>
      </c>
      <c r="G10101" s="1">
        <v>39326</v>
      </c>
      <c r="H10101" s="1">
        <v>1</v>
      </c>
      <c r="I10101" t="s">
        <v>12</v>
      </c>
      <c r="J10101" t="s">
        <v>20871</v>
      </c>
    </row>
    <row r="10102" spans="1:10" x14ac:dyDescent="0.25">
      <c r="A10102">
        <v>5300502</v>
      </c>
      <c r="B10102" t="s">
        <v>10710</v>
      </c>
      <c r="C10102" t="str">
        <f>""</f>
        <v/>
      </c>
      <c r="D10102" t="str">
        <f>"9781281007551"</f>
        <v>9781281007551</v>
      </c>
      <c r="E10102" t="s">
        <v>15</v>
      </c>
      <c r="F10102" t="s">
        <v>16</v>
      </c>
      <c r="G10102" s="1">
        <v>39338</v>
      </c>
      <c r="H10102" s="1">
        <v>1</v>
      </c>
      <c r="I10102" t="s">
        <v>12</v>
      </c>
      <c r="J10102" t="s">
        <v>20872</v>
      </c>
    </row>
    <row r="10103" spans="1:10" x14ac:dyDescent="0.25">
      <c r="A10103">
        <v>5300504</v>
      </c>
      <c r="B10103" t="s">
        <v>10711</v>
      </c>
      <c r="C10103" t="str">
        <f>""</f>
        <v/>
      </c>
      <c r="D10103" t="str">
        <f>"9781281018151"</f>
        <v>9781281018151</v>
      </c>
      <c r="E10103" t="s">
        <v>15</v>
      </c>
      <c r="F10103" t="s">
        <v>153</v>
      </c>
      <c r="G10103" s="1">
        <v>39371</v>
      </c>
      <c r="H10103" s="1">
        <v>1</v>
      </c>
      <c r="I10103" t="s">
        <v>12</v>
      </c>
      <c r="J10103" t="s">
        <v>20873</v>
      </c>
    </row>
    <row r="10104" spans="1:10" x14ac:dyDescent="0.25">
      <c r="A10104">
        <v>5300520</v>
      </c>
      <c r="B10104" t="s">
        <v>10712</v>
      </c>
      <c r="C10104" t="str">
        <f>""</f>
        <v/>
      </c>
      <c r="D10104" t="str">
        <f>"9781281062666"</f>
        <v>9781281062666</v>
      </c>
      <c r="E10104" t="s">
        <v>15</v>
      </c>
      <c r="F10104" t="s">
        <v>153</v>
      </c>
      <c r="G10104" s="1">
        <v>1</v>
      </c>
      <c r="H10104" s="1">
        <v>1</v>
      </c>
      <c r="I10104" t="s">
        <v>12</v>
      </c>
      <c r="J10104" t="s">
        <v>20874</v>
      </c>
    </row>
    <row r="10105" spans="1:10" x14ac:dyDescent="0.25">
      <c r="A10105">
        <v>5300522</v>
      </c>
      <c r="B10105" t="s">
        <v>10713</v>
      </c>
      <c r="C10105" t="str">
        <f>""</f>
        <v/>
      </c>
      <c r="D10105" t="str">
        <f>"9781281062703"</f>
        <v>9781281062703</v>
      </c>
      <c r="E10105" t="s">
        <v>15</v>
      </c>
      <c r="F10105" t="s">
        <v>16</v>
      </c>
      <c r="G10105" s="1">
        <v>39359</v>
      </c>
      <c r="H10105" s="1">
        <v>1</v>
      </c>
      <c r="I10105" t="s">
        <v>12</v>
      </c>
      <c r="J10105" t="s">
        <v>20875</v>
      </c>
    </row>
    <row r="10106" spans="1:10" x14ac:dyDescent="0.25">
      <c r="A10106">
        <v>5300591</v>
      </c>
      <c r="B10106" t="s">
        <v>10714</v>
      </c>
      <c r="C10106" t="str">
        <f>"9780415277457"</f>
        <v>9780415277457</v>
      </c>
      <c r="D10106" t="str">
        <f>"9780203417522"</f>
        <v>9780203417522</v>
      </c>
      <c r="E10106" t="s">
        <v>15</v>
      </c>
      <c r="F10106" t="s">
        <v>153</v>
      </c>
      <c r="G10106" s="1">
        <v>37665</v>
      </c>
      <c r="H10106" s="1">
        <v>1</v>
      </c>
      <c r="I10106" t="s">
        <v>12</v>
      </c>
      <c r="J10106" t="s">
        <v>20876</v>
      </c>
    </row>
    <row r="10107" spans="1:10" x14ac:dyDescent="0.25">
      <c r="A10107">
        <v>5300592</v>
      </c>
      <c r="B10107" t="s">
        <v>10715</v>
      </c>
      <c r="C10107" t="str">
        <f>""</f>
        <v/>
      </c>
      <c r="D10107" t="str">
        <f>"9781843140870"</f>
        <v>9781843140870</v>
      </c>
      <c r="E10107" t="s">
        <v>15</v>
      </c>
      <c r="F10107" t="s">
        <v>153</v>
      </c>
      <c r="G10107" s="1">
        <v>37713</v>
      </c>
      <c r="H10107" s="1">
        <v>1</v>
      </c>
      <c r="I10107" t="s">
        <v>12</v>
      </c>
      <c r="J10107" t="s">
        <v>20877</v>
      </c>
    </row>
    <row r="10108" spans="1:10" x14ac:dyDescent="0.25">
      <c r="A10108">
        <v>5300593</v>
      </c>
      <c r="B10108" t="s">
        <v>10716</v>
      </c>
      <c r="C10108" t="str">
        <f>""</f>
        <v/>
      </c>
      <c r="D10108" t="str">
        <f>"9781843143444"</f>
        <v>9781843143444</v>
      </c>
      <c r="E10108" t="s">
        <v>15</v>
      </c>
      <c r="F10108" t="s">
        <v>153</v>
      </c>
      <c r="G10108" s="1">
        <v>37821</v>
      </c>
      <c r="H10108" s="1">
        <v>1</v>
      </c>
      <c r="I10108" t="s">
        <v>12</v>
      </c>
      <c r="J10108" t="s">
        <v>20878</v>
      </c>
    </row>
    <row r="10109" spans="1:10" x14ac:dyDescent="0.25">
      <c r="A10109">
        <v>5300594</v>
      </c>
      <c r="B10109" t="s">
        <v>10715</v>
      </c>
      <c r="C10109" t="str">
        <f>""</f>
        <v/>
      </c>
      <c r="D10109" t="str">
        <f>"9781843144540"</f>
        <v>9781843144540</v>
      </c>
      <c r="E10109" t="s">
        <v>15</v>
      </c>
      <c r="F10109" t="s">
        <v>153</v>
      </c>
      <c r="G10109" s="1">
        <v>37817</v>
      </c>
      <c r="H10109" s="1">
        <v>1</v>
      </c>
      <c r="I10109" t="s">
        <v>12</v>
      </c>
      <c r="J10109" t="s">
        <v>20879</v>
      </c>
    </row>
    <row r="10110" spans="1:10" x14ac:dyDescent="0.25">
      <c r="A10110">
        <v>5300599</v>
      </c>
      <c r="B10110" t="s">
        <v>10717</v>
      </c>
      <c r="C10110" t="str">
        <f>""</f>
        <v/>
      </c>
      <c r="D10110" t="str">
        <f>"9781843146575"</f>
        <v>9781843146575</v>
      </c>
      <c r="E10110" t="s">
        <v>15</v>
      </c>
      <c r="F10110" t="s">
        <v>153</v>
      </c>
      <c r="G10110" s="1">
        <v>38310</v>
      </c>
      <c r="H10110" s="1">
        <v>1</v>
      </c>
      <c r="I10110" t="s">
        <v>12</v>
      </c>
      <c r="J10110" t="s">
        <v>20880</v>
      </c>
    </row>
    <row r="10111" spans="1:10" x14ac:dyDescent="0.25">
      <c r="A10111">
        <v>5300639</v>
      </c>
      <c r="B10111" t="s">
        <v>10718</v>
      </c>
      <c r="C10111" t="str">
        <f>"9781851666669"</f>
        <v>9781851666669</v>
      </c>
      <c r="D10111" t="str">
        <f>"9780203498316"</f>
        <v>9780203498316</v>
      </c>
      <c r="E10111" t="s">
        <v>15</v>
      </c>
      <c r="F10111" t="s">
        <v>153</v>
      </c>
      <c r="G10111" s="1">
        <v>37690</v>
      </c>
      <c r="H10111" s="1">
        <v>1</v>
      </c>
      <c r="I10111" t="s">
        <v>12</v>
      </c>
      <c r="J10111" t="s">
        <v>20881</v>
      </c>
    </row>
    <row r="10112" spans="1:10" x14ac:dyDescent="0.25">
      <c r="A10112">
        <v>5300640</v>
      </c>
      <c r="B10112" t="s">
        <v>10719</v>
      </c>
      <c r="C10112" t="str">
        <f>"9781851661589"</f>
        <v>9781851661589</v>
      </c>
      <c r="D10112" t="str">
        <f>"9780203497876"</f>
        <v>9780203497876</v>
      </c>
      <c r="E10112" t="s">
        <v>15</v>
      </c>
      <c r="F10112" t="s">
        <v>153</v>
      </c>
      <c r="G10112" s="1">
        <v>37684</v>
      </c>
      <c r="H10112" s="1">
        <v>1</v>
      </c>
      <c r="I10112" t="s">
        <v>12</v>
      </c>
      <c r="J10112" t="s">
        <v>20882</v>
      </c>
    </row>
    <row r="10113" spans="1:10" x14ac:dyDescent="0.25">
      <c r="A10113">
        <v>5300641</v>
      </c>
      <c r="B10113" t="s">
        <v>10720</v>
      </c>
      <c r="C10113" t="str">
        <f>"9780415102513"</f>
        <v>9780415102513</v>
      </c>
      <c r="D10113" t="str">
        <f>"9780203987513"</f>
        <v>9780203987513</v>
      </c>
      <c r="E10113" t="s">
        <v>15</v>
      </c>
      <c r="F10113" t="s">
        <v>153</v>
      </c>
      <c r="G10113" s="1">
        <v>38408</v>
      </c>
      <c r="H10113" s="1">
        <v>1</v>
      </c>
      <c r="I10113" t="s">
        <v>12</v>
      </c>
      <c r="J10113" t="s">
        <v>20883</v>
      </c>
    </row>
    <row r="10114" spans="1:10" x14ac:dyDescent="0.25">
      <c r="A10114">
        <v>5300642</v>
      </c>
      <c r="B10114" t="s">
        <v>10721</v>
      </c>
      <c r="C10114" t="str">
        <f>"9781859419021"</f>
        <v>9781859419021</v>
      </c>
      <c r="D10114" t="str">
        <f>"9781843145738"</f>
        <v>9781843145738</v>
      </c>
      <c r="E10114" t="s">
        <v>15</v>
      </c>
      <c r="F10114" t="s">
        <v>153</v>
      </c>
      <c r="G10114" s="1">
        <v>38327</v>
      </c>
      <c r="H10114" s="1">
        <v>1</v>
      </c>
      <c r="I10114" t="s">
        <v>12</v>
      </c>
      <c r="J10114" t="s">
        <v>20884</v>
      </c>
    </row>
    <row r="10115" spans="1:10" x14ac:dyDescent="0.25">
      <c r="A10115">
        <v>5312495</v>
      </c>
      <c r="B10115" t="s">
        <v>10722</v>
      </c>
      <c r="C10115" t="str">
        <f>"9781843105220"</f>
        <v>9781843105220</v>
      </c>
      <c r="D10115" t="str">
        <f>"9781846426650"</f>
        <v>9781846426650</v>
      </c>
      <c r="E10115" t="s">
        <v>2950</v>
      </c>
      <c r="F10115" t="s">
        <v>2950</v>
      </c>
      <c r="G10115" s="1">
        <v>39083</v>
      </c>
      <c r="H10115" s="1">
        <v>1</v>
      </c>
      <c r="I10115" t="s">
        <v>12</v>
      </c>
      <c r="J10115" t="s">
        <v>20885</v>
      </c>
    </row>
    <row r="10116" spans="1:10" x14ac:dyDescent="0.25">
      <c r="A10116">
        <v>5312713</v>
      </c>
      <c r="B10116" t="s">
        <v>10723</v>
      </c>
      <c r="C10116" t="str">
        <f>""</f>
        <v/>
      </c>
      <c r="D10116" t="str">
        <f>"9781280475078"</f>
        <v>9781280475078</v>
      </c>
      <c r="E10116" t="s">
        <v>10724</v>
      </c>
      <c r="F10116" t="s">
        <v>10724</v>
      </c>
      <c r="G10116" s="1">
        <v>38412</v>
      </c>
      <c r="H10116" s="1">
        <v>43166</v>
      </c>
      <c r="I10116" t="s">
        <v>12</v>
      </c>
      <c r="J10116" t="s">
        <v>20886</v>
      </c>
    </row>
    <row r="10117" spans="1:10" x14ac:dyDescent="0.25">
      <c r="A10117">
        <v>5312715</v>
      </c>
      <c r="B10117" t="s">
        <v>10725</v>
      </c>
      <c r="C10117" t="str">
        <f>""</f>
        <v/>
      </c>
      <c r="D10117" t="str">
        <f>"9781280862434"</f>
        <v>9781280862434</v>
      </c>
      <c r="E10117" t="s">
        <v>10724</v>
      </c>
      <c r="F10117" t="s">
        <v>10724</v>
      </c>
      <c r="G10117" s="1">
        <v>39085</v>
      </c>
      <c r="H10117" s="1">
        <v>43166</v>
      </c>
      <c r="I10117" t="s">
        <v>12</v>
      </c>
      <c r="J10117" t="s">
        <v>20887</v>
      </c>
    </row>
    <row r="10118" spans="1:10" x14ac:dyDescent="0.25">
      <c r="A10118">
        <v>5312718</v>
      </c>
      <c r="B10118" t="s">
        <v>10726</v>
      </c>
      <c r="C10118" t="str">
        <f>""</f>
        <v/>
      </c>
      <c r="D10118" t="str">
        <f>"9781281098085"</f>
        <v>9781281098085</v>
      </c>
      <c r="E10118" t="s">
        <v>15</v>
      </c>
      <c r="F10118" t="s">
        <v>10727</v>
      </c>
      <c r="G10118" s="1">
        <v>38818</v>
      </c>
      <c r="H10118" s="1">
        <v>43166</v>
      </c>
      <c r="I10118" t="s">
        <v>12</v>
      </c>
      <c r="J10118" t="s">
        <v>20888</v>
      </c>
    </row>
    <row r="10119" spans="1:10" x14ac:dyDescent="0.25">
      <c r="A10119">
        <v>5312720</v>
      </c>
      <c r="B10119" t="s">
        <v>10728</v>
      </c>
      <c r="C10119" t="str">
        <f>""</f>
        <v/>
      </c>
      <c r="D10119" t="str">
        <f>"9781281098481"</f>
        <v>9781281098481</v>
      </c>
      <c r="E10119" t="s">
        <v>15</v>
      </c>
      <c r="F10119" t="s">
        <v>10727</v>
      </c>
      <c r="G10119" s="1">
        <v>37956</v>
      </c>
      <c r="H10119" s="1">
        <v>43166</v>
      </c>
      <c r="I10119" t="s">
        <v>12</v>
      </c>
      <c r="J10119" t="s">
        <v>20889</v>
      </c>
    </row>
    <row r="10120" spans="1:10" x14ac:dyDescent="0.25">
      <c r="A10120">
        <v>5312723</v>
      </c>
      <c r="B10120" t="s">
        <v>10729</v>
      </c>
      <c r="C10120" t="str">
        <f>""</f>
        <v/>
      </c>
      <c r="D10120" t="str">
        <f>"9781281208019"</f>
        <v>9781281208019</v>
      </c>
      <c r="E10120" t="s">
        <v>15</v>
      </c>
      <c r="F10120" t="s">
        <v>10727</v>
      </c>
      <c r="G10120" s="1">
        <v>39448</v>
      </c>
      <c r="H10120" s="1">
        <v>43166</v>
      </c>
      <c r="I10120" t="s">
        <v>12</v>
      </c>
      <c r="J10120" t="s">
        <v>20890</v>
      </c>
    </row>
    <row r="10121" spans="1:10" x14ac:dyDescent="0.25">
      <c r="A10121">
        <v>5316968</v>
      </c>
      <c r="B10121" t="s">
        <v>10730</v>
      </c>
      <c r="C10121" t="str">
        <f>"9780822559160"</f>
        <v>9780822559160</v>
      </c>
      <c r="D10121" t="str">
        <f>"9780822572602"</f>
        <v>9780822572602</v>
      </c>
      <c r="E10121" t="s">
        <v>10104</v>
      </c>
      <c r="F10121" t="s">
        <v>10104</v>
      </c>
      <c r="G10121" s="1">
        <v>39083</v>
      </c>
      <c r="H10121" s="1">
        <v>43167</v>
      </c>
      <c r="I10121" t="s">
        <v>12</v>
      </c>
      <c r="J10121" t="s">
        <v>20891</v>
      </c>
    </row>
    <row r="10122" spans="1:10" x14ac:dyDescent="0.25">
      <c r="A10122">
        <v>5316970</v>
      </c>
      <c r="B10122" t="s">
        <v>10731</v>
      </c>
      <c r="C10122" t="str">
        <f>"9780822574934"</f>
        <v>9780822574934</v>
      </c>
      <c r="D10122" t="str">
        <f>"9781580136457"</f>
        <v>9781580136457</v>
      </c>
      <c r="E10122" t="s">
        <v>10104</v>
      </c>
      <c r="F10122" t="s">
        <v>10104</v>
      </c>
      <c r="G10122" s="1">
        <v>39448</v>
      </c>
      <c r="H10122" s="1">
        <v>43167</v>
      </c>
      <c r="I10122" t="s">
        <v>12</v>
      </c>
      <c r="J10122" t="s">
        <v>20892</v>
      </c>
    </row>
    <row r="10123" spans="1:10" x14ac:dyDescent="0.25">
      <c r="A10123">
        <v>5316971</v>
      </c>
      <c r="B10123" t="s">
        <v>10732</v>
      </c>
      <c r="C10123" t="str">
        <f>""</f>
        <v/>
      </c>
      <c r="D10123" t="str">
        <f>"9781580136525"</f>
        <v>9781580136525</v>
      </c>
      <c r="E10123" t="s">
        <v>10104</v>
      </c>
      <c r="F10123" t="s">
        <v>10104</v>
      </c>
      <c r="G10123" s="1">
        <v>39448</v>
      </c>
      <c r="H10123" s="1">
        <v>43167</v>
      </c>
      <c r="I10123" t="s">
        <v>12</v>
      </c>
      <c r="J10123" t="s">
        <v>20893</v>
      </c>
    </row>
    <row r="10124" spans="1:10" x14ac:dyDescent="0.25">
      <c r="A10124">
        <v>5338111</v>
      </c>
      <c r="B10124" t="s">
        <v>10733</v>
      </c>
      <c r="C10124" t="str">
        <f>""</f>
        <v/>
      </c>
      <c r="D10124" t="str">
        <f>"9781280908873"</f>
        <v>9781280908873</v>
      </c>
      <c r="E10124" t="s">
        <v>10734</v>
      </c>
      <c r="F10124" t="s">
        <v>10734</v>
      </c>
      <c r="G10124" s="1">
        <v>39083</v>
      </c>
      <c r="H10124" s="1">
        <v>43199</v>
      </c>
      <c r="I10124" t="s">
        <v>12</v>
      </c>
      <c r="J10124" t="s">
        <v>20894</v>
      </c>
    </row>
    <row r="10125" spans="1:10" x14ac:dyDescent="0.25">
      <c r="A10125">
        <v>5338192</v>
      </c>
      <c r="B10125" t="s">
        <v>10735</v>
      </c>
      <c r="C10125" t="str">
        <f>""</f>
        <v/>
      </c>
      <c r="D10125" t="str">
        <f>"9781281144089"</f>
        <v>9781281144089</v>
      </c>
      <c r="E10125" t="s">
        <v>10734</v>
      </c>
      <c r="F10125" t="s">
        <v>10734</v>
      </c>
      <c r="G10125" s="1">
        <v>38960</v>
      </c>
      <c r="H10125" s="1">
        <v>43199</v>
      </c>
      <c r="I10125" t="s">
        <v>12</v>
      </c>
      <c r="J10125" t="s">
        <v>20895</v>
      </c>
    </row>
    <row r="10126" spans="1:10" x14ac:dyDescent="0.25">
      <c r="A10126">
        <v>5338195</v>
      </c>
      <c r="B10126" t="s">
        <v>10736</v>
      </c>
      <c r="C10126" t="str">
        <f>""</f>
        <v/>
      </c>
      <c r="D10126" t="str">
        <f>"9781281144140"</f>
        <v>9781281144140</v>
      </c>
      <c r="E10126" t="s">
        <v>10734</v>
      </c>
      <c r="F10126" t="s">
        <v>10734</v>
      </c>
      <c r="G10126" s="1">
        <v>39135</v>
      </c>
      <c r="H10126" s="1">
        <v>43199</v>
      </c>
      <c r="I10126" t="s">
        <v>12</v>
      </c>
      <c r="J10126" t="s">
        <v>20896</v>
      </c>
    </row>
    <row r="10127" spans="1:10" x14ac:dyDescent="0.25">
      <c r="A10127">
        <v>5338196</v>
      </c>
      <c r="B10127" t="s">
        <v>10737</v>
      </c>
      <c r="C10127" t="str">
        <f>""</f>
        <v/>
      </c>
      <c r="D10127" t="str">
        <f>"9781281144157"</f>
        <v>9781281144157</v>
      </c>
      <c r="E10127" t="s">
        <v>10734</v>
      </c>
      <c r="F10127" t="s">
        <v>10734</v>
      </c>
      <c r="G10127" s="1">
        <v>39135</v>
      </c>
      <c r="H10127" s="1">
        <v>43199</v>
      </c>
      <c r="I10127" t="s">
        <v>12</v>
      </c>
      <c r="J10127" t="s">
        <v>20897</v>
      </c>
    </row>
    <row r="10128" spans="1:10" x14ac:dyDescent="0.25">
      <c r="A10128">
        <v>5338197</v>
      </c>
      <c r="B10128" t="s">
        <v>10738</v>
      </c>
      <c r="C10128" t="str">
        <f>""</f>
        <v/>
      </c>
      <c r="D10128" t="str">
        <f>"9781281144164"</f>
        <v>9781281144164</v>
      </c>
      <c r="E10128" t="s">
        <v>10734</v>
      </c>
      <c r="F10128" t="s">
        <v>10734</v>
      </c>
      <c r="G10128" s="1">
        <v>39135</v>
      </c>
      <c r="H10128" s="1">
        <v>43199</v>
      </c>
      <c r="I10128" t="s">
        <v>12</v>
      </c>
      <c r="J10128" t="s">
        <v>20898</v>
      </c>
    </row>
    <row r="10129" spans="1:10" x14ac:dyDescent="0.25">
      <c r="A10129">
        <v>5338201</v>
      </c>
      <c r="B10129" t="s">
        <v>10739</v>
      </c>
      <c r="C10129" t="str">
        <f>""</f>
        <v/>
      </c>
      <c r="D10129" t="str">
        <f>"9781281144218"</f>
        <v>9781281144218</v>
      </c>
      <c r="E10129" t="s">
        <v>10734</v>
      </c>
      <c r="F10129" t="s">
        <v>10734</v>
      </c>
      <c r="G10129" s="1">
        <v>39457</v>
      </c>
      <c r="H10129" s="1">
        <v>43199</v>
      </c>
      <c r="I10129" t="s">
        <v>12</v>
      </c>
      <c r="J10129" t="s">
        <v>20899</v>
      </c>
    </row>
    <row r="10130" spans="1:10" x14ac:dyDescent="0.25">
      <c r="A10130">
        <v>5338203</v>
      </c>
      <c r="B10130" t="s">
        <v>10740</v>
      </c>
      <c r="C10130" t="str">
        <f>""</f>
        <v/>
      </c>
      <c r="D10130" t="str">
        <f>"9781281144232"</f>
        <v>9781281144232</v>
      </c>
      <c r="E10130" t="s">
        <v>10734</v>
      </c>
      <c r="F10130" t="s">
        <v>10734</v>
      </c>
      <c r="G10130" s="1">
        <v>39457</v>
      </c>
      <c r="H10130" s="1">
        <v>43199</v>
      </c>
      <c r="I10130" t="s">
        <v>12</v>
      </c>
      <c r="J10130" t="s">
        <v>20900</v>
      </c>
    </row>
    <row r="10131" spans="1:10" x14ac:dyDescent="0.25">
      <c r="A10131">
        <v>5338207</v>
      </c>
      <c r="B10131" t="s">
        <v>10741</v>
      </c>
      <c r="C10131" t="str">
        <f>""</f>
        <v/>
      </c>
      <c r="D10131" t="str">
        <f>"9781281377548"</f>
        <v>9781281377548</v>
      </c>
      <c r="E10131" t="s">
        <v>10734</v>
      </c>
      <c r="F10131" t="s">
        <v>10734</v>
      </c>
      <c r="G10131" s="1">
        <v>39448</v>
      </c>
      <c r="H10131" s="1">
        <v>43199</v>
      </c>
      <c r="I10131" t="s">
        <v>12</v>
      </c>
      <c r="J10131" t="s">
        <v>20901</v>
      </c>
    </row>
    <row r="10132" spans="1:10" x14ac:dyDescent="0.25">
      <c r="A10132">
        <v>5338208</v>
      </c>
      <c r="B10132" t="s">
        <v>10742</v>
      </c>
      <c r="C10132" t="str">
        <f>""</f>
        <v/>
      </c>
      <c r="D10132" t="str">
        <f>"9781281377555"</f>
        <v>9781281377555</v>
      </c>
      <c r="E10132" t="s">
        <v>10734</v>
      </c>
      <c r="F10132" t="s">
        <v>10734</v>
      </c>
      <c r="G10132" s="1">
        <v>39448</v>
      </c>
      <c r="H10132" s="1">
        <v>43199</v>
      </c>
      <c r="I10132" t="s">
        <v>12</v>
      </c>
      <c r="J10132" t="s">
        <v>20902</v>
      </c>
    </row>
    <row r="10133" spans="1:10" x14ac:dyDescent="0.25">
      <c r="A10133">
        <v>5338211</v>
      </c>
      <c r="B10133" t="s">
        <v>10743</v>
      </c>
      <c r="C10133" t="str">
        <f>""</f>
        <v/>
      </c>
      <c r="D10133" t="str">
        <f>"9781281377654"</f>
        <v>9781281377654</v>
      </c>
      <c r="E10133" t="s">
        <v>10734</v>
      </c>
      <c r="F10133" t="s">
        <v>10734</v>
      </c>
      <c r="G10133" s="1">
        <v>39448</v>
      </c>
      <c r="H10133" s="1">
        <v>43199</v>
      </c>
      <c r="I10133" t="s">
        <v>12</v>
      </c>
      <c r="J10133" t="s">
        <v>20903</v>
      </c>
    </row>
    <row r="10134" spans="1:10" x14ac:dyDescent="0.25">
      <c r="A10134">
        <v>5338212</v>
      </c>
      <c r="B10134" t="s">
        <v>10744</v>
      </c>
      <c r="C10134" t="str">
        <f>""</f>
        <v/>
      </c>
      <c r="D10134" t="str">
        <f>"9781281377661"</f>
        <v>9781281377661</v>
      </c>
      <c r="E10134" t="s">
        <v>10734</v>
      </c>
      <c r="F10134" t="s">
        <v>10734</v>
      </c>
      <c r="G10134" s="1">
        <v>39083</v>
      </c>
      <c r="H10134" s="1">
        <v>43199</v>
      </c>
      <c r="I10134" t="s">
        <v>12</v>
      </c>
      <c r="J10134" t="s">
        <v>20904</v>
      </c>
    </row>
    <row r="10135" spans="1:10" x14ac:dyDescent="0.25">
      <c r="A10135">
        <v>5338215</v>
      </c>
      <c r="B10135" t="s">
        <v>10745</v>
      </c>
      <c r="C10135" t="str">
        <f>""</f>
        <v/>
      </c>
      <c r="D10135" t="str">
        <f>"9781281377890"</f>
        <v>9781281377890</v>
      </c>
      <c r="E10135" t="s">
        <v>10734</v>
      </c>
      <c r="F10135" t="s">
        <v>10734</v>
      </c>
      <c r="G10135" s="1">
        <v>39448</v>
      </c>
      <c r="H10135" s="1">
        <v>43199</v>
      </c>
      <c r="I10135" t="s">
        <v>12</v>
      </c>
      <c r="J10135" t="s">
        <v>20905</v>
      </c>
    </row>
    <row r="10136" spans="1:10" x14ac:dyDescent="0.25">
      <c r="A10136">
        <v>5338221</v>
      </c>
      <c r="B10136" t="s">
        <v>10746</v>
      </c>
      <c r="C10136" t="str">
        <f>""</f>
        <v/>
      </c>
      <c r="D10136" t="str">
        <f>"9781281409775"</f>
        <v>9781281409775</v>
      </c>
      <c r="E10136" t="s">
        <v>10734</v>
      </c>
      <c r="F10136" t="s">
        <v>10734</v>
      </c>
      <c r="G10136" s="1">
        <v>39265</v>
      </c>
      <c r="H10136" s="1">
        <v>43199</v>
      </c>
      <c r="I10136" t="s">
        <v>12</v>
      </c>
      <c r="J10136" t="s">
        <v>20906</v>
      </c>
    </row>
    <row r="10137" spans="1:10" x14ac:dyDescent="0.25">
      <c r="A10137">
        <v>5338229</v>
      </c>
      <c r="B10137" t="s">
        <v>10747</v>
      </c>
      <c r="C10137" t="str">
        <f>""</f>
        <v/>
      </c>
      <c r="D10137" t="str">
        <f>"9781281410061"</f>
        <v>9781281410061</v>
      </c>
      <c r="E10137" t="s">
        <v>10734</v>
      </c>
      <c r="F10137" t="s">
        <v>10734</v>
      </c>
      <c r="G10137" s="1">
        <v>39202</v>
      </c>
      <c r="H10137" s="1">
        <v>43199</v>
      </c>
      <c r="I10137" t="s">
        <v>12</v>
      </c>
      <c r="J10137" t="s">
        <v>20907</v>
      </c>
    </row>
    <row r="10138" spans="1:10" x14ac:dyDescent="0.25">
      <c r="A10138">
        <v>5338230</v>
      </c>
      <c r="B10138" t="s">
        <v>10748</v>
      </c>
      <c r="C10138" t="str">
        <f>""</f>
        <v/>
      </c>
      <c r="D10138" t="str">
        <f>"9781281410078"</f>
        <v>9781281410078</v>
      </c>
      <c r="E10138" t="s">
        <v>10734</v>
      </c>
      <c r="F10138" t="s">
        <v>10734</v>
      </c>
      <c r="G10138" s="1">
        <v>39296</v>
      </c>
      <c r="H10138" s="1">
        <v>43199</v>
      </c>
      <c r="I10138" t="s">
        <v>12</v>
      </c>
      <c r="J10138" t="s">
        <v>20908</v>
      </c>
    </row>
    <row r="10139" spans="1:10" x14ac:dyDescent="0.25">
      <c r="A10139">
        <v>5338232</v>
      </c>
      <c r="B10139" t="s">
        <v>10749</v>
      </c>
      <c r="C10139" t="str">
        <f>""</f>
        <v/>
      </c>
      <c r="D10139" t="str">
        <f>"9781281410191"</f>
        <v>9781281410191</v>
      </c>
      <c r="E10139" t="s">
        <v>10734</v>
      </c>
      <c r="F10139" t="s">
        <v>10734</v>
      </c>
      <c r="G10139" s="1">
        <v>39448</v>
      </c>
      <c r="H10139" s="1">
        <v>43199</v>
      </c>
      <c r="I10139" t="s">
        <v>12</v>
      </c>
      <c r="J10139" t="s">
        <v>20909</v>
      </c>
    </row>
    <row r="10140" spans="1:10" x14ac:dyDescent="0.25">
      <c r="A10140">
        <v>5338233</v>
      </c>
      <c r="B10140" t="s">
        <v>10750</v>
      </c>
      <c r="C10140" t="str">
        <f>""</f>
        <v/>
      </c>
      <c r="D10140" t="str">
        <f>"9781281410207"</f>
        <v>9781281410207</v>
      </c>
      <c r="E10140" t="s">
        <v>10734</v>
      </c>
      <c r="F10140" t="s">
        <v>10734</v>
      </c>
      <c r="G10140" s="1">
        <v>39448</v>
      </c>
      <c r="H10140" s="1">
        <v>43199</v>
      </c>
      <c r="I10140" t="s">
        <v>12</v>
      </c>
      <c r="J10140" t="s">
        <v>20910</v>
      </c>
    </row>
    <row r="10141" spans="1:10" x14ac:dyDescent="0.25">
      <c r="A10141">
        <v>5338234</v>
      </c>
      <c r="B10141" t="s">
        <v>10751</v>
      </c>
      <c r="C10141" t="str">
        <f>""</f>
        <v/>
      </c>
      <c r="D10141" t="str">
        <f>"9781281410214"</f>
        <v>9781281410214</v>
      </c>
      <c r="E10141" t="s">
        <v>10734</v>
      </c>
      <c r="F10141" t="s">
        <v>10734</v>
      </c>
      <c r="G10141" s="1">
        <v>39448</v>
      </c>
      <c r="H10141" s="1">
        <v>43199</v>
      </c>
      <c r="I10141" t="s">
        <v>12</v>
      </c>
      <c r="J10141" t="s">
        <v>20911</v>
      </c>
    </row>
    <row r="10142" spans="1:10" x14ac:dyDescent="0.25">
      <c r="A10142">
        <v>5338235</v>
      </c>
      <c r="B10142" t="s">
        <v>10752</v>
      </c>
      <c r="C10142" t="str">
        <f>""</f>
        <v/>
      </c>
      <c r="D10142" t="str">
        <f>"9781281410221"</f>
        <v>9781281410221</v>
      </c>
      <c r="E10142" t="s">
        <v>10734</v>
      </c>
      <c r="F10142" t="s">
        <v>10734</v>
      </c>
      <c r="G10142" s="1">
        <v>39359</v>
      </c>
      <c r="H10142" s="1">
        <v>43199</v>
      </c>
      <c r="I10142" t="s">
        <v>12</v>
      </c>
      <c r="J10142" t="s">
        <v>20912</v>
      </c>
    </row>
    <row r="10143" spans="1:10" x14ac:dyDescent="0.25">
      <c r="A10143">
        <v>5338238</v>
      </c>
      <c r="B10143" t="s">
        <v>10753</v>
      </c>
      <c r="C10143" t="str">
        <f>""</f>
        <v/>
      </c>
      <c r="D10143" t="str">
        <f>"9781281410313"</f>
        <v>9781281410313</v>
      </c>
      <c r="E10143" t="s">
        <v>10734</v>
      </c>
      <c r="F10143" t="s">
        <v>10734</v>
      </c>
      <c r="G10143" s="1">
        <v>39448</v>
      </c>
      <c r="H10143" s="1">
        <v>43199</v>
      </c>
      <c r="I10143" t="s">
        <v>12</v>
      </c>
      <c r="J10143" t="s">
        <v>20913</v>
      </c>
    </row>
    <row r="10144" spans="1:10" x14ac:dyDescent="0.25">
      <c r="A10144">
        <v>5338240</v>
      </c>
      <c r="B10144" t="s">
        <v>10754</v>
      </c>
      <c r="C10144" t="str">
        <f>""</f>
        <v/>
      </c>
      <c r="D10144" t="str">
        <f>"9781281410337"</f>
        <v>9781281410337</v>
      </c>
      <c r="E10144" t="s">
        <v>10734</v>
      </c>
      <c r="F10144" t="s">
        <v>10734</v>
      </c>
      <c r="G10144" s="1">
        <v>39448</v>
      </c>
      <c r="H10144" s="1">
        <v>43199</v>
      </c>
      <c r="I10144" t="s">
        <v>12</v>
      </c>
      <c r="J10144" t="s">
        <v>20914</v>
      </c>
    </row>
    <row r="10145" spans="1:10" x14ac:dyDescent="0.25">
      <c r="A10145">
        <v>5338241</v>
      </c>
      <c r="B10145" t="s">
        <v>10755</v>
      </c>
      <c r="C10145" t="str">
        <f>""</f>
        <v/>
      </c>
      <c r="D10145" t="str">
        <f>"9781281410344"</f>
        <v>9781281410344</v>
      </c>
      <c r="E10145" t="s">
        <v>10734</v>
      </c>
      <c r="F10145" t="s">
        <v>10734</v>
      </c>
      <c r="G10145" s="1">
        <v>39448</v>
      </c>
      <c r="H10145" s="1">
        <v>43199</v>
      </c>
      <c r="I10145" t="s">
        <v>12</v>
      </c>
      <c r="J10145" t="s">
        <v>20915</v>
      </c>
    </row>
    <row r="10146" spans="1:10" x14ac:dyDescent="0.25">
      <c r="A10146">
        <v>5338242</v>
      </c>
      <c r="B10146" t="s">
        <v>10756</v>
      </c>
      <c r="C10146" t="str">
        <f>""</f>
        <v/>
      </c>
      <c r="D10146" t="str">
        <f>"9781281410368"</f>
        <v>9781281410368</v>
      </c>
      <c r="E10146" t="s">
        <v>10734</v>
      </c>
      <c r="F10146" t="s">
        <v>10734</v>
      </c>
      <c r="G10146" s="1">
        <v>39448</v>
      </c>
      <c r="H10146" s="1">
        <v>43199</v>
      </c>
      <c r="I10146" t="s">
        <v>12</v>
      </c>
      <c r="J10146" t="s">
        <v>20916</v>
      </c>
    </row>
    <row r="10147" spans="1:10" x14ac:dyDescent="0.25">
      <c r="A10147">
        <v>5338244</v>
      </c>
      <c r="B10147" t="s">
        <v>10757</v>
      </c>
      <c r="C10147" t="str">
        <f>""</f>
        <v/>
      </c>
      <c r="D10147" t="str">
        <f>"9781281410405"</f>
        <v>9781281410405</v>
      </c>
      <c r="E10147" t="s">
        <v>10734</v>
      </c>
      <c r="F10147" t="s">
        <v>10734</v>
      </c>
      <c r="G10147" s="1">
        <v>39496</v>
      </c>
      <c r="H10147" s="1">
        <v>43199</v>
      </c>
      <c r="I10147" t="s">
        <v>12</v>
      </c>
      <c r="J10147" t="s">
        <v>20917</v>
      </c>
    </row>
    <row r="10148" spans="1:10" x14ac:dyDescent="0.25">
      <c r="A10148">
        <v>5338245</v>
      </c>
      <c r="B10148" t="s">
        <v>10758</v>
      </c>
      <c r="C10148" t="str">
        <f>""</f>
        <v/>
      </c>
      <c r="D10148" t="str">
        <f>"9781281410412"</f>
        <v>9781281410412</v>
      </c>
      <c r="E10148" t="s">
        <v>10734</v>
      </c>
      <c r="F10148" t="s">
        <v>10734</v>
      </c>
      <c r="G10148" s="1">
        <v>39448</v>
      </c>
      <c r="H10148" s="1">
        <v>43199</v>
      </c>
      <c r="I10148" t="s">
        <v>12</v>
      </c>
      <c r="J10148" t="s">
        <v>20918</v>
      </c>
    </row>
    <row r="10149" spans="1:10" x14ac:dyDescent="0.25">
      <c r="A10149">
        <v>5338246</v>
      </c>
      <c r="B10149" t="s">
        <v>10759</v>
      </c>
      <c r="C10149" t="str">
        <f>""</f>
        <v/>
      </c>
      <c r="D10149" t="str">
        <f>"9781281410436"</f>
        <v>9781281410436</v>
      </c>
      <c r="E10149" t="s">
        <v>10734</v>
      </c>
      <c r="F10149" t="s">
        <v>10734</v>
      </c>
      <c r="G10149" s="1">
        <v>39448</v>
      </c>
      <c r="H10149" s="1">
        <v>43199</v>
      </c>
      <c r="I10149" t="s">
        <v>12</v>
      </c>
      <c r="J10149" t="s">
        <v>20919</v>
      </c>
    </row>
    <row r="10150" spans="1:10" x14ac:dyDescent="0.25">
      <c r="A10150">
        <v>5338249</v>
      </c>
      <c r="B10150" t="s">
        <v>10760</v>
      </c>
      <c r="C10150" t="str">
        <f>""</f>
        <v/>
      </c>
      <c r="D10150" t="str">
        <f>"9781281410481"</f>
        <v>9781281410481</v>
      </c>
      <c r="E10150" t="s">
        <v>10734</v>
      </c>
      <c r="F10150" t="s">
        <v>10734</v>
      </c>
      <c r="G10150" s="1">
        <v>39448</v>
      </c>
      <c r="H10150" s="1">
        <v>43199</v>
      </c>
      <c r="I10150" t="s">
        <v>12</v>
      </c>
      <c r="J10150" t="s">
        <v>20920</v>
      </c>
    </row>
    <row r="10151" spans="1:10" x14ac:dyDescent="0.25">
      <c r="A10151">
        <v>5338250</v>
      </c>
      <c r="B10151" t="s">
        <v>10761</v>
      </c>
      <c r="C10151" t="str">
        <f>""</f>
        <v/>
      </c>
      <c r="D10151" t="str">
        <f>"9781281410504"</f>
        <v>9781281410504</v>
      </c>
      <c r="E10151" t="s">
        <v>10734</v>
      </c>
      <c r="F10151" t="s">
        <v>10734</v>
      </c>
      <c r="G10151" s="1">
        <v>39448</v>
      </c>
      <c r="H10151" s="1">
        <v>43199</v>
      </c>
      <c r="I10151" t="s">
        <v>12</v>
      </c>
      <c r="J10151" t="s">
        <v>20921</v>
      </c>
    </row>
    <row r="10152" spans="1:10" x14ac:dyDescent="0.25">
      <c r="A10152">
        <v>5338251</v>
      </c>
      <c r="B10152" t="s">
        <v>10762</v>
      </c>
      <c r="C10152" t="str">
        <f>""</f>
        <v/>
      </c>
      <c r="D10152" t="str">
        <f>"9781281410511"</f>
        <v>9781281410511</v>
      </c>
      <c r="E10152" t="s">
        <v>10734</v>
      </c>
      <c r="F10152" t="s">
        <v>10734</v>
      </c>
      <c r="G10152" s="1">
        <v>39448</v>
      </c>
      <c r="H10152" s="1">
        <v>43199</v>
      </c>
      <c r="I10152" t="s">
        <v>12</v>
      </c>
      <c r="J10152" t="s">
        <v>20922</v>
      </c>
    </row>
    <row r="10153" spans="1:10" x14ac:dyDescent="0.25">
      <c r="A10153">
        <v>5338252</v>
      </c>
      <c r="B10153" t="s">
        <v>10763</v>
      </c>
      <c r="C10153" t="str">
        <f>""</f>
        <v/>
      </c>
      <c r="D10153" t="str">
        <f>"9781281410528"</f>
        <v>9781281410528</v>
      </c>
      <c r="E10153" t="s">
        <v>10734</v>
      </c>
      <c r="F10153" t="s">
        <v>10734</v>
      </c>
      <c r="G10153" s="1">
        <v>39448</v>
      </c>
      <c r="H10153" s="1">
        <v>43199</v>
      </c>
      <c r="I10153" t="s">
        <v>12</v>
      </c>
      <c r="J10153" t="s">
        <v>20923</v>
      </c>
    </row>
    <row r="10154" spans="1:10" x14ac:dyDescent="0.25">
      <c r="A10154">
        <v>5338253</v>
      </c>
      <c r="B10154" t="s">
        <v>10764</v>
      </c>
      <c r="C10154" t="str">
        <f>""</f>
        <v/>
      </c>
      <c r="D10154" t="str">
        <f>"9781281410535"</f>
        <v>9781281410535</v>
      </c>
      <c r="E10154" t="s">
        <v>10734</v>
      </c>
      <c r="F10154" t="s">
        <v>10734</v>
      </c>
      <c r="G10154" s="1">
        <v>39448</v>
      </c>
      <c r="H10154" s="1">
        <v>43199</v>
      </c>
      <c r="I10154" t="s">
        <v>12</v>
      </c>
      <c r="J10154" t="s">
        <v>20924</v>
      </c>
    </row>
    <row r="10155" spans="1:10" x14ac:dyDescent="0.25">
      <c r="A10155">
        <v>5338254</v>
      </c>
      <c r="B10155" t="s">
        <v>10765</v>
      </c>
      <c r="C10155" t="str">
        <f>""</f>
        <v/>
      </c>
      <c r="D10155" t="str">
        <f>"9781281410542"</f>
        <v>9781281410542</v>
      </c>
      <c r="E10155" t="s">
        <v>10734</v>
      </c>
      <c r="F10155" t="s">
        <v>10734</v>
      </c>
      <c r="G10155" s="1">
        <v>39448</v>
      </c>
      <c r="H10155" s="1">
        <v>43199</v>
      </c>
      <c r="I10155" t="s">
        <v>12</v>
      </c>
      <c r="J10155" t="s">
        <v>20925</v>
      </c>
    </row>
    <row r="10156" spans="1:10" x14ac:dyDescent="0.25">
      <c r="A10156">
        <v>5338255</v>
      </c>
      <c r="B10156" t="s">
        <v>10766</v>
      </c>
      <c r="C10156" t="str">
        <f>""</f>
        <v/>
      </c>
      <c r="D10156" t="str">
        <f>"9781281410559"</f>
        <v>9781281410559</v>
      </c>
      <c r="E10156" t="s">
        <v>10734</v>
      </c>
      <c r="F10156" t="s">
        <v>10734</v>
      </c>
      <c r="G10156" s="1">
        <v>39448</v>
      </c>
      <c r="H10156" s="1">
        <v>43199</v>
      </c>
      <c r="I10156" t="s">
        <v>12</v>
      </c>
      <c r="J10156" t="s">
        <v>20926</v>
      </c>
    </row>
    <row r="10157" spans="1:10" x14ac:dyDescent="0.25">
      <c r="A10157">
        <v>5338256</v>
      </c>
      <c r="B10157" t="s">
        <v>10767</v>
      </c>
      <c r="C10157" t="str">
        <f>""</f>
        <v/>
      </c>
      <c r="D10157" t="str">
        <f>"9781281410566"</f>
        <v>9781281410566</v>
      </c>
      <c r="E10157" t="s">
        <v>10734</v>
      </c>
      <c r="F10157" t="s">
        <v>10734</v>
      </c>
      <c r="G10157" s="1">
        <v>39448</v>
      </c>
      <c r="H10157" s="1">
        <v>43199</v>
      </c>
      <c r="I10157" t="s">
        <v>12</v>
      </c>
      <c r="J10157" t="s">
        <v>20927</v>
      </c>
    </row>
    <row r="10158" spans="1:10" x14ac:dyDescent="0.25">
      <c r="A10158">
        <v>5338259</v>
      </c>
      <c r="B10158" t="s">
        <v>10768</v>
      </c>
      <c r="C10158" t="str">
        <f>""</f>
        <v/>
      </c>
      <c r="D10158" t="str">
        <f>"9781281410597"</f>
        <v>9781281410597</v>
      </c>
      <c r="E10158" t="s">
        <v>10734</v>
      </c>
      <c r="F10158" t="s">
        <v>10734</v>
      </c>
      <c r="G10158" s="1">
        <v>39448</v>
      </c>
      <c r="H10158" s="1">
        <v>43199</v>
      </c>
      <c r="I10158" t="s">
        <v>12</v>
      </c>
      <c r="J10158" t="s">
        <v>20928</v>
      </c>
    </row>
    <row r="10159" spans="1:10" x14ac:dyDescent="0.25">
      <c r="A10159">
        <v>5338260</v>
      </c>
      <c r="B10159" t="s">
        <v>10769</v>
      </c>
      <c r="C10159" t="str">
        <f>""</f>
        <v/>
      </c>
      <c r="D10159" t="str">
        <f>"9781281410603"</f>
        <v>9781281410603</v>
      </c>
      <c r="E10159" t="s">
        <v>10734</v>
      </c>
      <c r="F10159" t="s">
        <v>10734</v>
      </c>
      <c r="G10159" s="1">
        <v>39448</v>
      </c>
      <c r="H10159" s="1">
        <v>43199</v>
      </c>
      <c r="I10159" t="s">
        <v>12</v>
      </c>
      <c r="J10159" t="s">
        <v>20929</v>
      </c>
    </row>
    <row r="10160" spans="1:10" x14ac:dyDescent="0.25">
      <c r="A10160">
        <v>5893805</v>
      </c>
      <c r="B10160" t="s">
        <v>10770</v>
      </c>
      <c r="C10160" t="str">
        <f>"9780702075025"</f>
        <v>9780702075025</v>
      </c>
      <c r="D10160" t="str">
        <f>"9780702074981"</f>
        <v>9780702074981</v>
      </c>
      <c r="E10160" t="s">
        <v>10771</v>
      </c>
      <c r="F10160" t="s">
        <v>10771</v>
      </c>
      <c r="G10160" s="1">
        <v>43413</v>
      </c>
      <c r="H10160" s="1">
        <v>43718</v>
      </c>
      <c r="I10160" t="s">
        <v>12</v>
      </c>
      <c r="J10160" t="s">
        <v>20930</v>
      </c>
    </row>
  </sheetData>
  <phoneticPr fontId="18" type="noConversion"/>
  <hyperlinks>
    <hyperlink ref="J2" r:id="rId1" display="https://ebookcentral.proquest.com/lib/UCHTW/detail.action?docID=116763"/>
  </hyperlinks>
  <pageMargins left="0.7" right="0.7" top="0.75" bottom="0.75" header="0.3" footer="0.3"/>
  <pageSetup paperSize="9" orientation="portrait" horizontalDpi="0" verticalDpi="0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F155263B86C9249A322F93A3F4B4DA2" ma:contentTypeVersion="7" ma:contentTypeDescription="Create a new document." ma:contentTypeScope="" ma:versionID="7d8534fede05a5f4ad73ee49f3e6ad0d">
  <xsd:schema xmlns:xsd="http://www.w3.org/2001/XMLSchema" xmlns:xs="http://www.w3.org/2001/XMLSchema" xmlns:p="http://schemas.microsoft.com/office/2006/metadata/properties" xmlns:ns3="7693796b-1852-4b82-a4a6-3ade63de2a8c" targetNamespace="http://schemas.microsoft.com/office/2006/metadata/properties" ma:root="true" ma:fieldsID="8f0feee66f5df1c558a71d493f3410d6" ns3:_="">
    <xsd:import namespace="7693796b-1852-4b82-a4a6-3ade63de2a8c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93796b-1852-4b82-a4a6-3ade63de2a8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A7EEE7C-0CD3-4632-AAF6-1DCF7094EF5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4A74CA6-B2D5-45FA-AEA6-5876B554ED9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693796b-1852-4b82-a4a6-3ade63de2a8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20200622_1718073_taebdc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Fox Shih</dc:creator>
  <cp:lastModifiedBy>user</cp:lastModifiedBy>
  <dcterms:created xsi:type="dcterms:W3CDTF">2020-06-22T06:08:43Z</dcterms:created>
  <dcterms:modified xsi:type="dcterms:W3CDTF">2020-07-02T08:52:56Z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0x0101000F155263B86C9249A322F93A3F4B4DA2</vt:lpwstr>
  </property>
</Properties>
</file>